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2" documentId="8_{6699127B-32DE-4C15-B2C1-A8D75424243B}" xr6:coauthVersionLast="47" xr6:coauthVersionMax="47" xr10:uidLastSave="{EE3F6BCE-B97A-4B47-9EDD-D9DF51289F6D}"/>
  <bookViews>
    <workbookView xWindow="-108" yWindow="-108" windowWidth="30936" windowHeight="16776" tabRatio="647" firstSheet="4" activeTab="4" xr2:uid="{00000000-000D-0000-FFFF-FFFF00000000}"/>
  </bookViews>
  <sheets>
    <sheet name="Cover" sheetId="1" r:id="rId1"/>
    <sheet name="Purpose of spreadsheet" sheetId="77" r:id="rId2"/>
    <sheet name="Version Control" sheetId="78" r:id="rId3"/>
    <sheet name="Summary - Fire_E" sheetId="93" state="hidden" r:id="rId4"/>
    <sheet name="Factor List" sheetId="55" r:id="rId5"/>
    <sheet name="x-Series Number" sheetId="102" state="hidden" r:id="rId6"/>
    <sheet name="Assumptions" sheetId="199" r:id="rId7"/>
    <sheet name="x-201" sheetId="104" r:id="rId8"/>
    <sheet name="x-202" sheetId="105" r:id="rId9"/>
    <sheet name="x-203" sheetId="106" r:id="rId10"/>
    <sheet name="x-204" sheetId="107" r:id="rId11"/>
    <sheet name="x-205" sheetId="108" r:id="rId12"/>
    <sheet name="x-206" sheetId="109" r:id="rId13"/>
    <sheet name="x-207" sheetId="110" r:id="rId14"/>
    <sheet name="x-208" sheetId="111" r:id="rId15"/>
    <sheet name="x-209" sheetId="112" r:id="rId16"/>
    <sheet name="x-210" sheetId="113" r:id="rId17"/>
    <sheet name="x-211" sheetId="114" r:id="rId18"/>
    <sheet name="x-212" sheetId="115" r:id="rId19"/>
    <sheet name="x-213" sheetId="116" r:id="rId20"/>
    <sheet name="x-214" sheetId="117" r:id="rId21"/>
    <sheet name="x-215" sheetId="118" r:id="rId22"/>
    <sheet name="x-220" sheetId="132" r:id="rId23"/>
    <sheet name="x-221" sheetId="133" r:id="rId24"/>
    <sheet name="x-301" sheetId="119" r:id="rId25"/>
    <sheet name="x-302" sheetId="120" r:id="rId26"/>
    <sheet name="x-303" sheetId="121" r:id="rId27"/>
    <sheet name="x-304" sheetId="122" r:id="rId28"/>
    <sheet name="x-305" sheetId="123" r:id="rId29"/>
    <sheet name="x-306" sheetId="124" r:id="rId30"/>
    <sheet name="x-307" sheetId="125" r:id="rId31"/>
    <sheet name="x-308" sheetId="126" r:id="rId32"/>
    <sheet name="x-309" sheetId="127" r:id="rId33"/>
    <sheet name="x-310" sheetId="128" r:id="rId34"/>
    <sheet name="x-311" sheetId="129" r:id="rId35"/>
    <sheet name="x-312" sheetId="130" r:id="rId36"/>
    <sheet name="x-313" sheetId="175" r:id="rId37"/>
    <sheet name="x-314" sheetId="176" r:id="rId38"/>
    <sheet name="x-315" sheetId="177" r:id="rId39"/>
    <sheet name="x-316" sheetId="178" r:id="rId40"/>
    <sheet name="x-317" sheetId="179" r:id="rId41"/>
    <sheet name="x-318" sheetId="180" r:id="rId42"/>
    <sheet name="x-319" sheetId="181" r:id="rId43"/>
    <sheet name="x-320" sheetId="182" r:id="rId44"/>
    <sheet name="x-321" sheetId="183" r:id="rId45"/>
    <sheet name="x-322" sheetId="184" r:id="rId46"/>
    <sheet name="x-323" sheetId="185" r:id="rId47"/>
    <sheet name="x-324" sheetId="186" r:id="rId48"/>
    <sheet name="x-325" sheetId="187" r:id="rId49"/>
    <sheet name="x-326" sheetId="188" r:id="rId50"/>
    <sheet name="x-327" sheetId="189" r:id="rId51"/>
    <sheet name="x-328" sheetId="190" r:id="rId52"/>
    <sheet name="x-401" sheetId="134" r:id="rId53"/>
    <sheet name="x-402" sheetId="135" r:id="rId54"/>
    <sheet name="x-403" sheetId="136" r:id="rId55"/>
    <sheet name="x-404" sheetId="137" r:id="rId56"/>
    <sheet name="x-405" sheetId="138" r:id="rId57"/>
    <sheet name="x-406" sheetId="139" r:id="rId58"/>
    <sheet name="x-407" sheetId="140" r:id="rId59"/>
    <sheet name="x-501" sheetId="141" r:id="rId60"/>
    <sheet name="x-502" sheetId="142" r:id="rId61"/>
    <sheet name="x-503" sheetId="143" r:id="rId62"/>
    <sheet name="x-504" sheetId="144" r:id="rId63"/>
    <sheet name="x-505" sheetId="198" r:id="rId64"/>
    <sheet name="x-506" sheetId="202" r:id="rId65"/>
    <sheet name="x-603" sheetId="145" r:id="rId66"/>
    <sheet name="x-604" sheetId="146" r:id="rId67"/>
    <sheet name="x-605" sheetId="147" r:id="rId68"/>
    <sheet name="x-606" sheetId="148" r:id="rId69"/>
    <sheet name="x-607" sheetId="149" r:id="rId70"/>
    <sheet name="x-608" sheetId="150" r:id="rId71"/>
    <sheet name="x-609" sheetId="151" r:id="rId72"/>
    <sheet name="x-610" sheetId="152" r:id="rId73"/>
    <sheet name="x-611" sheetId="153" r:id="rId74"/>
    <sheet name="x-612" sheetId="154" r:id="rId75"/>
    <sheet name="x-613" sheetId="155" r:id="rId76"/>
    <sheet name="x-614" sheetId="156" r:id="rId77"/>
    <sheet name="x-615" sheetId="157" r:id="rId78"/>
    <sheet name="x-616" sheetId="158" r:id="rId79"/>
    <sheet name="x-617" sheetId="159" r:id="rId80"/>
    <sheet name="x-618" sheetId="160" r:id="rId81"/>
    <sheet name="x-619" sheetId="161" r:id="rId82"/>
    <sheet name="x-620" sheetId="162" r:id="rId83"/>
    <sheet name="x-621" sheetId="163" r:id="rId84"/>
    <sheet name="x-622" sheetId="164" r:id="rId85"/>
    <sheet name="x-623" sheetId="165" r:id="rId86"/>
    <sheet name="x-624" sheetId="166" r:id="rId87"/>
    <sheet name="x-625" sheetId="167" r:id="rId88"/>
    <sheet name="x-626" sheetId="168" r:id="rId89"/>
    <sheet name="x-627" sheetId="169" r:id="rId90"/>
    <sheet name="x-701" sheetId="170" r:id="rId91"/>
    <sheet name="x-702" sheetId="171" r:id="rId92"/>
    <sheet name="x-802" sheetId="201" r:id="rId93"/>
    <sheet name="AnnGenHiddenLists" sheetId="197" state="hidden" r:id="rId94"/>
  </sheets>
  <externalReferences>
    <externalReference r:id="rId95"/>
  </externalReferences>
  <definedNames>
    <definedName name="_xlnm._FilterDatabase" localSheetId="4" hidden="1">'Factor List'!$A$7:$P$7</definedName>
    <definedName name="age_rng">#REF!</definedName>
    <definedName name="AgeRet">'x-220'!$C$35</definedName>
    <definedName name="BaseTablesList">AnnGenHiddenLists!$A$4:$A$190</definedName>
    <definedName name="DATE_MODIFIED">'Version Control'!$C$17</definedName>
    <definedName name="denom">'x-220'!$C$39</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List'!#REF!</definedName>
    <definedName name="FACTOR_LIST_FACTOR_TYPE">'Factor List'!$D$7</definedName>
    <definedName name="FACTOR_LIST_GENDER">'Factor List'!$F$7</definedName>
    <definedName name="FACTOR_LIST_HEADINGS">'Factor List'!$B$7:$P$7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List'!#REF!</definedName>
    <definedName name="FACTOR_LIST_TABLE_ID">'Factor List'!#REF!</definedName>
    <definedName name="FACTOR_LIST_TIMESTAMP">'Factor List'!#REF!</definedName>
    <definedName name="FACTOR_LIST_USER_ID">'Factor List'!#REF!</definedName>
    <definedName name="factor_table">#REF!</definedName>
    <definedName name="fEndAge_AP">'x-220'!$C$46</definedName>
    <definedName name="fRound_AP">'x-220'!$C$47</definedName>
    <definedName name="grossRate">'x-220'!$F$12</definedName>
    <definedName name="ImprovementsList">AnnGenHiddenLists!$C$4:$C$42</definedName>
    <definedName name="male_weighting">'x-220'!$C$43</definedName>
    <definedName name="netPostRet">'x-220'!$F$11</definedName>
    <definedName name="NoD" localSheetId="63">#REF!</definedName>
    <definedName name="NoD" localSheetId="64">#REF!</definedName>
    <definedName name="NoD">#REF!</definedName>
    <definedName name="_xlnm.Print_Area" localSheetId="3">'Summary - Fire_E'!$A$1:$H$224</definedName>
    <definedName name="_xlnm.Print_Area" localSheetId="7">'x-201'!$A$26:$L$48</definedName>
    <definedName name="_xlnm.Print_Area" localSheetId="8">'x-202'!$A$26:$L$48</definedName>
    <definedName name="_xlnm.Print_Area" localSheetId="9">'x-203'!$A$26:$L$48</definedName>
    <definedName name="_xlnm.Print_Area" localSheetId="10">'x-204'!$A$26:$L$48</definedName>
    <definedName name="_xlnm.Print_Area" localSheetId="11">'x-205'!$A$26:$K$48</definedName>
    <definedName name="_xlnm.Print_Area" localSheetId="12">'x-206'!$A$26:$L$48</definedName>
    <definedName name="_xlnm.Print_Area" localSheetId="13">'x-207'!$A$26:$L$48</definedName>
    <definedName name="_xlnm.Print_Area" localSheetId="14">'x-208'!$A$26:$L$48</definedName>
    <definedName name="_xlnm.Print_Area" localSheetId="15">'x-209'!$A$26:$L$48</definedName>
    <definedName name="_xlnm.Print_Area" localSheetId="16">'x-210'!$A$26:$L$48</definedName>
    <definedName name="_xlnm.Print_Area" localSheetId="17">'x-211'!$A$26:$L$48</definedName>
    <definedName name="_xlnm.Print_Area" localSheetId="18">'x-212'!$A$26:$L$48</definedName>
    <definedName name="_xlnm.Print_Area" localSheetId="19">'x-213'!$A$26:$L$48</definedName>
    <definedName name="_xlnm.Print_Area" localSheetId="20">'x-214'!$A$26:$L$48</definedName>
    <definedName name="_xlnm.Print_Area" localSheetId="21">'x-215'!$A$26:$L$48</definedName>
    <definedName name="_xlnm.Print_Area" localSheetId="22">'x-220'!$A$26:$L$48</definedName>
    <definedName name="_xlnm.Print_Area" localSheetId="23">'x-221'!$A$26:$L$48</definedName>
    <definedName name="_xlnm.Print_Area" localSheetId="24">'x-301'!$A$26:$N$48</definedName>
    <definedName name="_xlnm.Print_Area" localSheetId="25">'x-302'!$A$26:$N$48</definedName>
    <definedName name="_xlnm.Print_Area" localSheetId="26">'x-303'!$A$26:$N$48</definedName>
    <definedName name="_xlnm.Print_Area" localSheetId="27">'x-304'!$A$26:$N$48</definedName>
    <definedName name="_xlnm.Print_Area" localSheetId="28">'x-305'!$A$26:$N$48</definedName>
    <definedName name="_xlnm.Print_Area" localSheetId="29">'x-306'!$A$26:$N$48</definedName>
    <definedName name="_xlnm.Print_Area" localSheetId="30">'x-307'!$A$26:$N$48</definedName>
    <definedName name="_xlnm.Print_Area" localSheetId="31">'x-308'!$A$26:$N$48</definedName>
    <definedName name="_xlnm.Print_Area" localSheetId="32">'x-309'!$A$26:$N$48</definedName>
    <definedName name="_xlnm.Print_Area" localSheetId="33">'x-310'!$A$26:$N$48</definedName>
    <definedName name="_xlnm.Print_Area" localSheetId="34">'x-311'!$A$26:$N$48</definedName>
    <definedName name="_xlnm.Print_Area" localSheetId="35">'x-312'!$A$26:$N$48</definedName>
    <definedName name="_xlnm.Print_Area" localSheetId="36">'x-313'!$A$26:$N$48</definedName>
    <definedName name="_xlnm.Print_Area" localSheetId="37">'x-314'!$A$26:$N$48</definedName>
    <definedName name="_xlnm.Print_Area" localSheetId="38">'x-315'!$A$26:$N$48</definedName>
    <definedName name="_xlnm.Print_Area" localSheetId="39">'x-316'!$A$26:$N$48</definedName>
    <definedName name="_xlnm.Print_Area" localSheetId="40">'x-317'!$A$26:$N$48</definedName>
    <definedName name="_xlnm.Print_Area" localSheetId="41">'x-318'!$A$26:$M$48</definedName>
    <definedName name="_xlnm.Print_Area" localSheetId="42">'x-319'!$A$26:$J$48</definedName>
    <definedName name="_xlnm.Print_Area" localSheetId="43">'x-320'!$A$26:$N$48</definedName>
    <definedName name="_xlnm.Print_Area" localSheetId="44">'x-321'!$A$26:$M$48</definedName>
    <definedName name="_xlnm.Print_Area" localSheetId="45">'x-322'!$A$26:$M$48</definedName>
    <definedName name="_xlnm.Print_Area" localSheetId="46">'x-323'!$A$26:$N$48</definedName>
    <definedName name="_xlnm.Print_Area" localSheetId="47">'x-324'!$A$26:$N$48</definedName>
    <definedName name="_xlnm.Print_Area" localSheetId="48">'x-325'!$A$26:$N$48</definedName>
    <definedName name="_xlnm.Print_Area" localSheetId="49">'x-326'!$A$26:$N$48</definedName>
    <definedName name="_xlnm.Print_Area" localSheetId="50">'x-327'!$A$26:$N$48</definedName>
    <definedName name="_xlnm.Print_Area" localSheetId="51">'x-328'!$A$26:$N$48</definedName>
    <definedName name="_xlnm.Print_Area" localSheetId="52">'x-401'!$A$26:$N$48</definedName>
    <definedName name="_xlnm.Print_Area" localSheetId="53">'x-402'!$A$26:$N$48</definedName>
    <definedName name="_xlnm.Print_Area" localSheetId="54">'x-403'!$A$26:$N$48</definedName>
    <definedName name="_xlnm.Print_Area" localSheetId="55">'x-404'!$A$26:$M$48</definedName>
    <definedName name="_xlnm.Print_Area" localSheetId="56">'x-405'!$A$26:$M$48</definedName>
    <definedName name="_xlnm.Print_Area" localSheetId="57">'x-406'!$A$26:$N$48</definedName>
    <definedName name="_xlnm.Print_Area" localSheetId="58">'x-407'!$A$26:$N$48</definedName>
    <definedName name="_xlnm.Print_Area" localSheetId="59">'x-501'!$A$26:$N$48</definedName>
    <definedName name="_xlnm.Print_Area" localSheetId="60">'x-502'!$A$26:$N$48</definedName>
    <definedName name="_xlnm.Print_Area" localSheetId="61">'x-503'!$A$26:$N$48</definedName>
    <definedName name="_xlnm.Print_Area" localSheetId="62">'x-504'!$A$26:$N$48</definedName>
    <definedName name="_xlnm.Print_Area" localSheetId="63">'x-505'!$A$26:$N$48</definedName>
    <definedName name="_xlnm.Print_Area" localSheetId="64">'x-506'!$A$26:$N$48</definedName>
    <definedName name="_xlnm.Print_Area" localSheetId="65">'x-603'!$A$26:$N$48</definedName>
    <definedName name="_xlnm.Print_Area" localSheetId="66">'x-604'!$A$26:$N$48</definedName>
    <definedName name="_xlnm.Print_Area" localSheetId="67">'x-605'!$A$26:$N$48</definedName>
    <definedName name="_xlnm.Print_Area" localSheetId="68">'x-606'!$A$26:$N$48</definedName>
    <definedName name="_xlnm.Print_Area" localSheetId="69">'x-607'!$A$26:$N$48</definedName>
    <definedName name="_xlnm.Print_Area" localSheetId="70">'x-608'!$A$26:$N$48</definedName>
    <definedName name="_xlnm.Print_Area" localSheetId="71">'x-609'!$A$26:$N$48</definedName>
    <definedName name="_xlnm.Print_Area" localSheetId="72">'x-610'!$A$26:$N$48</definedName>
    <definedName name="_xlnm.Print_Area" localSheetId="73">'x-611'!$A$26:$M$48</definedName>
    <definedName name="_xlnm.Print_Area" localSheetId="74">'x-612'!$A$26:$M$48</definedName>
    <definedName name="_xlnm.Print_Area" localSheetId="75">'x-613'!$A$26:$N$48</definedName>
    <definedName name="_xlnm.Print_Area" localSheetId="76">'x-614'!$A$26:$M$48</definedName>
    <definedName name="_xlnm.Print_Area" localSheetId="77">'x-615'!$A$26:$M$48</definedName>
    <definedName name="_xlnm.Print_Area" localSheetId="78">'x-616'!$A$26:$M$48</definedName>
    <definedName name="_xlnm.Print_Area" localSheetId="79">'x-617'!$A$26:$M$48</definedName>
    <definedName name="_xlnm.Print_Area" localSheetId="80">'x-618'!$A$26:$N$48</definedName>
    <definedName name="_xlnm.Print_Area" localSheetId="81">'x-619'!$A$26:$N$48</definedName>
    <definedName name="_xlnm.Print_Area" localSheetId="82">'x-620'!$A$26:$B$77</definedName>
    <definedName name="_xlnm.Print_Area" localSheetId="83">'x-621'!$A$26:$N$48</definedName>
    <definedName name="_xlnm.Print_Area" localSheetId="84">'x-622'!$A$26:$K$48</definedName>
    <definedName name="_xlnm.Print_Area" localSheetId="85">'x-623'!$A$26:$K$48</definedName>
    <definedName name="_xlnm.Print_Area" localSheetId="86">'x-624'!$A$26:$K$48</definedName>
    <definedName name="_xlnm.Print_Area" localSheetId="87">'x-625'!$A$26:$K$48</definedName>
    <definedName name="_xlnm.Print_Area" localSheetId="88">'x-626'!$A$26:$K$48</definedName>
    <definedName name="_xlnm.Print_Area" localSheetId="89">'x-627'!$A$26:$K$48</definedName>
    <definedName name="_xlnm.Print_Area" localSheetId="90">'x-701'!$A$26:$N$48</definedName>
    <definedName name="_xlnm.Print_Area" localSheetId="91">'x-702'!$A$26:$N$48</definedName>
    <definedName name="_xlnm.Print_Area" localSheetId="92">'x-802'!$A$26:$K$48</definedName>
    <definedName name="_xlnm.Print_Area" localSheetId="5">'x-Series Number'!$A$25:$N$47</definedName>
    <definedName name="TABLE_AGE_DEF">'x-Series Number'!$B$12</definedName>
    <definedName name="TABLE_AGE_DEF_1" localSheetId="7">'x-201'!$B$12</definedName>
    <definedName name="TABLE_AGE_DEF_1" localSheetId="8">'x-202'!$B$12</definedName>
    <definedName name="TABLE_AGE_DEF_1" localSheetId="9">'x-203'!$B$12</definedName>
    <definedName name="TABLE_AGE_DEF_1" localSheetId="10">'x-204'!$B$12</definedName>
    <definedName name="TABLE_AGE_DEF_1" localSheetId="11">'x-205'!$B$12</definedName>
    <definedName name="TABLE_AGE_DEF_1" localSheetId="12">'x-206'!$B$12</definedName>
    <definedName name="TABLE_AGE_DEF_1" localSheetId="13">'x-207'!$B$12</definedName>
    <definedName name="TABLE_AGE_DEF_1" localSheetId="14">'x-208'!$B$12</definedName>
    <definedName name="TABLE_AGE_DEF_1" localSheetId="15">'x-209'!$B$12</definedName>
    <definedName name="TABLE_AGE_DEF_1" localSheetId="16">'x-210'!$B$12</definedName>
    <definedName name="TABLE_AGE_DEF_1" localSheetId="17">'x-211'!$B$12</definedName>
    <definedName name="TABLE_AGE_DEF_1" localSheetId="18">'x-212'!$B$12</definedName>
    <definedName name="TABLE_AGE_DEF_1" localSheetId="19">'x-213'!$B$12</definedName>
    <definedName name="TABLE_AGE_DEF_1" localSheetId="20">'x-214'!$B$12</definedName>
    <definedName name="TABLE_AGE_DEF_1" localSheetId="21">'x-215'!$B$12</definedName>
    <definedName name="TABLE_AGE_DEF_1" localSheetId="22">'x-220'!$B$12</definedName>
    <definedName name="TABLE_AGE_DEF_1" localSheetId="23">'x-221'!$B$12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'x-310'!$B$12</definedName>
    <definedName name="TABLE_AGE_DEF_1" localSheetId="34">'x-311'!$B$12</definedName>
    <definedName name="TABLE_AGE_DEF_1" localSheetId="35">'x-312'!$B$12</definedName>
    <definedName name="TABLE_AGE_DEF_1" localSheetId="36">'x-313'!$B$12</definedName>
    <definedName name="TABLE_AGE_DEF_1" localSheetId="37">'x-314'!$B$12</definedName>
    <definedName name="TABLE_AGE_DEF_1" localSheetId="38">'x-315'!$B$12</definedName>
    <definedName name="TABLE_AGE_DEF_1" localSheetId="39">'x-316'!$B$12</definedName>
    <definedName name="TABLE_AGE_DEF_1" localSheetId="40">'x-317'!$B$12</definedName>
    <definedName name="TABLE_AGE_DEF_1" localSheetId="41">'x-318'!$B$12</definedName>
    <definedName name="TABLE_AGE_DEF_1" localSheetId="42">'x-319'!$B$12</definedName>
    <definedName name="TABLE_AGE_DEF_1" localSheetId="43">'x-320'!$B$12</definedName>
    <definedName name="TABLE_AGE_DEF_1" localSheetId="44">'x-321'!$B$12</definedName>
    <definedName name="TABLE_AGE_DEF_1" localSheetId="45">'x-322'!$B$12</definedName>
    <definedName name="TABLE_AGE_DEF_1" localSheetId="46">'x-323'!$B$12</definedName>
    <definedName name="TABLE_AGE_DEF_1" localSheetId="47">'x-324'!$B$12</definedName>
    <definedName name="TABLE_AGE_DEF_1" localSheetId="48">'x-325'!$B$12</definedName>
    <definedName name="TABLE_AGE_DEF_1" localSheetId="49">'x-326'!$B$12</definedName>
    <definedName name="TABLE_AGE_DEF_1" localSheetId="50">'x-327'!$B$12</definedName>
    <definedName name="TABLE_AGE_DEF_1" localSheetId="51">'x-328'!$B$12</definedName>
    <definedName name="TABLE_AGE_DEF_1" localSheetId="52">'x-401'!$B$12</definedName>
    <definedName name="TABLE_AGE_DEF_1" localSheetId="53">'x-402'!$B$12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'x-506'!$B$12</definedName>
    <definedName name="TABLE_AGE_DEF_1" localSheetId="65">'x-603'!$B$12</definedName>
    <definedName name="TABLE_AGE_DEF_1" localSheetId="66">'x-604'!$B$12</definedName>
    <definedName name="TABLE_AGE_DEF_1" localSheetId="67">'x-605'!$B$12</definedName>
    <definedName name="TABLE_AGE_DEF_1" localSheetId="68">'x-606'!$B$12</definedName>
    <definedName name="TABLE_AGE_DEF_1" localSheetId="69">'x-607'!$B$12</definedName>
    <definedName name="TABLE_AGE_DEF_1" localSheetId="70">'x-608'!$B$12</definedName>
    <definedName name="TABLE_AGE_DEF_1" localSheetId="71">'x-609'!$B$12</definedName>
    <definedName name="TABLE_AGE_DEF_1" localSheetId="72">'x-610'!$B$12</definedName>
    <definedName name="TABLE_AGE_DEF_1" localSheetId="73">'x-611'!$B$12</definedName>
    <definedName name="TABLE_AGE_DEF_1" localSheetId="74">'x-612'!$B$12</definedName>
    <definedName name="TABLE_AGE_DEF_1" localSheetId="75">'x-613'!$B$12</definedName>
    <definedName name="TABLE_AGE_DEF_1" localSheetId="76">'x-614'!$B$12</definedName>
    <definedName name="TABLE_AGE_DEF_1" localSheetId="77">'x-615'!$B$12</definedName>
    <definedName name="TABLE_AGE_DEF_1" localSheetId="78">'x-616'!$B$12</definedName>
    <definedName name="TABLE_AGE_DEF_1" localSheetId="79">'x-617'!$B$12</definedName>
    <definedName name="TABLE_AGE_DEF_1" localSheetId="80">'x-618'!$B$12</definedName>
    <definedName name="TABLE_AGE_DEF_1" localSheetId="81">'x-619'!$B$12</definedName>
    <definedName name="TABLE_AGE_DEF_1" localSheetId="82">'x-620'!$B$12</definedName>
    <definedName name="TABLE_AGE_DEF_1" localSheetId="83">'x-621'!$B$12</definedName>
    <definedName name="TABLE_AGE_DEF_1" localSheetId="84">'x-622'!$B$12</definedName>
    <definedName name="TABLE_AGE_DEF_1" localSheetId="85">'x-623'!$B$12</definedName>
    <definedName name="TABLE_AGE_DEF_1" localSheetId="86">'x-624'!$B$12</definedName>
    <definedName name="TABLE_AGE_DEF_1" localSheetId="87">'x-625'!$B$12</definedName>
    <definedName name="TABLE_AGE_DEF_1" localSheetId="88">'x-626'!$B$12</definedName>
    <definedName name="TABLE_AGE_DEF_1" localSheetId="89">'x-627'!$B$12</definedName>
    <definedName name="TABLE_AGE_DEF_1" localSheetId="90">'x-701'!$B$12</definedName>
    <definedName name="TABLE_AGE_DEF_1" localSheetId="91">'x-702'!$B$12</definedName>
    <definedName name="TABLE_AGE_DEF_1" localSheetId="92">'x-802'!$B$12</definedName>
    <definedName name="TABLE_AGE_DEF_2" localSheetId="92">'x-802'!$G$12</definedName>
    <definedName name="TABLE_AGE_DEF_3" localSheetId="92">'x-802'!$K$12</definedName>
    <definedName name="TABLE_AREA" localSheetId="84">'x-622'!$A$54:$B$65</definedName>
    <definedName name="TABLE_AREA" localSheetId="85">'x-623'!#REF!</definedName>
    <definedName name="TABLE_AREA" localSheetId="86">'x-624'!$A$64:$B$65</definedName>
    <definedName name="TABLE_AREA" localSheetId="87">'x-625'!#REF!</definedName>
    <definedName name="TABLE_AREA" localSheetId="88">'x-626'!$A$64:$B$65</definedName>
    <definedName name="TABLE_AREA" localSheetId="89">'x-627'!#REF!</definedName>
    <definedName name="TABLE_AREA">'x-Series Number'!$A$25:$B$64</definedName>
    <definedName name="TABLE_AREA_1" localSheetId="7">'x-201'!$A$26:$D$68</definedName>
    <definedName name="TABLE_AREA_1" localSheetId="8">'x-202'!$A$26:$D$68</definedName>
    <definedName name="TABLE_AREA_1" localSheetId="9">'x-203'!$A$26:$C$73</definedName>
    <definedName name="TABLE_AREA_1" localSheetId="10">'x-204'!$A$26:$C$68</definedName>
    <definedName name="TABLE_AREA_1" localSheetId="11">'x-205'!$A$26:$C$31</definedName>
    <definedName name="TABLE_AREA_1" localSheetId="12">'x-206'!$A$26:$D$68</definedName>
    <definedName name="TABLE_AREA_1" localSheetId="13">'x-207'!$A$26:$D$68</definedName>
    <definedName name="TABLE_AREA_1" localSheetId="14">'x-208'!$A$26:$C$85</definedName>
    <definedName name="TABLE_AREA_1" localSheetId="15">'x-209'!$A$26:$C$85</definedName>
    <definedName name="TABLE_AREA_1" localSheetId="16">'x-210'!$A$26:$C$85</definedName>
    <definedName name="TABLE_AREA_1" localSheetId="17">'x-211'!$A$26:$C$85</definedName>
    <definedName name="TABLE_AREA_1" localSheetId="18">'x-212'!$A$26:$C$85</definedName>
    <definedName name="TABLE_AREA_1" localSheetId="19">'x-213'!$A$26:$C$85</definedName>
    <definedName name="TABLE_AREA_1" localSheetId="20">'x-214'!$A$26:$C$85</definedName>
    <definedName name="TABLE_AREA_1" localSheetId="21">'x-215'!$A$26:$C$85</definedName>
    <definedName name="TABLE_AREA_1" localSheetId="22">'x-220'!$A$26:$C$68</definedName>
    <definedName name="TABLE_AREA_1" localSheetId="23">'x-221'!$A$26:$C$68</definedName>
    <definedName name="TABLE_AREA_1" localSheetId="24">'x-301'!$A$26:$F$62</definedName>
    <definedName name="TABLE_AREA_1" localSheetId="25">'x-302'!$A$26:$F$62</definedName>
    <definedName name="TABLE_AREA_1" localSheetId="26">'x-303'!$A$26:$E$92</definedName>
    <definedName name="TABLE_AREA_1" localSheetId="27">'x-304'!$A$26:$E$92</definedName>
    <definedName name="TABLE_AREA_1" localSheetId="28">'x-305'!$A$26:$D$57</definedName>
    <definedName name="TABLE_AREA_1" localSheetId="29">'x-306'!$A$26:$D$57</definedName>
    <definedName name="TABLE_AREA_1" localSheetId="30">'x-307'!$A$26:$D$92</definedName>
    <definedName name="TABLE_AREA_1" localSheetId="31">'x-308'!$A$26:$D$92</definedName>
    <definedName name="TABLE_AREA_1" localSheetId="32">'x-309'!$A$26:$D$57</definedName>
    <definedName name="TABLE_AREA_1" localSheetId="33">'x-310'!$A$26:$D$57</definedName>
    <definedName name="TABLE_AREA_1" localSheetId="34">'x-311'!$A$26:$D$92</definedName>
    <definedName name="TABLE_AREA_1" localSheetId="35">'x-312'!$A$26:$D$92</definedName>
    <definedName name="TABLE_AREA_1" localSheetId="36">'x-313'!$A$26:$C$96</definedName>
    <definedName name="TABLE_AREA_1" localSheetId="37">'x-314'!$A$26:$C$96</definedName>
    <definedName name="TABLE_AREA_1" localSheetId="38">'x-315'!$A$26:$C$96</definedName>
    <definedName name="TABLE_AREA_1" localSheetId="39">'x-316'!$A$26:$E$94</definedName>
    <definedName name="TABLE_AREA_1" localSheetId="40">'x-317'!$A$26:$E$94</definedName>
    <definedName name="TABLE_AREA_1" localSheetId="41">'x-318'!$A$26:$K$38</definedName>
    <definedName name="TABLE_AREA_1" localSheetId="42">'x-319'!$A$26:$G$38</definedName>
    <definedName name="TABLE_AREA_1" localSheetId="43">'x-320'!$A$26:$AQ$38</definedName>
    <definedName name="TABLE_AREA_1" localSheetId="44">'x-321'!$A$26:$K$38</definedName>
    <definedName name="TABLE_AREA_1" localSheetId="45">'x-322'!$A$26:$F$38</definedName>
    <definedName name="TABLE_AREA_1" localSheetId="46">'x-323'!$A$26:$K$38</definedName>
    <definedName name="TABLE_AREA_1" localSheetId="47">'x-324'!$A$26:$K$38</definedName>
    <definedName name="TABLE_AREA_1" localSheetId="48">'x-325'!$A$26:$AV$38</definedName>
    <definedName name="TABLE_AREA_1" localSheetId="49">'x-326'!$A$26:$AQ$38</definedName>
    <definedName name="TABLE_AREA_1" localSheetId="50">'x-327'!$A$26:$B$39</definedName>
    <definedName name="TABLE_AREA_1" localSheetId="51">'x-328'!$A$26:$B$77</definedName>
    <definedName name="TABLE_AREA_1" localSheetId="52">'x-401'!$A$26:$M$37</definedName>
    <definedName name="TABLE_AREA_1" localSheetId="53">'x-402'!$A$26:$M$32</definedName>
    <definedName name="TABLE_AREA_1" localSheetId="54">'x-403'!$A$26:$M$40</definedName>
    <definedName name="TABLE_AREA_1" localSheetId="55">'x-404'!$A$26:$K$38</definedName>
    <definedName name="TABLE_AREA_1" localSheetId="56">'x-405'!$A$26:$K$38</definedName>
    <definedName name="TABLE_AREA_1" localSheetId="57">'x-406'!$A$26:$L$38</definedName>
    <definedName name="TABLE_AREA_1" localSheetId="58">'x-407'!$A$26:$L$38</definedName>
    <definedName name="TABLE_AREA_1" localSheetId="59">'x-501'!$A$26:$C$41</definedName>
    <definedName name="TABLE_AREA_1" localSheetId="60">'x-502'!$A$26:$B$101</definedName>
    <definedName name="TABLE_AREA_1" localSheetId="61">'x-503'!$A$26:$C$46</definedName>
    <definedName name="TABLE_AREA_1" localSheetId="62">'x-504'!$A$26:$B$101</definedName>
    <definedName name="TABLE_AREA_1" localSheetId="63">'x-505'!$A$26:$M$53</definedName>
    <definedName name="TABLE_AREA_1" localSheetId="64">'x-506'!$A$26:$B$27</definedName>
    <definedName name="TABLE_AREA_1" localSheetId="65">'x-603'!$A$26:$C$68</definedName>
    <definedName name="TABLE_AREA_1" localSheetId="66">'x-604'!$A$26:$C$41</definedName>
    <definedName name="TABLE_AREA_1" localSheetId="67">'x-605'!$A$26:$E$73</definedName>
    <definedName name="TABLE_AREA_1" localSheetId="68">'x-606'!$A$26:$E$41</definedName>
    <definedName name="TABLE_AREA_1" localSheetId="69">'x-607'!$A$26:$E$76</definedName>
    <definedName name="TABLE_AREA_1" localSheetId="70">'x-608'!$A$26:$E$76</definedName>
    <definedName name="TABLE_AREA_1" localSheetId="71">'x-609'!$A$26:$C$47</definedName>
    <definedName name="TABLE_AREA_1" localSheetId="72">'x-610'!$A$26:$C$82</definedName>
    <definedName name="TABLE_AREA_1" localSheetId="73">'x-611'!$A$26:$K$38</definedName>
    <definedName name="TABLE_AREA_1" localSheetId="74">'x-612'!$A$26:$G$38</definedName>
    <definedName name="TABLE_AREA_1" localSheetId="75">'x-613'!$A$26:$AQ$38</definedName>
    <definedName name="TABLE_AREA_1" localSheetId="76">'x-614'!$A$26:$K$38</definedName>
    <definedName name="TABLE_AREA_1" localSheetId="77">'x-615'!$A$26:$K$38</definedName>
    <definedName name="TABLE_AREA_1" localSheetId="78">'x-616'!$A$26:$F$38</definedName>
    <definedName name="TABLE_AREA_1" localSheetId="79">'x-617'!$A$26:$K$38</definedName>
    <definedName name="TABLE_AREA_1" localSheetId="80">'x-618'!$A$26:$AV$38</definedName>
    <definedName name="TABLE_AREA_1" localSheetId="81">'x-619'!$A$26:$AQ$38</definedName>
    <definedName name="TABLE_AREA_1" localSheetId="82">'x-620'!$A$26:$B$77</definedName>
    <definedName name="TABLE_AREA_1" localSheetId="83">'x-621'!$A$26:$B$39</definedName>
    <definedName name="TABLE_AREA_1" localSheetId="84">'x-622'!#REF!</definedName>
    <definedName name="TABLE_AREA_1" localSheetId="85">'x-623'!#REF!</definedName>
    <definedName name="TABLE_AREA_1" localSheetId="86">'x-624'!#REF!</definedName>
    <definedName name="TABLE_AREA_1" localSheetId="87">'x-625'!#REF!</definedName>
    <definedName name="TABLE_AREA_1" localSheetId="88">'x-626'!#REF!</definedName>
    <definedName name="TABLE_AREA_1" localSheetId="89">'x-627'!#REF!</definedName>
    <definedName name="TABLE_AREA_1" localSheetId="90">'x-701'!$A$26:$B$68</definedName>
    <definedName name="TABLE_AREA_1" localSheetId="91">'x-702'!$A$26:$B$67</definedName>
    <definedName name="TABLE_AREA_1" localSheetId="92">'x-802'!$A$26:$C$31</definedName>
    <definedName name="TABLE_AREA_2" localSheetId="92">'x-802'!$F$26:$G$36</definedName>
    <definedName name="TABLE_AREA_3" localSheetId="92">'x-802'!$J$26:$K$31</definedName>
    <definedName name="TABLE_ASSUMPTION_SET_1" localSheetId="7">'x-201'!$B$21</definedName>
    <definedName name="TABLE_ASSUMPTION_SET_1" localSheetId="8">'x-202'!$B$21</definedName>
    <definedName name="TABLE_ASSUMPTION_SET_1" localSheetId="9">'x-203'!$B$21</definedName>
    <definedName name="TABLE_ASSUMPTION_SET_1" localSheetId="10">'x-204'!$B$21</definedName>
    <definedName name="TABLE_ASSUMPTION_SET_1" localSheetId="11">'x-205'!$B$21</definedName>
    <definedName name="TABLE_ASSUMPTION_SET_1" localSheetId="12">'x-206'!$B$21</definedName>
    <definedName name="TABLE_ASSUMPTION_SET_1" localSheetId="13">'x-207'!$B$21</definedName>
    <definedName name="TABLE_ASSUMPTION_SET_1" localSheetId="14">'x-208'!$B$21</definedName>
    <definedName name="TABLE_ASSUMPTION_SET_1" localSheetId="15">'x-209'!$B$21</definedName>
    <definedName name="TABLE_ASSUMPTION_SET_1" localSheetId="16">'x-210'!$B$21</definedName>
    <definedName name="TABLE_ASSUMPTION_SET_1" localSheetId="17">'x-211'!$B$21</definedName>
    <definedName name="TABLE_ASSUMPTION_SET_1" localSheetId="18">'x-212'!$B$21</definedName>
    <definedName name="TABLE_ASSUMPTION_SET_1" localSheetId="19">'x-213'!$B$21</definedName>
    <definedName name="TABLE_ASSUMPTION_SET_1" localSheetId="20">'x-214'!$B$21</definedName>
    <definedName name="TABLE_ASSUMPTION_SET_1" localSheetId="21">'x-215'!$B$21</definedName>
    <definedName name="TABLE_ASSUMPTION_SET_1" localSheetId="22">'x-220'!$B$21</definedName>
    <definedName name="TABLE_ASSUMPTION_SET_1" localSheetId="23">'x-221'!$B$21</definedName>
    <definedName name="TABLE_ASSUMPTION_SET_1" localSheetId="24">'x-301'!$B$21</definedName>
    <definedName name="TABLE_ASSUMPTION_SET_1" localSheetId="25">'x-302'!$B$21</definedName>
    <definedName name="TABLE_ASSUMPTION_SET_1" localSheetId="26">'x-303'!$B$21</definedName>
    <definedName name="TABLE_ASSUMPTION_SET_1" localSheetId="27">'x-304'!$B$21</definedName>
    <definedName name="TABLE_ASSUMPTION_SET_1" localSheetId="28">'x-305'!$B$21</definedName>
    <definedName name="TABLE_ASSUMPTION_SET_1" localSheetId="29">'x-306'!$B$21</definedName>
    <definedName name="TABLE_ASSUMPTION_SET_1" localSheetId="30">'x-307'!$B$21</definedName>
    <definedName name="TABLE_ASSUMPTION_SET_1" localSheetId="31">'x-308'!$B$21</definedName>
    <definedName name="TABLE_ASSUMPTION_SET_1" localSheetId="32">'x-309'!$B$21</definedName>
    <definedName name="TABLE_ASSUMPTION_SET_1" localSheetId="33">'x-310'!$B$21</definedName>
    <definedName name="TABLE_ASSUMPTION_SET_1" localSheetId="34">'x-311'!$B$21</definedName>
    <definedName name="TABLE_ASSUMPTION_SET_1" localSheetId="35">'x-312'!$B$21</definedName>
    <definedName name="TABLE_ASSUMPTION_SET_1" localSheetId="36">'x-313'!$B$21</definedName>
    <definedName name="TABLE_ASSUMPTION_SET_1" localSheetId="37">'x-314'!$B$21</definedName>
    <definedName name="TABLE_ASSUMPTION_SET_1" localSheetId="38">'x-315'!$B$21</definedName>
    <definedName name="TABLE_ASSUMPTION_SET_1" localSheetId="39">'x-316'!$B$21</definedName>
    <definedName name="TABLE_ASSUMPTION_SET_1" localSheetId="40">'x-317'!$B$21</definedName>
    <definedName name="TABLE_ASSUMPTION_SET_1" localSheetId="41">'x-318'!$B$21</definedName>
    <definedName name="TABLE_ASSUMPTION_SET_1" localSheetId="42">'x-319'!$B$21</definedName>
    <definedName name="TABLE_ASSUMPTION_SET_1" localSheetId="43">'x-320'!$B$21</definedName>
    <definedName name="TABLE_ASSUMPTION_SET_1" localSheetId="44">'x-321'!$B$21</definedName>
    <definedName name="TABLE_ASSUMPTION_SET_1" localSheetId="45">'x-322'!$B$21</definedName>
    <definedName name="TABLE_ASSUMPTION_SET_1" localSheetId="46">'x-323'!$B$21</definedName>
    <definedName name="TABLE_ASSUMPTION_SET_1" localSheetId="47">'x-324'!$B$21</definedName>
    <definedName name="TABLE_ASSUMPTION_SET_1" localSheetId="48">'x-325'!$B$21</definedName>
    <definedName name="TABLE_ASSUMPTION_SET_1" localSheetId="49">'x-326'!$B$21</definedName>
    <definedName name="TABLE_ASSUMPTION_SET_1" localSheetId="50">'x-327'!$B$21</definedName>
    <definedName name="TABLE_ASSUMPTION_SET_1" localSheetId="51">'x-328'!$B$21</definedName>
    <definedName name="TABLE_ASSUMPTION_SET_1" localSheetId="52">'x-401'!$B$21</definedName>
    <definedName name="TABLE_ASSUMPTION_SET_1" localSheetId="53">'x-402'!$B$21</definedName>
    <definedName name="TABLE_ASSUMPTION_SET_1" localSheetId="54">'x-403'!$B$21</definedName>
    <definedName name="TABLE_ASSUMPTION_SET_1" localSheetId="55">'x-404'!$B$21</definedName>
    <definedName name="TABLE_ASSUMPTION_SET_1" localSheetId="56">'x-405'!$B$21</definedName>
    <definedName name="TABLE_ASSUMPTION_SET_1" localSheetId="57">'x-406'!$B$21</definedName>
    <definedName name="TABLE_ASSUMPTION_SET_1" localSheetId="58">'x-407'!$B$21</definedName>
    <definedName name="TABLE_ASSUMPTION_SET_1" localSheetId="59">'x-501'!$B$21</definedName>
    <definedName name="TABLE_ASSUMPTION_SET_1" localSheetId="60">'x-502'!$B$21</definedName>
    <definedName name="TABLE_ASSUMPTION_SET_1" localSheetId="61">'x-503'!$B$21</definedName>
    <definedName name="TABLE_ASSUMPTION_SET_1" localSheetId="62">'x-504'!$B$21</definedName>
    <definedName name="TABLE_ASSUMPTION_SET_1" localSheetId="63">'x-505'!$B$21</definedName>
    <definedName name="TABLE_ASSUMPTION_SET_1" localSheetId="64">'x-506'!$B$21</definedName>
    <definedName name="TABLE_ASSUMPTION_SET_1" localSheetId="65">'x-603'!$B$21</definedName>
    <definedName name="TABLE_ASSUMPTION_SET_1" localSheetId="66">'x-604'!$B$21</definedName>
    <definedName name="TABLE_ASSUMPTION_SET_1" localSheetId="67">'x-605'!$B$21</definedName>
    <definedName name="TABLE_ASSUMPTION_SET_1" localSheetId="68">'x-606'!$B$21</definedName>
    <definedName name="TABLE_ASSUMPTION_SET_1" localSheetId="69">'x-607'!$B$21</definedName>
    <definedName name="TABLE_ASSUMPTION_SET_1" localSheetId="70">'x-608'!$B$21</definedName>
    <definedName name="TABLE_ASSUMPTION_SET_1" localSheetId="71">'x-609'!$B$21</definedName>
    <definedName name="TABLE_ASSUMPTION_SET_1" localSheetId="72">'x-610'!$B$21</definedName>
    <definedName name="TABLE_ASSUMPTION_SET_1" localSheetId="73">'x-611'!$B$21</definedName>
    <definedName name="TABLE_ASSUMPTION_SET_1" localSheetId="74">'x-612'!$B$21</definedName>
    <definedName name="TABLE_ASSUMPTION_SET_1" localSheetId="75">'x-613'!$B$21</definedName>
    <definedName name="TABLE_ASSUMPTION_SET_1" localSheetId="76">'x-614'!$B$21</definedName>
    <definedName name="TABLE_ASSUMPTION_SET_1" localSheetId="77">'x-615'!$B$21</definedName>
    <definedName name="TABLE_ASSUMPTION_SET_1" localSheetId="78">'x-616'!$B$21</definedName>
    <definedName name="TABLE_ASSUMPTION_SET_1" localSheetId="79">'x-617'!$B$21</definedName>
    <definedName name="TABLE_ASSUMPTION_SET_1" localSheetId="80">'x-618'!$B$21</definedName>
    <definedName name="TABLE_ASSUMPTION_SET_1" localSheetId="81">'x-619'!$B$21</definedName>
    <definedName name="TABLE_ASSUMPTION_SET_1" localSheetId="82">'x-620'!$B$21</definedName>
    <definedName name="TABLE_ASSUMPTION_SET_1" localSheetId="83">'x-621'!$B$21</definedName>
    <definedName name="TABLE_ASSUMPTION_SET_1" localSheetId="84">'x-622'!$B$21</definedName>
    <definedName name="TABLE_ASSUMPTION_SET_1" localSheetId="85">'x-623'!$B$21</definedName>
    <definedName name="TABLE_ASSUMPTION_SET_1" localSheetId="86">'x-624'!$B$21</definedName>
    <definedName name="TABLE_ASSUMPTION_SET_1" localSheetId="87">'x-625'!$B$21</definedName>
    <definedName name="TABLE_ASSUMPTION_SET_1" localSheetId="88">'x-626'!$B$21</definedName>
    <definedName name="TABLE_ASSUMPTION_SET_1" localSheetId="89">'x-627'!$B$21</definedName>
    <definedName name="TABLE_ASSUMPTION_SET_1" localSheetId="90">'x-701'!$B$21</definedName>
    <definedName name="TABLE_ASSUMPTION_SET_1" localSheetId="91">'x-702'!$B$21</definedName>
    <definedName name="TABLE_ASSUMPTION_SET_1" localSheetId="92">'x-802'!$B$21</definedName>
    <definedName name="TABLE_ASSUMPTION_SET_2" localSheetId="92">'x-802'!$G$21</definedName>
    <definedName name="TABLE_ASSUMPTION_SET_3" localSheetId="92">'x-802'!$K$21</definedName>
    <definedName name="TABLE_CLIENT">'x-Series Number'!$B$7</definedName>
    <definedName name="TABLE_CLIENT_1" localSheetId="7">'x-201'!$B$7</definedName>
    <definedName name="TABLE_CLIENT_1" localSheetId="8">'x-202'!$B$7</definedName>
    <definedName name="TABLE_CLIENT_1" localSheetId="9">'x-203'!$B$7</definedName>
    <definedName name="TABLE_CLIENT_1" localSheetId="10">'x-204'!$B$7</definedName>
    <definedName name="TABLE_CLIENT_1" localSheetId="11">'x-205'!$B$7</definedName>
    <definedName name="TABLE_CLIENT_1" localSheetId="12">'x-206'!$B$7</definedName>
    <definedName name="TABLE_CLIENT_1" localSheetId="13">'x-207'!$B$7</definedName>
    <definedName name="TABLE_CLIENT_1" localSheetId="14">'x-208'!$B$7</definedName>
    <definedName name="TABLE_CLIENT_1" localSheetId="15">'x-209'!$B$7</definedName>
    <definedName name="TABLE_CLIENT_1" localSheetId="16">'x-210'!$B$7</definedName>
    <definedName name="TABLE_CLIENT_1" localSheetId="17">'x-211'!$B$7</definedName>
    <definedName name="TABLE_CLIENT_1" localSheetId="18">'x-212'!$B$7</definedName>
    <definedName name="TABLE_CLIENT_1" localSheetId="19">'x-213'!$B$7</definedName>
    <definedName name="TABLE_CLIENT_1" localSheetId="20">'x-214'!$B$7</definedName>
    <definedName name="TABLE_CLIENT_1" localSheetId="21">'x-215'!$B$7</definedName>
    <definedName name="TABLE_CLIENT_1" localSheetId="22">'x-220'!$B$7</definedName>
    <definedName name="TABLE_CLIENT_1" localSheetId="23">'x-221'!$B$7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'x-310'!$B$7</definedName>
    <definedName name="TABLE_CLIENT_1" localSheetId="34">'x-311'!$B$7</definedName>
    <definedName name="TABLE_CLIENT_1" localSheetId="35">'x-312'!$B$7</definedName>
    <definedName name="TABLE_CLIENT_1" localSheetId="36">'x-313'!$B$7</definedName>
    <definedName name="TABLE_CLIENT_1" localSheetId="37">'x-314'!$B$7</definedName>
    <definedName name="TABLE_CLIENT_1" localSheetId="38">'x-315'!$B$7</definedName>
    <definedName name="TABLE_CLIENT_1" localSheetId="39">'x-316'!$B$7</definedName>
    <definedName name="TABLE_CLIENT_1" localSheetId="40">'x-317'!$B$7</definedName>
    <definedName name="TABLE_CLIENT_1" localSheetId="41">'x-318'!$B$7</definedName>
    <definedName name="TABLE_CLIENT_1" localSheetId="42">'x-319'!$B$7</definedName>
    <definedName name="TABLE_CLIENT_1" localSheetId="43">'x-320'!$B$7</definedName>
    <definedName name="TABLE_CLIENT_1" localSheetId="44">'x-321'!$B$7</definedName>
    <definedName name="TABLE_CLIENT_1" localSheetId="45">'x-322'!$B$7</definedName>
    <definedName name="TABLE_CLIENT_1" localSheetId="46">'x-323'!$B$7</definedName>
    <definedName name="TABLE_CLIENT_1" localSheetId="47">'x-324'!$B$7</definedName>
    <definedName name="TABLE_CLIENT_1" localSheetId="48">'x-325'!$B$7</definedName>
    <definedName name="TABLE_CLIENT_1" localSheetId="49">'x-326'!$B$7</definedName>
    <definedName name="TABLE_CLIENT_1" localSheetId="50">'x-327'!$B$7</definedName>
    <definedName name="TABLE_CLIENT_1" localSheetId="51">'x-328'!$B$7</definedName>
    <definedName name="TABLE_CLIENT_1" localSheetId="52">'x-401'!$B$7</definedName>
    <definedName name="TABLE_CLIENT_1" localSheetId="53">'x-402'!$B$7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'x-506'!$B$7</definedName>
    <definedName name="TABLE_CLIENT_1" localSheetId="65">'x-603'!$B$7</definedName>
    <definedName name="TABLE_CLIENT_1" localSheetId="66">'x-604'!$B$7</definedName>
    <definedName name="TABLE_CLIENT_1" localSheetId="67">'x-605'!$B$7</definedName>
    <definedName name="TABLE_CLIENT_1" localSheetId="68">'x-606'!$B$7</definedName>
    <definedName name="TABLE_CLIENT_1" localSheetId="69">'x-607'!$B$7</definedName>
    <definedName name="TABLE_CLIENT_1" localSheetId="70">'x-608'!$B$7</definedName>
    <definedName name="TABLE_CLIENT_1" localSheetId="71">'x-609'!$B$7</definedName>
    <definedName name="TABLE_CLIENT_1" localSheetId="72">'x-610'!$B$7</definedName>
    <definedName name="TABLE_CLIENT_1" localSheetId="73">'x-611'!$B$7</definedName>
    <definedName name="TABLE_CLIENT_1" localSheetId="74">'x-612'!$B$7</definedName>
    <definedName name="TABLE_CLIENT_1" localSheetId="75">'x-613'!$B$7</definedName>
    <definedName name="TABLE_CLIENT_1" localSheetId="76">'x-614'!$B$7</definedName>
    <definedName name="TABLE_CLIENT_1" localSheetId="77">'x-615'!$B$7</definedName>
    <definedName name="TABLE_CLIENT_1" localSheetId="78">'x-616'!$B$7</definedName>
    <definedName name="TABLE_CLIENT_1" localSheetId="79">'x-617'!$B$7</definedName>
    <definedName name="TABLE_CLIENT_1" localSheetId="80">'x-618'!$B$7</definedName>
    <definedName name="TABLE_CLIENT_1" localSheetId="81">'x-619'!$B$7</definedName>
    <definedName name="TABLE_CLIENT_1" localSheetId="82">'x-620'!$B$7</definedName>
    <definedName name="TABLE_CLIENT_1" localSheetId="83">'x-621'!$B$7</definedName>
    <definedName name="TABLE_CLIENT_1" localSheetId="84">'x-622'!$B$7</definedName>
    <definedName name="TABLE_CLIENT_1" localSheetId="85">'x-623'!$B$7</definedName>
    <definedName name="TABLE_CLIENT_1" localSheetId="86">'x-624'!$B$7</definedName>
    <definedName name="TABLE_CLIENT_1" localSheetId="87">'x-625'!$B$7</definedName>
    <definedName name="TABLE_CLIENT_1" localSheetId="88">'x-626'!$B$7</definedName>
    <definedName name="TABLE_CLIENT_1" localSheetId="89">'x-627'!$B$7</definedName>
    <definedName name="TABLE_CLIENT_1" localSheetId="90">'x-701'!$B$7</definedName>
    <definedName name="TABLE_CLIENT_1" localSheetId="91">'x-702'!$B$7</definedName>
    <definedName name="TABLE_CLIENT_1" localSheetId="92">'x-802'!$B$7</definedName>
    <definedName name="TABLE_CLIENT_2" localSheetId="92">'x-802'!$G$7</definedName>
    <definedName name="TABLE_CLIENT_3" localSheetId="92">'x-802'!$K$7</definedName>
    <definedName name="TABLE_DATE_IMPLEMENTED">'x-Series Number'!$B$19</definedName>
    <definedName name="TABLE_DATE_IMPLEMENTED_1" localSheetId="7">'x-201'!$B$19</definedName>
    <definedName name="TABLE_DATE_IMPLEMENTED_1" localSheetId="8">'x-202'!$B$19</definedName>
    <definedName name="TABLE_DATE_IMPLEMENTED_1" localSheetId="9">'x-203'!$B$19</definedName>
    <definedName name="TABLE_DATE_IMPLEMENTED_1" localSheetId="10">'x-204'!$B$19</definedName>
    <definedName name="TABLE_DATE_IMPLEMENTED_1" localSheetId="11">'x-205'!$B$19</definedName>
    <definedName name="TABLE_DATE_IMPLEMENTED_1" localSheetId="12">'x-206'!$B$19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'x-210'!$B$19</definedName>
    <definedName name="TABLE_DATE_IMPLEMENTED_1" localSheetId="17">'x-211'!$B$19</definedName>
    <definedName name="TABLE_DATE_IMPLEMENTED_1" localSheetId="18">'x-212'!$B$19</definedName>
    <definedName name="TABLE_DATE_IMPLEMENTED_1" localSheetId="19">'x-213'!$B$19</definedName>
    <definedName name="TABLE_DATE_IMPLEMENTED_1" localSheetId="20">'x-214'!$B$19</definedName>
    <definedName name="TABLE_DATE_IMPLEMENTED_1" localSheetId="21">'x-215'!$B$19</definedName>
    <definedName name="TABLE_DATE_IMPLEMENTED_1" localSheetId="22">'x-220'!$B$19</definedName>
    <definedName name="TABLE_DATE_IMPLEMENTED_1" localSheetId="23">'x-221'!$B$19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'x-310'!$B$19</definedName>
    <definedName name="TABLE_DATE_IMPLEMENTED_1" localSheetId="34">'x-311'!$B$19</definedName>
    <definedName name="TABLE_DATE_IMPLEMENTED_1" localSheetId="35">'x-312'!$B$19</definedName>
    <definedName name="TABLE_DATE_IMPLEMENTED_1" localSheetId="36">'x-313'!$B$19</definedName>
    <definedName name="TABLE_DATE_IMPLEMENTED_1" localSheetId="37">'x-314'!$B$19</definedName>
    <definedName name="TABLE_DATE_IMPLEMENTED_1" localSheetId="38">'x-315'!$B$19</definedName>
    <definedName name="TABLE_DATE_IMPLEMENTED_1" localSheetId="39">'x-316'!$B$19</definedName>
    <definedName name="TABLE_DATE_IMPLEMENTED_1" localSheetId="40">'x-317'!$B$19</definedName>
    <definedName name="TABLE_DATE_IMPLEMENTED_1" localSheetId="41">'x-318'!$B$19</definedName>
    <definedName name="TABLE_DATE_IMPLEMENTED_1" localSheetId="42">'x-319'!$B$19</definedName>
    <definedName name="TABLE_DATE_IMPLEMENTED_1" localSheetId="43">'x-320'!$B$19</definedName>
    <definedName name="TABLE_DATE_IMPLEMENTED_1" localSheetId="44">'x-321'!$B$19</definedName>
    <definedName name="TABLE_DATE_IMPLEMENTED_1" localSheetId="45">'x-322'!$B$19</definedName>
    <definedName name="TABLE_DATE_IMPLEMENTED_1" localSheetId="46">'x-323'!$B$19</definedName>
    <definedName name="TABLE_DATE_IMPLEMENTED_1" localSheetId="47">'x-324'!$B$19</definedName>
    <definedName name="TABLE_DATE_IMPLEMENTED_1" localSheetId="48">'x-325'!$B$19</definedName>
    <definedName name="TABLE_DATE_IMPLEMENTED_1" localSheetId="49">'x-326'!$B$19</definedName>
    <definedName name="TABLE_DATE_IMPLEMENTED_1" localSheetId="50">'x-327'!$B$19</definedName>
    <definedName name="TABLE_DATE_IMPLEMENTED_1" localSheetId="51">'x-328'!$B$19</definedName>
    <definedName name="TABLE_DATE_IMPLEMENTED_1" localSheetId="52">'x-401'!$B$19</definedName>
    <definedName name="TABLE_DATE_IMPLEMENTED_1" localSheetId="53">'x-402'!$B$19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'x-506'!$B$19</definedName>
    <definedName name="TABLE_DATE_IMPLEMENTED_1" localSheetId="65">'x-603'!$B$19</definedName>
    <definedName name="TABLE_DATE_IMPLEMENTED_1" localSheetId="66">'x-604'!$B$19</definedName>
    <definedName name="TABLE_DATE_IMPLEMENTED_1" localSheetId="67">'x-605'!$B$19</definedName>
    <definedName name="TABLE_DATE_IMPLEMENTED_1" localSheetId="68">'x-606'!$B$19</definedName>
    <definedName name="TABLE_DATE_IMPLEMENTED_1" localSheetId="69">'x-607'!$B$19</definedName>
    <definedName name="TABLE_DATE_IMPLEMENTED_1" localSheetId="70">'x-608'!$B$19</definedName>
    <definedName name="TABLE_DATE_IMPLEMENTED_1" localSheetId="71">'x-609'!$B$19</definedName>
    <definedName name="TABLE_DATE_IMPLEMENTED_1" localSheetId="72">'x-610'!$B$19</definedName>
    <definedName name="TABLE_DATE_IMPLEMENTED_1" localSheetId="73">'x-611'!$B$19</definedName>
    <definedName name="TABLE_DATE_IMPLEMENTED_1" localSheetId="74">'x-612'!$B$19</definedName>
    <definedName name="TABLE_DATE_IMPLEMENTED_1" localSheetId="75">'x-613'!$B$19</definedName>
    <definedName name="TABLE_DATE_IMPLEMENTED_1" localSheetId="76">'x-614'!$B$19</definedName>
    <definedName name="TABLE_DATE_IMPLEMENTED_1" localSheetId="77">'x-615'!$B$19</definedName>
    <definedName name="TABLE_DATE_IMPLEMENTED_1" localSheetId="78">'x-616'!$B$19</definedName>
    <definedName name="TABLE_DATE_IMPLEMENTED_1" localSheetId="79">'x-617'!$B$19</definedName>
    <definedName name="TABLE_DATE_IMPLEMENTED_1" localSheetId="80">'x-618'!$B$19</definedName>
    <definedName name="TABLE_DATE_IMPLEMENTED_1" localSheetId="81">'x-619'!$B$19</definedName>
    <definedName name="TABLE_DATE_IMPLEMENTED_1" localSheetId="82">'x-620'!$B$19</definedName>
    <definedName name="TABLE_DATE_IMPLEMENTED_1" localSheetId="83">'x-621'!$B$19</definedName>
    <definedName name="TABLE_DATE_IMPLEMENTED_1" localSheetId="84">'x-622'!$B$19</definedName>
    <definedName name="TABLE_DATE_IMPLEMENTED_1" localSheetId="85">'x-623'!$B$19</definedName>
    <definedName name="TABLE_DATE_IMPLEMENTED_1" localSheetId="86">'x-624'!$B$19</definedName>
    <definedName name="TABLE_DATE_IMPLEMENTED_1" localSheetId="87">'x-625'!$B$19</definedName>
    <definedName name="TABLE_DATE_IMPLEMENTED_1" localSheetId="88">'x-626'!$B$19</definedName>
    <definedName name="TABLE_DATE_IMPLEMENTED_1" localSheetId="89">'x-627'!$B$19</definedName>
    <definedName name="TABLE_DATE_IMPLEMENTED_1" localSheetId="90">'x-701'!$B$19</definedName>
    <definedName name="TABLE_DATE_IMPLEMENTED_1" localSheetId="91">'x-702'!$B$19</definedName>
    <definedName name="TABLE_DATE_IMPLEMENTED_1" localSheetId="92">'x-802'!$B$19</definedName>
    <definedName name="TABLE_DATE_IMPLEMENTED_2" localSheetId="92">'x-802'!$G$19</definedName>
    <definedName name="TABLE_DATE_IMPLEMENTED_3" localSheetId="92">'x-802'!$K$19</definedName>
    <definedName name="TABLE_DATE_ISSUED">'x-Series Number'!$B$18</definedName>
    <definedName name="TABLE_DATE_ISSUED_1" localSheetId="7">'x-201'!$B$18</definedName>
    <definedName name="TABLE_DATE_ISSUED_1" localSheetId="8">'x-202'!$B$18</definedName>
    <definedName name="TABLE_DATE_ISSUED_1" localSheetId="9">'x-203'!$B$18</definedName>
    <definedName name="TABLE_DATE_ISSUED_1" localSheetId="10">'x-204'!$B$18</definedName>
    <definedName name="TABLE_DATE_ISSUED_1" localSheetId="11">'x-205'!$B$18</definedName>
    <definedName name="TABLE_DATE_ISSUED_1" localSheetId="12">'x-206'!$B$18</definedName>
    <definedName name="TABLE_DATE_ISSUED_1" localSheetId="13">'x-207'!$B$18</definedName>
    <definedName name="TABLE_DATE_ISSUED_1" localSheetId="14">'x-208'!$B$18</definedName>
    <definedName name="TABLE_DATE_ISSUED_1" localSheetId="15">'x-209'!$B$18</definedName>
    <definedName name="TABLE_DATE_ISSUED_1" localSheetId="16">'x-210'!$B$18</definedName>
    <definedName name="TABLE_DATE_ISSUED_1" localSheetId="17">'x-211'!$B$18</definedName>
    <definedName name="TABLE_DATE_ISSUED_1" localSheetId="18">'x-212'!$B$18</definedName>
    <definedName name="TABLE_DATE_ISSUED_1" localSheetId="19">'x-213'!$B$18</definedName>
    <definedName name="TABLE_DATE_ISSUED_1" localSheetId="20">'x-214'!$B$18</definedName>
    <definedName name="TABLE_DATE_ISSUED_1" localSheetId="21">'x-215'!$B$18</definedName>
    <definedName name="TABLE_DATE_ISSUED_1" localSheetId="22">'x-220'!$B$18</definedName>
    <definedName name="TABLE_DATE_ISSUED_1" localSheetId="23">'x-221'!$B$18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'x-310'!$B$18</definedName>
    <definedName name="TABLE_DATE_ISSUED_1" localSheetId="34">'x-311'!$B$18</definedName>
    <definedName name="TABLE_DATE_ISSUED_1" localSheetId="35">'x-312'!$B$18</definedName>
    <definedName name="TABLE_DATE_ISSUED_1" localSheetId="36">'x-313'!$B$18</definedName>
    <definedName name="TABLE_DATE_ISSUED_1" localSheetId="37">'x-314'!$B$18</definedName>
    <definedName name="TABLE_DATE_ISSUED_1" localSheetId="38">'x-315'!$B$18</definedName>
    <definedName name="TABLE_DATE_ISSUED_1" localSheetId="39">'x-316'!$B$18</definedName>
    <definedName name="TABLE_DATE_ISSUED_1" localSheetId="40">'x-317'!$B$18</definedName>
    <definedName name="TABLE_DATE_ISSUED_1" localSheetId="41">'x-318'!$B$18</definedName>
    <definedName name="TABLE_DATE_ISSUED_1" localSheetId="42">'x-319'!$B$18</definedName>
    <definedName name="TABLE_DATE_ISSUED_1" localSheetId="43">'x-320'!$B$18</definedName>
    <definedName name="TABLE_DATE_ISSUED_1" localSheetId="44">'x-321'!$B$18</definedName>
    <definedName name="TABLE_DATE_ISSUED_1" localSheetId="45">'x-322'!$B$18</definedName>
    <definedName name="TABLE_DATE_ISSUED_1" localSheetId="46">'x-323'!$B$18</definedName>
    <definedName name="TABLE_DATE_ISSUED_1" localSheetId="47">'x-324'!$B$18</definedName>
    <definedName name="TABLE_DATE_ISSUED_1" localSheetId="48">'x-325'!$B$18</definedName>
    <definedName name="TABLE_DATE_ISSUED_1" localSheetId="49">'x-326'!$B$18</definedName>
    <definedName name="TABLE_DATE_ISSUED_1" localSheetId="50">'x-327'!$B$18</definedName>
    <definedName name="TABLE_DATE_ISSUED_1" localSheetId="51">'x-328'!$B$18</definedName>
    <definedName name="TABLE_DATE_ISSUED_1" localSheetId="52">'x-401'!$B$18</definedName>
    <definedName name="TABLE_DATE_ISSUED_1" localSheetId="53">'x-402'!$B$18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'x-506'!$B$18</definedName>
    <definedName name="TABLE_DATE_ISSUED_1" localSheetId="65">'x-603'!$B$18</definedName>
    <definedName name="TABLE_DATE_ISSUED_1" localSheetId="66">'x-604'!$B$18</definedName>
    <definedName name="TABLE_DATE_ISSUED_1" localSheetId="67">'x-605'!$B$18</definedName>
    <definedName name="TABLE_DATE_ISSUED_1" localSheetId="68">'x-606'!$B$18</definedName>
    <definedName name="TABLE_DATE_ISSUED_1" localSheetId="69">'x-607'!$B$18</definedName>
    <definedName name="TABLE_DATE_ISSUED_1" localSheetId="70">'x-608'!$B$18</definedName>
    <definedName name="TABLE_DATE_ISSUED_1" localSheetId="71">'x-609'!$B$18</definedName>
    <definedName name="TABLE_DATE_ISSUED_1" localSheetId="72">'x-610'!$B$18</definedName>
    <definedName name="TABLE_DATE_ISSUED_1" localSheetId="73">'x-611'!$B$18</definedName>
    <definedName name="TABLE_DATE_ISSUED_1" localSheetId="74">'x-612'!$B$18</definedName>
    <definedName name="TABLE_DATE_ISSUED_1" localSheetId="75">'x-613'!$B$18</definedName>
    <definedName name="TABLE_DATE_ISSUED_1" localSheetId="76">'x-614'!$B$18</definedName>
    <definedName name="TABLE_DATE_ISSUED_1" localSheetId="77">'x-615'!$B$18</definedName>
    <definedName name="TABLE_DATE_ISSUED_1" localSheetId="78">'x-616'!$B$18</definedName>
    <definedName name="TABLE_DATE_ISSUED_1" localSheetId="79">'x-617'!$B$18</definedName>
    <definedName name="TABLE_DATE_ISSUED_1" localSheetId="80">'x-618'!$B$18</definedName>
    <definedName name="TABLE_DATE_ISSUED_1" localSheetId="81">'x-619'!$B$18</definedName>
    <definedName name="TABLE_DATE_ISSUED_1" localSheetId="82">'x-620'!$B$18</definedName>
    <definedName name="TABLE_DATE_ISSUED_1" localSheetId="83">'x-621'!$B$18</definedName>
    <definedName name="TABLE_DATE_ISSUED_1" localSheetId="84">'x-622'!$B$18</definedName>
    <definedName name="TABLE_DATE_ISSUED_1" localSheetId="85">'x-623'!$B$18</definedName>
    <definedName name="TABLE_DATE_ISSUED_1" localSheetId="86">'x-624'!$B$18</definedName>
    <definedName name="TABLE_DATE_ISSUED_1" localSheetId="87">'x-625'!$B$18</definedName>
    <definedName name="TABLE_DATE_ISSUED_1" localSheetId="88">'x-626'!$B$18</definedName>
    <definedName name="TABLE_DATE_ISSUED_1" localSheetId="89">'x-627'!$B$18</definedName>
    <definedName name="TABLE_DATE_ISSUED_1" localSheetId="90">'x-701'!$B$18</definedName>
    <definedName name="TABLE_DATE_ISSUED_1" localSheetId="91">'x-702'!$B$18</definedName>
    <definedName name="TABLE_DATE_ISSUED_1" localSheetId="92">'x-802'!$B$18</definedName>
    <definedName name="TABLE_DATE_ISSUED_2" localSheetId="92">'x-802'!$G$18</definedName>
    <definedName name="TABLE_DATE_ISSUED_3" localSheetId="92">'x-802'!$K$18</definedName>
    <definedName name="TABLE_DESCRIPTION">'x-Series Number'!$B$10</definedName>
    <definedName name="TABLE_DESCRIPTION_1" localSheetId="7">'x-201'!$B$10</definedName>
    <definedName name="TABLE_DESCRIPTION_1" localSheetId="8">'x-202'!$B$10</definedName>
    <definedName name="TABLE_DESCRIPTION_1" localSheetId="9">'x-203'!$B$10</definedName>
    <definedName name="TABLE_DESCRIPTION_1" localSheetId="10">'x-204'!$B$10</definedName>
    <definedName name="TABLE_DESCRIPTION_1" localSheetId="11">'x-205'!$B$10</definedName>
    <definedName name="TABLE_DESCRIPTION_1" localSheetId="12">'x-206'!$B$10</definedName>
    <definedName name="TABLE_DESCRIPTION_1" localSheetId="13">'x-207'!$B$10</definedName>
    <definedName name="TABLE_DESCRIPTION_1" localSheetId="14">'x-208'!$B$10</definedName>
    <definedName name="TABLE_DESCRIPTION_1" localSheetId="15">'x-209'!$B$10</definedName>
    <definedName name="TABLE_DESCRIPTION_1" localSheetId="16">'x-210'!$B$10</definedName>
    <definedName name="TABLE_DESCRIPTION_1" localSheetId="17">'x-211'!$B$10</definedName>
    <definedName name="TABLE_DESCRIPTION_1" localSheetId="18">'x-212'!$B$10</definedName>
    <definedName name="TABLE_DESCRIPTION_1" localSheetId="19">'x-213'!$B$10</definedName>
    <definedName name="TABLE_DESCRIPTION_1" localSheetId="20">'x-214'!$B$10</definedName>
    <definedName name="TABLE_DESCRIPTION_1" localSheetId="21">'x-215'!$B$10</definedName>
    <definedName name="TABLE_DESCRIPTION_1" localSheetId="22">'x-220'!$B$10</definedName>
    <definedName name="TABLE_DESCRIPTION_1" localSheetId="23">'x-221'!$B$10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'x-310'!$B$10</definedName>
    <definedName name="TABLE_DESCRIPTION_1" localSheetId="34">'x-311'!$B$10</definedName>
    <definedName name="TABLE_DESCRIPTION_1" localSheetId="35">'x-312'!$B$10</definedName>
    <definedName name="TABLE_DESCRIPTION_1" localSheetId="36">'x-313'!$B$10</definedName>
    <definedName name="TABLE_DESCRIPTION_1" localSheetId="37">'x-314'!$B$10</definedName>
    <definedName name="TABLE_DESCRIPTION_1" localSheetId="38">'x-315'!$B$10</definedName>
    <definedName name="TABLE_DESCRIPTION_1" localSheetId="39">'x-316'!$B$10</definedName>
    <definedName name="TABLE_DESCRIPTION_1" localSheetId="40">'x-317'!$B$10</definedName>
    <definedName name="TABLE_DESCRIPTION_1" localSheetId="41">'x-318'!$B$10</definedName>
    <definedName name="TABLE_DESCRIPTION_1" localSheetId="42">'x-319'!$B$10</definedName>
    <definedName name="TABLE_DESCRIPTION_1" localSheetId="43">'x-320'!$B$10</definedName>
    <definedName name="TABLE_DESCRIPTION_1" localSheetId="44">'x-321'!$B$10</definedName>
    <definedName name="TABLE_DESCRIPTION_1" localSheetId="45">'x-322'!$B$10</definedName>
    <definedName name="TABLE_DESCRIPTION_1" localSheetId="46">'x-323'!$B$10</definedName>
    <definedName name="TABLE_DESCRIPTION_1" localSheetId="47">'x-324'!$B$10</definedName>
    <definedName name="TABLE_DESCRIPTION_1" localSheetId="48">'x-325'!$B$10</definedName>
    <definedName name="TABLE_DESCRIPTION_1" localSheetId="49">'x-326'!$B$10</definedName>
    <definedName name="TABLE_DESCRIPTION_1" localSheetId="50">'x-327'!$B$10</definedName>
    <definedName name="TABLE_DESCRIPTION_1" localSheetId="51">'x-328'!$B$10</definedName>
    <definedName name="TABLE_DESCRIPTION_1" localSheetId="52">'x-401'!$B$10</definedName>
    <definedName name="TABLE_DESCRIPTION_1" localSheetId="53">'x-402'!$B$10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'x-506'!$B$10</definedName>
    <definedName name="TABLE_DESCRIPTION_1" localSheetId="65">'x-603'!$B$10</definedName>
    <definedName name="TABLE_DESCRIPTION_1" localSheetId="66">'x-604'!$B$10</definedName>
    <definedName name="TABLE_DESCRIPTION_1" localSheetId="67">'x-605'!$B$10</definedName>
    <definedName name="TABLE_DESCRIPTION_1" localSheetId="68">'x-606'!$B$10</definedName>
    <definedName name="TABLE_DESCRIPTION_1" localSheetId="69">'x-607'!$B$10</definedName>
    <definedName name="TABLE_DESCRIPTION_1" localSheetId="70">'x-608'!$B$10</definedName>
    <definedName name="TABLE_DESCRIPTION_1" localSheetId="71">'x-609'!$B$10</definedName>
    <definedName name="TABLE_DESCRIPTION_1" localSheetId="72">'x-610'!$B$10</definedName>
    <definedName name="TABLE_DESCRIPTION_1" localSheetId="73">'x-611'!$B$10</definedName>
    <definedName name="TABLE_DESCRIPTION_1" localSheetId="74">'x-612'!$B$10</definedName>
    <definedName name="TABLE_DESCRIPTION_1" localSheetId="75">'x-613'!$B$10</definedName>
    <definedName name="TABLE_DESCRIPTION_1" localSheetId="76">'x-614'!$B$10</definedName>
    <definedName name="TABLE_DESCRIPTION_1" localSheetId="77">'x-615'!$B$10</definedName>
    <definedName name="TABLE_DESCRIPTION_1" localSheetId="78">'x-616'!$B$10</definedName>
    <definedName name="TABLE_DESCRIPTION_1" localSheetId="79">'x-617'!$B$10</definedName>
    <definedName name="TABLE_DESCRIPTION_1" localSheetId="80">'x-618'!$B$10</definedName>
    <definedName name="TABLE_DESCRIPTION_1" localSheetId="81">'x-619'!$B$10</definedName>
    <definedName name="TABLE_DESCRIPTION_1" localSheetId="82">'x-620'!$B$10</definedName>
    <definedName name="TABLE_DESCRIPTION_1" localSheetId="83">'x-621'!$B$10</definedName>
    <definedName name="TABLE_DESCRIPTION_1" localSheetId="84">'x-622'!$B$10</definedName>
    <definedName name="TABLE_DESCRIPTION_1" localSheetId="85">'x-623'!$B$10</definedName>
    <definedName name="TABLE_DESCRIPTION_1" localSheetId="86">'x-624'!$B$10</definedName>
    <definedName name="TABLE_DESCRIPTION_1" localSheetId="87">'x-625'!$B$10</definedName>
    <definedName name="TABLE_DESCRIPTION_1" localSheetId="88">'x-626'!$B$10</definedName>
    <definedName name="TABLE_DESCRIPTION_1" localSheetId="89">'x-627'!$B$10</definedName>
    <definedName name="TABLE_DESCRIPTION_1" localSheetId="90">'x-701'!$B$10</definedName>
    <definedName name="TABLE_DESCRIPTION_1" localSheetId="91">'x-702'!$B$10</definedName>
    <definedName name="TABLE_DESCRIPTION_1" localSheetId="92">'x-802'!$B$10</definedName>
    <definedName name="TABLE_DESCRIPTION_2" localSheetId="92">'x-802'!$G$10</definedName>
    <definedName name="TABLE_DESCRIPTION_3" localSheetId="92">'x-802'!$K$10</definedName>
    <definedName name="TABLE_FACTOR_STATUS">'x-Series Number'!$B$20</definedName>
    <definedName name="TABLE_FACTOR_STATUS_1" localSheetId="7">'x-201'!$B$20</definedName>
    <definedName name="TABLE_FACTOR_STATUS_1" localSheetId="8">'x-202'!$B$20</definedName>
    <definedName name="TABLE_FACTOR_STATUS_1" localSheetId="9">'x-203'!$B$20</definedName>
    <definedName name="TABLE_FACTOR_STATUS_1" localSheetId="10">'x-204'!$B$20</definedName>
    <definedName name="TABLE_FACTOR_STATUS_1" localSheetId="11">'x-205'!$B$20</definedName>
    <definedName name="TABLE_FACTOR_STATUS_1" localSheetId="12">'x-206'!$B$20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'x-210'!$B$20</definedName>
    <definedName name="TABLE_FACTOR_STATUS_1" localSheetId="17">'x-211'!$B$20</definedName>
    <definedName name="TABLE_FACTOR_STATUS_1" localSheetId="18">'x-212'!$B$20</definedName>
    <definedName name="TABLE_FACTOR_STATUS_1" localSheetId="19">'x-213'!$B$20</definedName>
    <definedName name="TABLE_FACTOR_STATUS_1" localSheetId="20">'x-214'!$B$20</definedName>
    <definedName name="TABLE_FACTOR_STATUS_1" localSheetId="21">'x-215'!$B$20</definedName>
    <definedName name="TABLE_FACTOR_STATUS_1" localSheetId="22">'x-220'!$B$20</definedName>
    <definedName name="TABLE_FACTOR_STATUS_1" localSheetId="23">'x-221'!$B$20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'x-310'!$B$20</definedName>
    <definedName name="TABLE_FACTOR_STATUS_1" localSheetId="34">'x-311'!$B$20</definedName>
    <definedName name="TABLE_FACTOR_STATUS_1" localSheetId="35">'x-312'!$B$20</definedName>
    <definedName name="TABLE_FACTOR_STATUS_1" localSheetId="36">'x-313'!$B$20</definedName>
    <definedName name="TABLE_FACTOR_STATUS_1" localSheetId="37">'x-314'!$B$20</definedName>
    <definedName name="TABLE_FACTOR_STATUS_1" localSheetId="38">'x-315'!$B$20</definedName>
    <definedName name="TABLE_FACTOR_STATUS_1" localSheetId="39">'x-316'!$B$20</definedName>
    <definedName name="TABLE_FACTOR_STATUS_1" localSheetId="40">'x-317'!$B$20</definedName>
    <definedName name="TABLE_FACTOR_STATUS_1" localSheetId="41">'x-318'!$B$20</definedName>
    <definedName name="TABLE_FACTOR_STATUS_1" localSheetId="42">'x-319'!$B$20</definedName>
    <definedName name="TABLE_FACTOR_STATUS_1" localSheetId="43">'x-320'!$B$20</definedName>
    <definedName name="TABLE_FACTOR_STATUS_1" localSheetId="44">'x-321'!$B$20</definedName>
    <definedName name="TABLE_FACTOR_STATUS_1" localSheetId="45">'x-322'!$B$20</definedName>
    <definedName name="TABLE_FACTOR_STATUS_1" localSheetId="46">'x-323'!$B$20</definedName>
    <definedName name="TABLE_FACTOR_STATUS_1" localSheetId="47">'x-324'!$B$20</definedName>
    <definedName name="TABLE_FACTOR_STATUS_1" localSheetId="48">'x-325'!$B$20</definedName>
    <definedName name="TABLE_FACTOR_STATUS_1" localSheetId="49">'x-326'!$B$20</definedName>
    <definedName name="TABLE_FACTOR_STATUS_1" localSheetId="50">'x-327'!$B$20</definedName>
    <definedName name="TABLE_FACTOR_STATUS_1" localSheetId="51">'x-328'!$B$20</definedName>
    <definedName name="TABLE_FACTOR_STATUS_1" localSheetId="52">'x-401'!$B$20</definedName>
    <definedName name="TABLE_FACTOR_STATUS_1" localSheetId="53">'x-402'!$B$20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'x-506'!$B$20</definedName>
    <definedName name="TABLE_FACTOR_STATUS_1" localSheetId="65">'x-603'!$B$20</definedName>
    <definedName name="TABLE_FACTOR_STATUS_1" localSheetId="66">'x-604'!$B$20</definedName>
    <definedName name="TABLE_FACTOR_STATUS_1" localSheetId="67">'x-605'!$B$20</definedName>
    <definedName name="TABLE_FACTOR_STATUS_1" localSheetId="68">'x-606'!$B$20</definedName>
    <definedName name="TABLE_FACTOR_STATUS_1" localSheetId="69">'x-607'!$B$20</definedName>
    <definedName name="TABLE_FACTOR_STATUS_1" localSheetId="70">'x-608'!$B$20</definedName>
    <definedName name="TABLE_FACTOR_STATUS_1" localSheetId="71">'x-609'!$B$20</definedName>
    <definedName name="TABLE_FACTOR_STATUS_1" localSheetId="72">'x-610'!$B$20</definedName>
    <definedName name="TABLE_FACTOR_STATUS_1" localSheetId="73">'x-611'!$B$20</definedName>
    <definedName name="TABLE_FACTOR_STATUS_1" localSheetId="74">'x-612'!$B$20</definedName>
    <definedName name="TABLE_FACTOR_STATUS_1" localSheetId="75">'x-613'!$B$20</definedName>
    <definedName name="TABLE_FACTOR_STATUS_1" localSheetId="76">'x-614'!$B$20</definedName>
    <definedName name="TABLE_FACTOR_STATUS_1" localSheetId="77">'x-615'!$B$20</definedName>
    <definedName name="TABLE_FACTOR_STATUS_1" localSheetId="78">'x-616'!$B$20</definedName>
    <definedName name="TABLE_FACTOR_STATUS_1" localSheetId="79">'x-617'!$B$20</definedName>
    <definedName name="TABLE_FACTOR_STATUS_1" localSheetId="80">'x-618'!$B$20</definedName>
    <definedName name="TABLE_FACTOR_STATUS_1" localSheetId="81">'x-619'!$B$20</definedName>
    <definedName name="TABLE_FACTOR_STATUS_1" localSheetId="82">'x-620'!$B$20</definedName>
    <definedName name="TABLE_FACTOR_STATUS_1" localSheetId="83">'x-621'!$B$20</definedName>
    <definedName name="TABLE_FACTOR_STATUS_1" localSheetId="84">'x-622'!$B$20</definedName>
    <definedName name="TABLE_FACTOR_STATUS_1" localSheetId="85">'x-623'!$B$20</definedName>
    <definedName name="TABLE_FACTOR_STATUS_1" localSheetId="86">'x-624'!$B$20</definedName>
    <definedName name="TABLE_FACTOR_STATUS_1" localSheetId="87">'x-625'!$B$20</definedName>
    <definedName name="TABLE_FACTOR_STATUS_1" localSheetId="88">'x-626'!$B$20</definedName>
    <definedName name="TABLE_FACTOR_STATUS_1" localSheetId="89">'x-627'!$B$20</definedName>
    <definedName name="TABLE_FACTOR_STATUS_1" localSheetId="90">'x-701'!$B$20</definedName>
    <definedName name="TABLE_FACTOR_STATUS_1" localSheetId="91">'x-702'!$B$20</definedName>
    <definedName name="TABLE_FACTOR_STATUS_1" localSheetId="92">'x-802'!$B$20</definedName>
    <definedName name="TABLE_FACTOR_STATUS_2" localSheetId="92">'x-802'!$G$20</definedName>
    <definedName name="TABLE_FACTOR_STATUS_3" localSheetId="92">'x-802'!$K$20</definedName>
    <definedName name="TABLE_FACTOR_TYPE" localSheetId="6">'[1]x-Series Number'!$B$9</definedName>
    <definedName name="TABLE_FACTOR_TYPE">'x-Series Number'!$B$9</definedName>
    <definedName name="TABLE_FACTOR_TYPE_1" localSheetId="7">'x-201'!$B$9</definedName>
    <definedName name="TABLE_FACTOR_TYPE_1" localSheetId="8">'x-202'!$B$9</definedName>
    <definedName name="TABLE_FACTOR_TYPE_1" localSheetId="9">'x-203'!$B$9</definedName>
    <definedName name="TABLE_FACTOR_TYPE_1" localSheetId="10">'x-204'!$B$9</definedName>
    <definedName name="TABLE_FACTOR_TYPE_1" localSheetId="11">'x-205'!$B$9</definedName>
    <definedName name="TABLE_FACTOR_TYPE_1" localSheetId="12">'x-206'!$B$9</definedName>
    <definedName name="TABLE_FACTOR_TYPE_1" localSheetId="13">'x-207'!$B$9</definedName>
    <definedName name="TABLE_FACTOR_TYPE_1" localSheetId="14">'x-208'!$B$9</definedName>
    <definedName name="TABLE_FACTOR_TYPE_1" localSheetId="15">'x-209'!$B$9</definedName>
    <definedName name="TABLE_FACTOR_TYPE_1" localSheetId="16">'x-210'!$B$9</definedName>
    <definedName name="TABLE_FACTOR_TYPE_1" localSheetId="17">'x-211'!$B$9</definedName>
    <definedName name="TABLE_FACTOR_TYPE_1" localSheetId="18">'x-212'!$B$9</definedName>
    <definedName name="TABLE_FACTOR_TYPE_1" localSheetId="19">'x-213'!$B$9</definedName>
    <definedName name="TABLE_FACTOR_TYPE_1" localSheetId="20">'x-214'!$B$9</definedName>
    <definedName name="TABLE_FACTOR_TYPE_1" localSheetId="21">'x-215'!$B$9</definedName>
    <definedName name="TABLE_FACTOR_TYPE_1" localSheetId="22">'x-220'!$B$9</definedName>
    <definedName name="TABLE_FACTOR_TYPE_1" localSheetId="23">'x-221'!$B$9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'x-310'!$B$9</definedName>
    <definedName name="TABLE_FACTOR_TYPE_1" localSheetId="34">'x-311'!$B$9</definedName>
    <definedName name="TABLE_FACTOR_TYPE_1" localSheetId="35">'x-312'!$B$9</definedName>
    <definedName name="TABLE_FACTOR_TYPE_1" localSheetId="36">'x-313'!$B$9</definedName>
    <definedName name="TABLE_FACTOR_TYPE_1" localSheetId="37">'x-314'!$B$9</definedName>
    <definedName name="TABLE_FACTOR_TYPE_1" localSheetId="38">'x-315'!$B$9</definedName>
    <definedName name="TABLE_FACTOR_TYPE_1" localSheetId="39">'x-316'!$B$9</definedName>
    <definedName name="TABLE_FACTOR_TYPE_1" localSheetId="40">'x-317'!$B$9</definedName>
    <definedName name="TABLE_FACTOR_TYPE_1" localSheetId="41">'x-318'!$B$9</definedName>
    <definedName name="TABLE_FACTOR_TYPE_1" localSheetId="42">'x-319'!$B$9</definedName>
    <definedName name="TABLE_FACTOR_TYPE_1" localSheetId="43">'x-320'!$B$9</definedName>
    <definedName name="TABLE_FACTOR_TYPE_1" localSheetId="44">'x-321'!$B$9</definedName>
    <definedName name="TABLE_FACTOR_TYPE_1" localSheetId="45">'x-322'!$B$9</definedName>
    <definedName name="TABLE_FACTOR_TYPE_1" localSheetId="46">'x-323'!$B$9</definedName>
    <definedName name="TABLE_FACTOR_TYPE_1" localSheetId="47">'x-324'!$B$9</definedName>
    <definedName name="TABLE_FACTOR_TYPE_1" localSheetId="48">'x-325'!$B$9</definedName>
    <definedName name="TABLE_FACTOR_TYPE_1" localSheetId="49">'x-326'!$B$9</definedName>
    <definedName name="TABLE_FACTOR_TYPE_1" localSheetId="50">'x-327'!$B$9</definedName>
    <definedName name="TABLE_FACTOR_TYPE_1" localSheetId="51">'x-328'!$B$9</definedName>
    <definedName name="TABLE_FACTOR_TYPE_1" localSheetId="52">'x-401'!$B$9</definedName>
    <definedName name="TABLE_FACTOR_TYPE_1" localSheetId="53">'x-402'!$B$9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'x-506'!$B$9</definedName>
    <definedName name="TABLE_FACTOR_TYPE_1" localSheetId="65">'x-603'!$B$9</definedName>
    <definedName name="TABLE_FACTOR_TYPE_1" localSheetId="66">'x-604'!$B$9</definedName>
    <definedName name="TABLE_FACTOR_TYPE_1" localSheetId="67">'x-605'!$B$9</definedName>
    <definedName name="TABLE_FACTOR_TYPE_1" localSheetId="68">'x-606'!$B$9</definedName>
    <definedName name="TABLE_FACTOR_TYPE_1" localSheetId="69">'x-607'!$B$9</definedName>
    <definedName name="TABLE_FACTOR_TYPE_1" localSheetId="70">'x-608'!$B$9</definedName>
    <definedName name="TABLE_FACTOR_TYPE_1" localSheetId="71">'x-609'!$B$9</definedName>
    <definedName name="TABLE_FACTOR_TYPE_1" localSheetId="72">'x-610'!$B$9</definedName>
    <definedName name="TABLE_FACTOR_TYPE_1" localSheetId="73">'x-611'!$B$9</definedName>
    <definedName name="TABLE_FACTOR_TYPE_1" localSheetId="74">'x-612'!$B$9</definedName>
    <definedName name="TABLE_FACTOR_TYPE_1" localSheetId="75">'x-613'!$B$9</definedName>
    <definedName name="TABLE_FACTOR_TYPE_1" localSheetId="76">'x-614'!$B$9</definedName>
    <definedName name="TABLE_FACTOR_TYPE_1" localSheetId="77">'x-615'!$B$9</definedName>
    <definedName name="TABLE_FACTOR_TYPE_1" localSheetId="78">'x-616'!$B$9</definedName>
    <definedName name="TABLE_FACTOR_TYPE_1" localSheetId="79">'x-617'!$B$9</definedName>
    <definedName name="TABLE_FACTOR_TYPE_1" localSheetId="80">'x-618'!$B$9</definedName>
    <definedName name="TABLE_FACTOR_TYPE_1" localSheetId="81">'x-619'!$B$9</definedName>
    <definedName name="TABLE_FACTOR_TYPE_1" localSheetId="82">'x-620'!$B$9</definedName>
    <definedName name="TABLE_FACTOR_TYPE_1" localSheetId="83">'x-621'!$B$9</definedName>
    <definedName name="TABLE_FACTOR_TYPE_1" localSheetId="84">'x-622'!$B$9</definedName>
    <definedName name="TABLE_FACTOR_TYPE_1" localSheetId="85">'x-623'!$B$9</definedName>
    <definedName name="TABLE_FACTOR_TYPE_1" localSheetId="86">'x-624'!$B$9</definedName>
    <definedName name="TABLE_FACTOR_TYPE_1" localSheetId="87">'x-625'!$B$9</definedName>
    <definedName name="TABLE_FACTOR_TYPE_1" localSheetId="88">'x-626'!$B$9</definedName>
    <definedName name="TABLE_FACTOR_TYPE_1" localSheetId="89">'x-627'!$B$9</definedName>
    <definedName name="TABLE_FACTOR_TYPE_1" localSheetId="90">'x-701'!$B$9</definedName>
    <definedName name="TABLE_FACTOR_TYPE_1" localSheetId="91">'x-702'!$B$9</definedName>
    <definedName name="TABLE_FACTOR_TYPE_1" localSheetId="92">'x-802'!$B$9</definedName>
    <definedName name="TABLE_FACTOR_TYPE_2" localSheetId="92">'x-802'!$G$9</definedName>
    <definedName name="TABLE_FACTOR_TYPE_3" localSheetId="92">'x-802'!$K$9</definedName>
    <definedName name="TABLE_GENDER">'x-Series Number'!$B$11</definedName>
    <definedName name="TABLE_GENDER_1" localSheetId="7">'x-201'!$B$11</definedName>
    <definedName name="TABLE_GENDER_1" localSheetId="8">'x-202'!$B$11</definedName>
    <definedName name="TABLE_GENDER_1" localSheetId="9">'x-203'!$B$11</definedName>
    <definedName name="TABLE_GENDER_1" localSheetId="10">'x-204'!$B$11</definedName>
    <definedName name="TABLE_GENDER_1" localSheetId="11">'x-205'!$B$11</definedName>
    <definedName name="TABLE_GENDER_1" localSheetId="12">'x-206'!$B$11</definedName>
    <definedName name="TABLE_GENDER_1" localSheetId="13">'x-207'!$B$11</definedName>
    <definedName name="TABLE_GENDER_1" localSheetId="14">'x-208'!$B$11</definedName>
    <definedName name="TABLE_GENDER_1" localSheetId="15">'x-209'!$B$11</definedName>
    <definedName name="TABLE_GENDER_1" localSheetId="16">'x-210'!$B$11</definedName>
    <definedName name="TABLE_GENDER_1" localSheetId="17">'x-211'!$B$11</definedName>
    <definedName name="TABLE_GENDER_1" localSheetId="18">'x-212'!$B$11</definedName>
    <definedName name="TABLE_GENDER_1" localSheetId="19">'x-213'!$B$11</definedName>
    <definedName name="TABLE_GENDER_1" localSheetId="20">'x-214'!$B$11</definedName>
    <definedName name="TABLE_GENDER_1" localSheetId="21">'x-215'!$B$11</definedName>
    <definedName name="TABLE_GENDER_1" localSheetId="22">'x-220'!$B$11</definedName>
    <definedName name="TABLE_GENDER_1" localSheetId="23">'x-221'!$B$11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'x-310'!$B$11</definedName>
    <definedName name="TABLE_GENDER_1" localSheetId="34">'x-311'!$B$11</definedName>
    <definedName name="TABLE_GENDER_1" localSheetId="35">'x-312'!$B$11</definedName>
    <definedName name="TABLE_GENDER_1" localSheetId="36">'x-313'!$B$11</definedName>
    <definedName name="TABLE_GENDER_1" localSheetId="37">'x-314'!$B$11</definedName>
    <definedName name="TABLE_GENDER_1" localSheetId="38">'x-315'!$B$11</definedName>
    <definedName name="TABLE_GENDER_1" localSheetId="39">'x-316'!$B$11</definedName>
    <definedName name="TABLE_GENDER_1" localSheetId="40">'x-317'!$B$11</definedName>
    <definedName name="TABLE_GENDER_1" localSheetId="41">'x-318'!$B$11</definedName>
    <definedName name="TABLE_GENDER_1" localSheetId="42">'x-319'!$B$11</definedName>
    <definedName name="TABLE_GENDER_1" localSheetId="43">'x-320'!$B$11</definedName>
    <definedName name="TABLE_GENDER_1" localSheetId="44">'x-321'!$B$11</definedName>
    <definedName name="TABLE_GENDER_1" localSheetId="45">'x-322'!$B$11</definedName>
    <definedName name="TABLE_GENDER_1" localSheetId="46">'x-323'!$B$11</definedName>
    <definedName name="TABLE_GENDER_1" localSheetId="47">'x-324'!$B$11</definedName>
    <definedName name="TABLE_GENDER_1" localSheetId="48">'x-325'!$B$11</definedName>
    <definedName name="TABLE_GENDER_1" localSheetId="49">'x-326'!$B$11</definedName>
    <definedName name="TABLE_GENDER_1" localSheetId="50">'x-327'!$B$11</definedName>
    <definedName name="TABLE_GENDER_1" localSheetId="51">'x-328'!$B$11</definedName>
    <definedName name="TABLE_GENDER_1" localSheetId="52">'x-401'!$B$11</definedName>
    <definedName name="TABLE_GENDER_1" localSheetId="53">'x-402'!$B$11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'x-506'!$B$11</definedName>
    <definedName name="TABLE_GENDER_1" localSheetId="65">'x-603'!$B$11</definedName>
    <definedName name="TABLE_GENDER_1" localSheetId="66">'x-604'!$B$11</definedName>
    <definedName name="TABLE_GENDER_1" localSheetId="67">'x-605'!$B$11</definedName>
    <definedName name="TABLE_GENDER_1" localSheetId="68">'x-606'!$B$11</definedName>
    <definedName name="TABLE_GENDER_1" localSheetId="69">'x-607'!$B$11</definedName>
    <definedName name="TABLE_GENDER_1" localSheetId="70">'x-608'!$B$11</definedName>
    <definedName name="TABLE_GENDER_1" localSheetId="71">'x-609'!$B$11</definedName>
    <definedName name="TABLE_GENDER_1" localSheetId="72">'x-610'!$B$11</definedName>
    <definedName name="TABLE_GENDER_1" localSheetId="73">'x-611'!$B$11</definedName>
    <definedName name="TABLE_GENDER_1" localSheetId="74">'x-612'!$B$11</definedName>
    <definedName name="TABLE_GENDER_1" localSheetId="75">'x-613'!$B$11</definedName>
    <definedName name="TABLE_GENDER_1" localSheetId="76">'x-614'!$B$11</definedName>
    <definedName name="TABLE_GENDER_1" localSheetId="77">'x-615'!$B$11</definedName>
    <definedName name="TABLE_GENDER_1" localSheetId="78">'x-616'!$B$11</definedName>
    <definedName name="TABLE_GENDER_1" localSheetId="79">'x-617'!$B$11</definedName>
    <definedName name="TABLE_GENDER_1" localSheetId="80">'x-618'!$B$11</definedName>
    <definedName name="TABLE_GENDER_1" localSheetId="81">'x-619'!$B$11</definedName>
    <definedName name="TABLE_GENDER_1" localSheetId="82">'x-620'!$B$11</definedName>
    <definedName name="TABLE_GENDER_1" localSheetId="83">'x-621'!$B$11</definedName>
    <definedName name="TABLE_GENDER_1" localSheetId="84">'x-622'!$B$11</definedName>
    <definedName name="TABLE_GENDER_1" localSheetId="85">'x-623'!$B$11</definedName>
    <definedName name="TABLE_GENDER_1" localSheetId="86">'x-624'!$B$11</definedName>
    <definedName name="TABLE_GENDER_1" localSheetId="87">'x-625'!$B$11</definedName>
    <definedName name="TABLE_GENDER_1" localSheetId="88">'x-626'!$B$11</definedName>
    <definedName name="TABLE_GENDER_1" localSheetId="89">'x-627'!$B$11</definedName>
    <definedName name="TABLE_GENDER_1" localSheetId="90">'x-701'!$B$11</definedName>
    <definedName name="TABLE_GENDER_1" localSheetId="91">'x-702'!$B$11</definedName>
    <definedName name="TABLE_GENDER_1" localSheetId="92">'x-802'!$B$11</definedName>
    <definedName name="TABLE_GENDER_2" localSheetId="92">'x-802'!$G$11</definedName>
    <definedName name="TABLE_GENDER_3" localSheetId="92">'x-802'!$K$11</definedName>
    <definedName name="TABLE_INFO">'x-Series Number'!$A$6:$B$20</definedName>
    <definedName name="TABLE_INFO_1" localSheetId="7">'x-201'!$A$6:$B$21</definedName>
    <definedName name="TABLE_INFO_1" localSheetId="8">'x-202'!$A$6:$B$21</definedName>
    <definedName name="TABLE_INFO_1" localSheetId="9">'x-203'!$A$6:$B$21</definedName>
    <definedName name="TABLE_INFO_1" localSheetId="10">'x-204'!$A$6:$B$21</definedName>
    <definedName name="TABLE_INFO_1" localSheetId="11">'x-205'!$A$6:$B$21</definedName>
    <definedName name="TABLE_INFO_1" localSheetId="12">'x-206'!$A$6:$B$21</definedName>
    <definedName name="TABLE_INFO_1" localSheetId="13">'x-207'!$A$6:$B$21</definedName>
    <definedName name="TABLE_INFO_1" localSheetId="14">'x-208'!$A$6:$B$21</definedName>
    <definedName name="TABLE_INFO_1" localSheetId="15">'x-209'!$A$6:$B$21</definedName>
    <definedName name="TABLE_INFO_1" localSheetId="16">'x-210'!$A$6:$B$21</definedName>
    <definedName name="TABLE_INFO_1" localSheetId="17">'x-211'!$A$6:$B$21</definedName>
    <definedName name="TABLE_INFO_1" localSheetId="18">'x-212'!$A$6:$B$21</definedName>
    <definedName name="TABLE_INFO_1" localSheetId="19">'x-213'!$A$6:$B$21</definedName>
    <definedName name="TABLE_INFO_1" localSheetId="20">'x-214'!$A$6:$B$21</definedName>
    <definedName name="TABLE_INFO_1" localSheetId="21">'x-215'!$A$6:$B$21</definedName>
    <definedName name="TABLE_INFO_1" localSheetId="22">'x-220'!$A$6:$B$21</definedName>
    <definedName name="TABLE_INFO_1" localSheetId="23">'x-221'!$A$6:$B$21</definedName>
    <definedName name="TABLE_INFO_1" localSheetId="24">'x-301'!$A$6:$B$21</definedName>
    <definedName name="TABLE_INFO_1" localSheetId="25">'x-302'!$A$6:$B$21</definedName>
    <definedName name="TABLE_INFO_1" localSheetId="26">'x-303'!$A$6:$B$21</definedName>
    <definedName name="TABLE_INFO_1" localSheetId="27">'x-304'!$A$6:$B$21</definedName>
    <definedName name="TABLE_INFO_1" localSheetId="28">'x-305'!$A$6:$B$21</definedName>
    <definedName name="TABLE_INFO_1" localSheetId="29">'x-306'!$A$6:$B$21</definedName>
    <definedName name="TABLE_INFO_1" localSheetId="30">'x-307'!$A$6:$B$21</definedName>
    <definedName name="TABLE_INFO_1" localSheetId="31">'x-308'!$A$6:$B$21</definedName>
    <definedName name="TABLE_INFO_1" localSheetId="32">'x-309'!$A$6:$B$21</definedName>
    <definedName name="TABLE_INFO_1" localSheetId="33">'x-310'!$A$6:$B$21</definedName>
    <definedName name="TABLE_INFO_1" localSheetId="34">'x-311'!$A$6:$B$21</definedName>
    <definedName name="TABLE_INFO_1" localSheetId="35">'x-312'!$A$6:$B$21</definedName>
    <definedName name="TABLE_INFO_1" localSheetId="36">'x-313'!$A$6:$B$21</definedName>
    <definedName name="TABLE_INFO_1" localSheetId="37">'x-314'!$A$6:$B$21</definedName>
    <definedName name="TABLE_INFO_1" localSheetId="38">'x-315'!$A$6:$B$21</definedName>
    <definedName name="TABLE_INFO_1" localSheetId="39">'x-316'!$A$6:$B$21</definedName>
    <definedName name="TABLE_INFO_1" localSheetId="40">'x-317'!$A$6:$B$21</definedName>
    <definedName name="TABLE_INFO_1" localSheetId="41">'x-318'!$A$6:$B$21</definedName>
    <definedName name="TABLE_INFO_1" localSheetId="42">'x-319'!$A$6:$B$21</definedName>
    <definedName name="TABLE_INFO_1" localSheetId="43">'x-320'!$A$6:$B$21</definedName>
    <definedName name="TABLE_INFO_1" localSheetId="44">'x-321'!$A$6:$B$21</definedName>
    <definedName name="TABLE_INFO_1" localSheetId="45">'x-322'!$A$6:$B$21</definedName>
    <definedName name="TABLE_INFO_1" localSheetId="46">'x-323'!$A$6:$B$21</definedName>
    <definedName name="TABLE_INFO_1" localSheetId="47">'x-324'!$A$6:$B$21</definedName>
    <definedName name="TABLE_INFO_1" localSheetId="48">'x-325'!$A$6:$B$21</definedName>
    <definedName name="TABLE_INFO_1" localSheetId="49">'x-326'!$A$6:$B$21</definedName>
    <definedName name="TABLE_INFO_1" localSheetId="50">'x-327'!$A$6:$B$21</definedName>
    <definedName name="TABLE_INFO_1" localSheetId="51">'x-328'!$A$6:$B$21</definedName>
    <definedName name="TABLE_INFO_1" localSheetId="52">'x-401'!$A$6:$B$21</definedName>
    <definedName name="TABLE_INFO_1" localSheetId="53">'x-402'!$A$6:$B$21</definedName>
    <definedName name="TABLE_INFO_1" localSheetId="54">'x-403'!$A$6:$B$21</definedName>
    <definedName name="TABLE_INFO_1" localSheetId="55">'x-404'!$A$6:$B$21</definedName>
    <definedName name="TABLE_INFO_1" localSheetId="56">'x-405'!$A$6:$B$21</definedName>
    <definedName name="TABLE_INFO_1" localSheetId="57">'x-406'!$A$6:$B$21</definedName>
    <definedName name="TABLE_INFO_1" localSheetId="58">'x-407'!$A$6:$B$21</definedName>
    <definedName name="TABLE_INFO_1" localSheetId="59">'x-501'!$A$6:$B$21</definedName>
    <definedName name="TABLE_INFO_1" localSheetId="60">'x-502'!$A$6:$B$21</definedName>
    <definedName name="TABLE_INFO_1" localSheetId="61">'x-503'!$A$6:$B$21</definedName>
    <definedName name="TABLE_INFO_1" localSheetId="62">'x-504'!$A$6:$B$21</definedName>
    <definedName name="TABLE_INFO_1" localSheetId="63">'x-505'!$A$6:$B$21</definedName>
    <definedName name="TABLE_INFO_1" localSheetId="64">'x-506'!$A$6:$B$21</definedName>
    <definedName name="TABLE_INFO_1" localSheetId="65">'x-603'!$A$6:$B$21</definedName>
    <definedName name="TABLE_INFO_1" localSheetId="66">'x-604'!$A$6:$B$21</definedName>
    <definedName name="TABLE_INFO_1" localSheetId="67">'x-605'!$A$6:$B$21</definedName>
    <definedName name="TABLE_INFO_1" localSheetId="68">'x-606'!$A$6:$B$21</definedName>
    <definedName name="TABLE_INFO_1" localSheetId="69">'x-607'!$A$6:$B$21</definedName>
    <definedName name="TABLE_INFO_1" localSheetId="70">'x-608'!$A$6:$B$21</definedName>
    <definedName name="TABLE_INFO_1" localSheetId="71">'x-609'!$A$6:$B$21</definedName>
    <definedName name="TABLE_INFO_1" localSheetId="72">'x-610'!$A$6:$B$21</definedName>
    <definedName name="TABLE_INFO_1" localSheetId="73">'x-611'!$A$6:$B$21</definedName>
    <definedName name="TABLE_INFO_1" localSheetId="74">'x-612'!$A$6:$B$21</definedName>
    <definedName name="TABLE_INFO_1" localSheetId="75">'x-613'!$A$6:$B$21</definedName>
    <definedName name="TABLE_INFO_1" localSheetId="76">'x-614'!$A$6:$B$21</definedName>
    <definedName name="TABLE_INFO_1" localSheetId="77">'x-615'!$A$6:$B$21</definedName>
    <definedName name="TABLE_INFO_1" localSheetId="78">'x-616'!$A$6:$B$21</definedName>
    <definedName name="TABLE_INFO_1" localSheetId="79">'x-617'!$A$6:$B$21</definedName>
    <definedName name="TABLE_INFO_1" localSheetId="80">'x-618'!$A$6:$B$21</definedName>
    <definedName name="TABLE_INFO_1" localSheetId="81">'x-619'!$A$6:$B$21</definedName>
    <definedName name="TABLE_INFO_1" localSheetId="82">'x-620'!$A$6:$B$21</definedName>
    <definedName name="TABLE_INFO_1" localSheetId="83">'x-621'!$A$6:$B$21</definedName>
    <definedName name="TABLE_INFO_1" localSheetId="84">'x-622'!$A$6:$B$21</definedName>
    <definedName name="TABLE_INFO_1" localSheetId="85">'x-623'!$A$6:$B$21</definedName>
    <definedName name="TABLE_INFO_1" localSheetId="86">'x-624'!$A$6:$B$21</definedName>
    <definedName name="TABLE_INFO_1" localSheetId="87">'x-625'!$A$6:$B$21</definedName>
    <definedName name="TABLE_INFO_1" localSheetId="88">'x-626'!$A$6:$B$21</definedName>
    <definedName name="TABLE_INFO_1" localSheetId="89">'x-627'!$A$6:$B$21</definedName>
    <definedName name="TABLE_INFO_1" localSheetId="90">'x-701'!$A$6:$B$21</definedName>
    <definedName name="TABLE_INFO_1" localSheetId="91">'x-702'!$A$6:$B$21</definedName>
    <definedName name="TABLE_INFO_1" localSheetId="92">'x-802'!$A$6:$B$21</definedName>
    <definedName name="TABLE_INFO_2" localSheetId="92">'x-802'!$F$6:$G$21</definedName>
    <definedName name="TABLE_INFO_3" localSheetId="92">'x-802'!$J$6:$K$21</definedName>
    <definedName name="TABLE_REFERENCE">'x-Series Number'!$B$15</definedName>
    <definedName name="TABLE_REFERENCE_1" localSheetId="7">'x-201'!$B$15</definedName>
    <definedName name="TABLE_REFERENCE_1" localSheetId="8">'x-202'!$B$15</definedName>
    <definedName name="TABLE_REFERENCE_1" localSheetId="9">'x-203'!$B$15</definedName>
    <definedName name="TABLE_REFERENCE_1" localSheetId="10">'x-204'!$B$15</definedName>
    <definedName name="TABLE_REFERENCE_1" localSheetId="11">'x-205'!$B$15</definedName>
    <definedName name="TABLE_REFERENCE_1" localSheetId="12">'x-206'!$B$15</definedName>
    <definedName name="TABLE_REFERENCE_1" localSheetId="13">'x-207'!$B$15</definedName>
    <definedName name="TABLE_REFERENCE_1" localSheetId="14">'x-208'!$B$15</definedName>
    <definedName name="TABLE_REFERENCE_1" localSheetId="15">'x-209'!$B$15</definedName>
    <definedName name="TABLE_REFERENCE_1" localSheetId="16">'x-210'!$B$15</definedName>
    <definedName name="TABLE_REFERENCE_1" localSheetId="17">'x-211'!$B$15</definedName>
    <definedName name="TABLE_REFERENCE_1" localSheetId="18">'x-212'!$B$15</definedName>
    <definedName name="TABLE_REFERENCE_1" localSheetId="19">'x-213'!$B$15</definedName>
    <definedName name="TABLE_REFERENCE_1" localSheetId="20">'x-214'!$B$15</definedName>
    <definedName name="TABLE_REFERENCE_1" localSheetId="21">'x-215'!$B$15</definedName>
    <definedName name="TABLE_REFERENCE_1" localSheetId="22">'x-220'!$B$15</definedName>
    <definedName name="TABLE_REFERENCE_1" localSheetId="23">'x-221'!$B$15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'x-310'!$B$15</definedName>
    <definedName name="TABLE_REFERENCE_1" localSheetId="34">'x-311'!$B$15</definedName>
    <definedName name="TABLE_REFERENCE_1" localSheetId="35">'x-312'!$B$15</definedName>
    <definedName name="TABLE_REFERENCE_1" localSheetId="36">'x-313'!$B$15</definedName>
    <definedName name="TABLE_REFERENCE_1" localSheetId="37">'x-314'!$B$15</definedName>
    <definedName name="TABLE_REFERENCE_1" localSheetId="38">'x-315'!$B$15</definedName>
    <definedName name="TABLE_REFERENCE_1" localSheetId="39">'x-316'!$B$15</definedName>
    <definedName name="TABLE_REFERENCE_1" localSheetId="40">'x-317'!$B$15</definedName>
    <definedName name="TABLE_REFERENCE_1" localSheetId="41">'x-318'!$B$15</definedName>
    <definedName name="TABLE_REFERENCE_1" localSheetId="42">'x-319'!$B$15</definedName>
    <definedName name="TABLE_REFERENCE_1" localSheetId="43">'x-320'!$B$15</definedName>
    <definedName name="TABLE_REFERENCE_1" localSheetId="44">'x-321'!$B$15</definedName>
    <definedName name="TABLE_REFERENCE_1" localSheetId="45">'x-322'!$B$15</definedName>
    <definedName name="TABLE_REFERENCE_1" localSheetId="46">'x-323'!$B$15</definedName>
    <definedName name="TABLE_REFERENCE_1" localSheetId="47">'x-324'!$B$15</definedName>
    <definedName name="TABLE_REFERENCE_1" localSheetId="48">'x-325'!$B$15</definedName>
    <definedName name="TABLE_REFERENCE_1" localSheetId="49">'x-326'!$B$15</definedName>
    <definedName name="TABLE_REFERENCE_1" localSheetId="50">'x-327'!$B$15</definedName>
    <definedName name="TABLE_REFERENCE_1" localSheetId="51">'x-328'!$B$15</definedName>
    <definedName name="TABLE_REFERENCE_1" localSheetId="52">'x-401'!$B$15</definedName>
    <definedName name="TABLE_REFERENCE_1" localSheetId="53">'x-402'!$B$15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'x-506'!$B$15</definedName>
    <definedName name="TABLE_REFERENCE_1" localSheetId="65">'x-603'!$B$15</definedName>
    <definedName name="TABLE_REFERENCE_1" localSheetId="66">'x-604'!$B$15</definedName>
    <definedName name="TABLE_REFERENCE_1" localSheetId="67">'x-605'!$B$15</definedName>
    <definedName name="TABLE_REFERENCE_1" localSheetId="68">'x-606'!$B$15</definedName>
    <definedName name="TABLE_REFERENCE_1" localSheetId="69">'x-607'!$B$15</definedName>
    <definedName name="TABLE_REFERENCE_1" localSheetId="70">'x-608'!$B$15</definedName>
    <definedName name="TABLE_REFERENCE_1" localSheetId="71">'x-609'!$B$15</definedName>
    <definedName name="TABLE_REFERENCE_1" localSheetId="72">'x-610'!$B$15</definedName>
    <definedName name="TABLE_REFERENCE_1" localSheetId="73">'x-611'!$B$15</definedName>
    <definedName name="TABLE_REFERENCE_1" localSheetId="74">'x-612'!$B$15</definedName>
    <definedName name="TABLE_REFERENCE_1" localSheetId="75">'x-613'!$B$15</definedName>
    <definedName name="TABLE_REFERENCE_1" localSheetId="76">'x-614'!$B$15</definedName>
    <definedName name="TABLE_REFERENCE_1" localSheetId="77">'x-615'!$B$15</definedName>
    <definedName name="TABLE_REFERENCE_1" localSheetId="78">'x-616'!$B$15</definedName>
    <definedName name="TABLE_REFERENCE_1" localSheetId="79">'x-617'!$B$15</definedName>
    <definedName name="TABLE_REFERENCE_1" localSheetId="80">'x-618'!$B$15</definedName>
    <definedName name="TABLE_REFERENCE_1" localSheetId="81">'x-619'!$B$15</definedName>
    <definedName name="TABLE_REFERENCE_1" localSheetId="82">'x-620'!$B$15</definedName>
    <definedName name="TABLE_REFERENCE_1" localSheetId="83">'x-621'!$B$15</definedName>
    <definedName name="TABLE_REFERENCE_1" localSheetId="84">'x-622'!$B$15</definedName>
    <definedName name="TABLE_REFERENCE_1" localSheetId="85">'x-623'!$B$15</definedName>
    <definedName name="TABLE_REFERENCE_1" localSheetId="86">'x-624'!$B$15</definedName>
    <definedName name="TABLE_REFERENCE_1" localSheetId="87">'x-625'!$B$15</definedName>
    <definedName name="TABLE_REFERENCE_1" localSheetId="88">'x-626'!$B$15</definedName>
    <definedName name="TABLE_REFERENCE_1" localSheetId="89">'x-627'!$B$15</definedName>
    <definedName name="TABLE_REFERENCE_1" localSheetId="90">'x-701'!$B$15</definedName>
    <definedName name="TABLE_REFERENCE_1" localSheetId="91">'x-702'!$B$15</definedName>
    <definedName name="TABLE_REFERENCE_1" localSheetId="92">'x-802'!$B$15</definedName>
    <definedName name="TABLE_REFERENCE_2" localSheetId="92">'x-802'!$G$15</definedName>
    <definedName name="TABLE_REFERENCE_3" localSheetId="92">'x-802'!$K$15</definedName>
    <definedName name="TABLE_REFERENCE_GUIDANCE">'x-Series Number'!$B$16</definedName>
    <definedName name="TABLE_REFERENCE_GUIDANCE_1" localSheetId="7">'x-201'!$B$16</definedName>
    <definedName name="TABLE_REFERENCE_GUIDANCE_1" localSheetId="8">'x-202'!$B$16</definedName>
    <definedName name="TABLE_REFERENCE_GUIDANCE_1" localSheetId="9">'x-203'!$B$16</definedName>
    <definedName name="TABLE_REFERENCE_GUIDANCE_1" localSheetId="10">'x-204'!$B$16</definedName>
    <definedName name="TABLE_REFERENCE_GUIDANCE_1" localSheetId="11">'x-205'!$B$16</definedName>
    <definedName name="TABLE_REFERENCE_GUIDANCE_1" localSheetId="12">'x-206'!$B$16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'x-210'!$B$16</definedName>
    <definedName name="TABLE_REFERENCE_GUIDANCE_1" localSheetId="17">'x-211'!$B$16</definedName>
    <definedName name="TABLE_REFERENCE_GUIDANCE_1" localSheetId="18">'x-212'!$B$16</definedName>
    <definedName name="TABLE_REFERENCE_GUIDANCE_1" localSheetId="19">'x-213'!$B$16</definedName>
    <definedName name="TABLE_REFERENCE_GUIDANCE_1" localSheetId="20">'x-214'!$B$16</definedName>
    <definedName name="TABLE_REFERENCE_GUIDANCE_1" localSheetId="21">'x-215'!$B$16</definedName>
    <definedName name="TABLE_REFERENCE_GUIDANCE_1" localSheetId="22">'x-220'!$B$16</definedName>
    <definedName name="TABLE_REFERENCE_GUIDANCE_1" localSheetId="23">'x-221'!$B$16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'x-310'!$B$16</definedName>
    <definedName name="TABLE_REFERENCE_GUIDANCE_1" localSheetId="34">'x-311'!$B$16</definedName>
    <definedName name="TABLE_REFERENCE_GUIDANCE_1" localSheetId="35">'x-312'!$B$16</definedName>
    <definedName name="TABLE_REFERENCE_GUIDANCE_1" localSheetId="36">'x-313'!$B$16</definedName>
    <definedName name="TABLE_REFERENCE_GUIDANCE_1" localSheetId="37">'x-314'!$B$16</definedName>
    <definedName name="TABLE_REFERENCE_GUIDANCE_1" localSheetId="38">'x-315'!$B$16</definedName>
    <definedName name="TABLE_REFERENCE_GUIDANCE_1" localSheetId="39">'x-316'!$B$16</definedName>
    <definedName name="TABLE_REFERENCE_GUIDANCE_1" localSheetId="40">'x-317'!$B$16</definedName>
    <definedName name="TABLE_REFERENCE_GUIDANCE_1" localSheetId="41">'x-318'!$B$16</definedName>
    <definedName name="TABLE_REFERENCE_GUIDANCE_1" localSheetId="42">'x-319'!$B$16</definedName>
    <definedName name="TABLE_REFERENCE_GUIDANCE_1" localSheetId="43">'x-320'!$B$16</definedName>
    <definedName name="TABLE_REFERENCE_GUIDANCE_1" localSheetId="44">'x-321'!$B$16</definedName>
    <definedName name="TABLE_REFERENCE_GUIDANCE_1" localSheetId="45">'x-322'!$B$16</definedName>
    <definedName name="TABLE_REFERENCE_GUIDANCE_1" localSheetId="46">'x-323'!$B$16</definedName>
    <definedName name="TABLE_REFERENCE_GUIDANCE_1" localSheetId="47">'x-324'!$B$16</definedName>
    <definedName name="TABLE_REFERENCE_GUIDANCE_1" localSheetId="48">'x-325'!$B$16</definedName>
    <definedName name="TABLE_REFERENCE_GUIDANCE_1" localSheetId="49">'x-326'!$B$16</definedName>
    <definedName name="TABLE_REFERENCE_GUIDANCE_1" localSheetId="50">'x-327'!$B$16</definedName>
    <definedName name="TABLE_REFERENCE_GUIDANCE_1" localSheetId="51">'x-328'!$B$16</definedName>
    <definedName name="TABLE_REFERENCE_GUIDANCE_1" localSheetId="52">'x-401'!$B$16</definedName>
    <definedName name="TABLE_REFERENCE_GUIDANCE_1" localSheetId="53">'x-402'!$B$16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'x-506'!$B$16</definedName>
    <definedName name="TABLE_REFERENCE_GUIDANCE_1" localSheetId="65">'x-603'!$B$16</definedName>
    <definedName name="TABLE_REFERENCE_GUIDANCE_1" localSheetId="66">'x-604'!$B$16</definedName>
    <definedName name="TABLE_REFERENCE_GUIDANCE_1" localSheetId="67">'x-605'!$B$16</definedName>
    <definedName name="TABLE_REFERENCE_GUIDANCE_1" localSheetId="68">'x-606'!$B$16</definedName>
    <definedName name="TABLE_REFERENCE_GUIDANCE_1" localSheetId="69">'x-607'!$B$16</definedName>
    <definedName name="TABLE_REFERENCE_GUIDANCE_1" localSheetId="70">'x-608'!$B$16</definedName>
    <definedName name="TABLE_REFERENCE_GUIDANCE_1" localSheetId="71">'x-609'!$B$16</definedName>
    <definedName name="TABLE_REFERENCE_GUIDANCE_1" localSheetId="72">'x-610'!$B$16</definedName>
    <definedName name="TABLE_REFERENCE_GUIDANCE_1" localSheetId="73">'x-611'!$B$16</definedName>
    <definedName name="TABLE_REFERENCE_GUIDANCE_1" localSheetId="74">'x-612'!$B$16</definedName>
    <definedName name="TABLE_REFERENCE_GUIDANCE_1" localSheetId="75">'x-613'!$B$16</definedName>
    <definedName name="TABLE_REFERENCE_GUIDANCE_1" localSheetId="76">'x-614'!$B$16</definedName>
    <definedName name="TABLE_REFERENCE_GUIDANCE_1" localSheetId="77">'x-615'!$B$16</definedName>
    <definedName name="TABLE_REFERENCE_GUIDANCE_1" localSheetId="78">'x-616'!$B$16</definedName>
    <definedName name="TABLE_REFERENCE_GUIDANCE_1" localSheetId="79">'x-617'!$B$16</definedName>
    <definedName name="TABLE_REFERENCE_GUIDANCE_1" localSheetId="80">'x-618'!$B$16</definedName>
    <definedName name="TABLE_REFERENCE_GUIDANCE_1" localSheetId="81">'x-619'!$B$16</definedName>
    <definedName name="TABLE_REFERENCE_GUIDANCE_1" localSheetId="82">'x-620'!$B$16</definedName>
    <definedName name="TABLE_REFERENCE_GUIDANCE_1" localSheetId="83">'x-621'!$B$16</definedName>
    <definedName name="TABLE_REFERENCE_GUIDANCE_1" localSheetId="84">'x-622'!$B$16</definedName>
    <definedName name="TABLE_REFERENCE_GUIDANCE_1" localSheetId="85">'x-623'!$B$16</definedName>
    <definedName name="TABLE_REFERENCE_GUIDANCE_1" localSheetId="86">'x-624'!$B$16</definedName>
    <definedName name="TABLE_REFERENCE_GUIDANCE_1" localSheetId="87">'x-625'!$B$16</definedName>
    <definedName name="TABLE_REFERENCE_GUIDANCE_1" localSheetId="88">'x-626'!$B$16</definedName>
    <definedName name="TABLE_REFERENCE_GUIDANCE_1" localSheetId="89">'x-627'!$B$16</definedName>
    <definedName name="TABLE_REFERENCE_GUIDANCE_1" localSheetId="90">'x-701'!$B$16</definedName>
    <definedName name="TABLE_REFERENCE_GUIDANCE_1" localSheetId="91">'x-702'!$B$16</definedName>
    <definedName name="TABLE_REFERENCE_GUIDANCE_1" localSheetId="92">'x-802'!$B$16</definedName>
    <definedName name="TABLE_REFERENCE_GUIDANCE_2" localSheetId="92">'x-802'!$G$16</definedName>
    <definedName name="TABLE_REFERENCE_GUIDANCE_3" localSheetId="92">'x-802'!$K$16</definedName>
    <definedName name="TABLE_RELATED" localSheetId="7">'x-201'!#REF!</definedName>
    <definedName name="TABLE_RELATED">'x-Series Number'!$B$17</definedName>
    <definedName name="TABLE_RELATED_1" localSheetId="7">'x-201'!$B$17</definedName>
    <definedName name="TABLE_RELATED_1" localSheetId="8">'x-202'!$B$17</definedName>
    <definedName name="TABLE_RELATED_1" localSheetId="9">'x-203'!$B$17</definedName>
    <definedName name="TABLE_RELATED_1" localSheetId="10">'x-204'!$B$17</definedName>
    <definedName name="TABLE_RELATED_1" localSheetId="11">'x-205'!$B$17</definedName>
    <definedName name="TABLE_RELATED_1" localSheetId="12">'x-206'!$B$17</definedName>
    <definedName name="TABLE_RELATED_1" localSheetId="13">'x-207'!$B$17</definedName>
    <definedName name="TABLE_RELATED_1" localSheetId="14">'x-208'!$B$17</definedName>
    <definedName name="TABLE_RELATED_1" localSheetId="15">'x-209'!$B$17</definedName>
    <definedName name="TABLE_RELATED_1" localSheetId="16">'x-210'!$B$17</definedName>
    <definedName name="TABLE_RELATED_1" localSheetId="17">'x-211'!$B$17</definedName>
    <definedName name="TABLE_RELATED_1" localSheetId="18">'x-212'!$B$17</definedName>
    <definedName name="TABLE_RELATED_1" localSheetId="19">'x-213'!$B$17</definedName>
    <definedName name="TABLE_RELATED_1" localSheetId="20">'x-214'!$B$17</definedName>
    <definedName name="TABLE_RELATED_1" localSheetId="21">'x-215'!$B$17</definedName>
    <definedName name="TABLE_RELATED_1" localSheetId="22">'x-220'!$B$17</definedName>
    <definedName name="TABLE_RELATED_1" localSheetId="23">'x-221'!$B$17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'x-309'!$B$17</definedName>
    <definedName name="TABLE_RELATED_1" localSheetId="33">'x-310'!$B$17</definedName>
    <definedName name="TABLE_RELATED_1" localSheetId="34">'x-311'!$B$17</definedName>
    <definedName name="TABLE_RELATED_1" localSheetId="35">'x-312'!$B$17</definedName>
    <definedName name="TABLE_RELATED_1" localSheetId="36">'x-313'!$B$17</definedName>
    <definedName name="TABLE_RELATED_1" localSheetId="37">'x-314'!$B$17</definedName>
    <definedName name="TABLE_RELATED_1" localSheetId="38">'x-315'!$B$17</definedName>
    <definedName name="TABLE_RELATED_1" localSheetId="39">'x-316'!$B$17</definedName>
    <definedName name="TABLE_RELATED_1" localSheetId="40">'x-317'!$B$17</definedName>
    <definedName name="TABLE_RELATED_1" localSheetId="41">'x-318'!$B$17</definedName>
    <definedName name="TABLE_RELATED_1" localSheetId="42">'x-319'!$B$17</definedName>
    <definedName name="TABLE_RELATED_1" localSheetId="43">'x-320'!$B$17</definedName>
    <definedName name="TABLE_RELATED_1" localSheetId="44">'x-321'!$B$17</definedName>
    <definedName name="TABLE_RELATED_1" localSheetId="45">'x-322'!$B$17</definedName>
    <definedName name="TABLE_RELATED_1" localSheetId="46">'x-323'!$B$17</definedName>
    <definedName name="TABLE_RELATED_1" localSheetId="47">'x-324'!$B$17</definedName>
    <definedName name="TABLE_RELATED_1" localSheetId="48">'x-325'!$B$17</definedName>
    <definedName name="TABLE_RELATED_1" localSheetId="49">'x-326'!$B$17</definedName>
    <definedName name="TABLE_RELATED_1" localSheetId="50">'x-327'!$B$17</definedName>
    <definedName name="TABLE_RELATED_1" localSheetId="51">'x-328'!$B$17</definedName>
    <definedName name="TABLE_RELATED_1" localSheetId="52">'x-401'!$B$17</definedName>
    <definedName name="TABLE_RELATED_1" localSheetId="53">'x-402'!$B$17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'x-506'!$B$17</definedName>
    <definedName name="TABLE_RELATED_1" localSheetId="65">'x-603'!$B$17</definedName>
    <definedName name="TABLE_RELATED_1" localSheetId="66">'x-604'!$B$17</definedName>
    <definedName name="TABLE_RELATED_1" localSheetId="67">'x-605'!$B$17</definedName>
    <definedName name="TABLE_RELATED_1" localSheetId="68">'x-606'!$B$17</definedName>
    <definedName name="TABLE_RELATED_1" localSheetId="69">'x-607'!$B$17</definedName>
    <definedName name="TABLE_RELATED_1" localSheetId="70">'x-608'!$B$17</definedName>
    <definedName name="TABLE_RELATED_1" localSheetId="71">'x-609'!$B$17</definedName>
    <definedName name="TABLE_RELATED_1" localSheetId="72">'x-610'!$B$17</definedName>
    <definedName name="TABLE_RELATED_1" localSheetId="73">'x-611'!$B$17</definedName>
    <definedName name="TABLE_RELATED_1" localSheetId="74">'x-612'!$B$17</definedName>
    <definedName name="TABLE_RELATED_1" localSheetId="75">'x-613'!$B$17</definedName>
    <definedName name="TABLE_RELATED_1" localSheetId="76">'x-614'!$B$17</definedName>
    <definedName name="TABLE_RELATED_1" localSheetId="77">'x-615'!$B$17</definedName>
    <definedName name="TABLE_RELATED_1" localSheetId="78">'x-616'!$B$17</definedName>
    <definedName name="TABLE_RELATED_1" localSheetId="79">'x-617'!$B$17</definedName>
    <definedName name="TABLE_RELATED_1" localSheetId="80">'x-618'!$B$17</definedName>
    <definedName name="TABLE_RELATED_1" localSheetId="81">'x-619'!$B$17</definedName>
    <definedName name="TABLE_RELATED_1" localSheetId="82">'x-620'!$B$17</definedName>
    <definedName name="TABLE_RELATED_1" localSheetId="83">'x-621'!$B$17</definedName>
    <definedName name="TABLE_RELATED_1" localSheetId="84">'x-622'!$B$17</definedName>
    <definedName name="TABLE_RELATED_1" localSheetId="85">'x-623'!$B$17</definedName>
    <definedName name="TABLE_RELATED_1" localSheetId="86">'x-624'!$B$17</definedName>
    <definedName name="TABLE_RELATED_1" localSheetId="87">'x-625'!$B$17</definedName>
    <definedName name="TABLE_RELATED_1" localSheetId="88">'x-626'!$B$17</definedName>
    <definedName name="TABLE_RELATED_1" localSheetId="89">'x-627'!$B$17</definedName>
    <definedName name="TABLE_RELATED_1" localSheetId="90">'x-701'!$B$17</definedName>
    <definedName name="TABLE_RELATED_1" localSheetId="91">'x-702'!$B$17</definedName>
    <definedName name="TABLE_RELATED_1" localSheetId="92">'x-802'!$B$17</definedName>
    <definedName name="TABLE_RELATED_2" localSheetId="92">'x-802'!$G$17</definedName>
    <definedName name="TABLE_RELATED_3" localSheetId="92">'x-802'!$K$17</definedName>
    <definedName name="TABLE_SECTION">'x-Series Number'!$B$8</definedName>
    <definedName name="TABLE_SECTION_1" localSheetId="7">'x-201'!$B$8</definedName>
    <definedName name="TABLE_SECTION_1" localSheetId="8">'x-202'!$B$8</definedName>
    <definedName name="TABLE_SECTION_1" localSheetId="9">'x-203'!$B$8</definedName>
    <definedName name="TABLE_SECTION_1" localSheetId="10">'x-204'!$B$8</definedName>
    <definedName name="TABLE_SECTION_1" localSheetId="11">'x-205'!$B$8</definedName>
    <definedName name="TABLE_SECTION_1" localSheetId="12">'x-206'!$B$8</definedName>
    <definedName name="TABLE_SECTION_1" localSheetId="13">'x-207'!$B$8</definedName>
    <definedName name="TABLE_SECTION_1" localSheetId="14">'x-208'!$B$8</definedName>
    <definedName name="TABLE_SECTION_1" localSheetId="15">'x-209'!$B$8</definedName>
    <definedName name="TABLE_SECTION_1" localSheetId="16">'x-210'!$B$8</definedName>
    <definedName name="TABLE_SECTION_1" localSheetId="17">'x-211'!$B$8</definedName>
    <definedName name="TABLE_SECTION_1" localSheetId="18">'x-212'!$B$8</definedName>
    <definedName name="TABLE_SECTION_1" localSheetId="19">'x-213'!$B$8</definedName>
    <definedName name="TABLE_SECTION_1" localSheetId="20">'x-214'!$B$8</definedName>
    <definedName name="TABLE_SECTION_1" localSheetId="21">'x-215'!$B$8</definedName>
    <definedName name="TABLE_SECTION_1" localSheetId="22">'x-220'!$B$8</definedName>
    <definedName name="TABLE_SECTION_1" localSheetId="23">'x-221'!$B$8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'x-310'!$B$8</definedName>
    <definedName name="TABLE_SECTION_1" localSheetId="34">'x-311'!$B$8</definedName>
    <definedName name="TABLE_SECTION_1" localSheetId="35">'x-312'!$B$8</definedName>
    <definedName name="TABLE_SECTION_1" localSheetId="36">'x-313'!$B$8</definedName>
    <definedName name="TABLE_SECTION_1" localSheetId="37">'x-314'!$B$8</definedName>
    <definedName name="TABLE_SECTION_1" localSheetId="38">'x-315'!$B$8</definedName>
    <definedName name="TABLE_SECTION_1" localSheetId="39">'x-316'!$B$8</definedName>
    <definedName name="TABLE_SECTION_1" localSheetId="40">'x-317'!$B$8</definedName>
    <definedName name="TABLE_SECTION_1" localSheetId="41">'x-318'!$B$8</definedName>
    <definedName name="TABLE_SECTION_1" localSheetId="42">'x-319'!$B$8</definedName>
    <definedName name="TABLE_SECTION_1" localSheetId="43">'x-320'!$B$8</definedName>
    <definedName name="TABLE_SECTION_1" localSheetId="44">'x-321'!$B$8</definedName>
    <definedName name="TABLE_SECTION_1" localSheetId="45">'x-322'!$B$8</definedName>
    <definedName name="TABLE_SECTION_1" localSheetId="46">'x-323'!$B$8</definedName>
    <definedName name="TABLE_SECTION_1" localSheetId="47">'x-324'!$B$8</definedName>
    <definedName name="TABLE_SECTION_1" localSheetId="48">'x-325'!$B$8</definedName>
    <definedName name="TABLE_SECTION_1" localSheetId="49">'x-326'!$B$8</definedName>
    <definedName name="TABLE_SECTION_1" localSheetId="50">'x-327'!$B$8</definedName>
    <definedName name="TABLE_SECTION_1" localSheetId="51">'x-328'!$B$8</definedName>
    <definedName name="TABLE_SECTION_1" localSheetId="52">'x-401'!$B$8</definedName>
    <definedName name="TABLE_SECTION_1" localSheetId="53">'x-402'!$B$8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'x-506'!$B$8</definedName>
    <definedName name="TABLE_SECTION_1" localSheetId="65">'x-603'!$B$8</definedName>
    <definedName name="TABLE_SECTION_1" localSheetId="66">'x-604'!$B$8</definedName>
    <definedName name="TABLE_SECTION_1" localSheetId="67">'x-605'!$B$8</definedName>
    <definedName name="TABLE_SECTION_1" localSheetId="68">'x-606'!$B$8</definedName>
    <definedName name="TABLE_SECTION_1" localSheetId="69">'x-607'!$B$8</definedName>
    <definedName name="TABLE_SECTION_1" localSheetId="70">'x-608'!$B$8</definedName>
    <definedName name="TABLE_SECTION_1" localSheetId="71">'x-609'!$B$8</definedName>
    <definedName name="TABLE_SECTION_1" localSheetId="72">'x-610'!$B$8</definedName>
    <definedName name="TABLE_SECTION_1" localSheetId="73">'x-611'!$B$8</definedName>
    <definedName name="TABLE_SECTION_1" localSheetId="74">'x-612'!$B$8</definedName>
    <definedName name="TABLE_SECTION_1" localSheetId="75">'x-613'!$B$8</definedName>
    <definedName name="TABLE_SECTION_1" localSheetId="76">'x-614'!$B$8</definedName>
    <definedName name="TABLE_SECTION_1" localSheetId="77">'x-615'!$B$8</definedName>
    <definedName name="TABLE_SECTION_1" localSheetId="78">'x-616'!$B$8</definedName>
    <definedName name="TABLE_SECTION_1" localSheetId="79">'x-617'!$B$8</definedName>
    <definedName name="TABLE_SECTION_1" localSheetId="80">'x-618'!$B$8</definedName>
    <definedName name="TABLE_SECTION_1" localSheetId="81">'x-619'!$B$8</definedName>
    <definedName name="TABLE_SECTION_1" localSheetId="82">'x-620'!$B$8</definedName>
    <definedName name="TABLE_SECTION_1" localSheetId="83">'x-621'!$B$8</definedName>
    <definedName name="TABLE_SECTION_1" localSheetId="84">'x-622'!$B$8</definedName>
    <definedName name="TABLE_SECTION_1" localSheetId="85">'x-623'!$B$8</definedName>
    <definedName name="TABLE_SECTION_1" localSheetId="86">'x-624'!$B$8</definedName>
    <definedName name="TABLE_SECTION_1" localSheetId="87">'x-625'!$B$8</definedName>
    <definedName name="TABLE_SECTION_1" localSheetId="88">'x-626'!$B$8</definedName>
    <definedName name="TABLE_SECTION_1" localSheetId="89">'x-627'!$B$8</definedName>
    <definedName name="TABLE_SECTION_1" localSheetId="90">'x-701'!$B$8</definedName>
    <definedName name="TABLE_SECTION_1" localSheetId="91">'x-702'!$B$8</definedName>
    <definedName name="TABLE_SECTION_1" localSheetId="92">'x-802'!$B$8</definedName>
    <definedName name="TABLE_SECTION_2" localSheetId="92">'x-802'!$G$8</definedName>
    <definedName name="TABLE_SECTION_3" localSheetId="92">'x-802'!$K$8</definedName>
    <definedName name="TABLE_SECTION_NUMBER">'x-Series Number'!$B$13</definedName>
    <definedName name="TABLE_SECTION_NUMBER_1" localSheetId="7">'x-201'!$B$13</definedName>
    <definedName name="TABLE_SECTION_NUMBER_1" localSheetId="8">'x-202'!$B$13</definedName>
    <definedName name="TABLE_SECTION_NUMBER_1" localSheetId="9">'x-203'!$B$13</definedName>
    <definedName name="TABLE_SECTION_NUMBER_1" localSheetId="10">'x-204'!$B$13</definedName>
    <definedName name="TABLE_SECTION_NUMBER_1" localSheetId="11">'x-205'!$B$13</definedName>
    <definedName name="TABLE_SECTION_NUMBER_1" localSheetId="12">'x-206'!$B$13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'x-210'!$B$13</definedName>
    <definedName name="TABLE_SECTION_NUMBER_1" localSheetId="17">'x-211'!$B$13</definedName>
    <definedName name="TABLE_SECTION_NUMBER_1" localSheetId="18">'x-212'!$B$13</definedName>
    <definedName name="TABLE_SECTION_NUMBER_1" localSheetId="19">'x-213'!$B$13</definedName>
    <definedName name="TABLE_SECTION_NUMBER_1" localSheetId="20">'x-214'!$B$13</definedName>
    <definedName name="TABLE_SECTION_NUMBER_1" localSheetId="21">'x-215'!$B$13</definedName>
    <definedName name="TABLE_SECTION_NUMBER_1" localSheetId="22">'x-220'!$B$13</definedName>
    <definedName name="TABLE_SECTION_NUMBER_1" localSheetId="23">'x-221'!$B$13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'x-310'!$B$13</definedName>
    <definedName name="TABLE_SECTION_NUMBER_1" localSheetId="34">'x-311'!$B$13</definedName>
    <definedName name="TABLE_SECTION_NUMBER_1" localSheetId="35">'x-312'!$B$13</definedName>
    <definedName name="TABLE_SECTION_NUMBER_1" localSheetId="36">'x-313'!$B$13</definedName>
    <definedName name="TABLE_SECTION_NUMBER_1" localSheetId="37">'x-314'!$B$13</definedName>
    <definedName name="TABLE_SECTION_NUMBER_1" localSheetId="38">'x-315'!$B$13</definedName>
    <definedName name="TABLE_SECTION_NUMBER_1" localSheetId="39">'x-316'!$B$13</definedName>
    <definedName name="TABLE_SECTION_NUMBER_1" localSheetId="40">'x-317'!$B$13</definedName>
    <definedName name="TABLE_SECTION_NUMBER_1" localSheetId="41">'x-318'!$B$13</definedName>
    <definedName name="TABLE_SECTION_NUMBER_1" localSheetId="42">'x-319'!$B$13</definedName>
    <definedName name="TABLE_SECTION_NUMBER_1" localSheetId="43">'x-320'!$B$13</definedName>
    <definedName name="TABLE_SECTION_NUMBER_1" localSheetId="44">'x-321'!$B$13</definedName>
    <definedName name="TABLE_SECTION_NUMBER_1" localSheetId="45">'x-322'!$B$13</definedName>
    <definedName name="TABLE_SECTION_NUMBER_1" localSheetId="46">'x-323'!$B$13</definedName>
    <definedName name="TABLE_SECTION_NUMBER_1" localSheetId="47">'x-324'!$B$13</definedName>
    <definedName name="TABLE_SECTION_NUMBER_1" localSheetId="48">'x-325'!$B$13</definedName>
    <definedName name="TABLE_SECTION_NUMBER_1" localSheetId="49">'x-326'!$B$13</definedName>
    <definedName name="TABLE_SECTION_NUMBER_1" localSheetId="50">'x-327'!$B$13</definedName>
    <definedName name="TABLE_SECTION_NUMBER_1" localSheetId="51">'x-328'!$B$13</definedName>
    <definedName name="TABLE_SECTION_NUMBER_1" localSheetId="52">'x-401'!$B$13</definedName>
    <definedName name="TABLE_SECTION_NUMBER_1" localSheetId="53">'x-402'!$B$13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'x-506'!$B$13</definedName>
    <definedName name="TABLE_SECTION_NUMBER_1" localSheetId="65">'x-603'!$B$13</definedName>
    <definedName name="TABLE_SECTION_NUMBER_1" localSheetId="66">'x-604'!$B$13</definedName>
    <definedName name="TABLE_SECTION_NUMBER_1" localSheetId="67">'x-605'!$B$13</definedName>
    <definedName name="TABLE_SECTION_NUMBER_1" localSheetId="68">'x-606'!$B$13</definedName>
    <definedName name="TABLE_SECTION_NUMBER_1" localSheetId="69">'x-607'!$B$13</definedName>
    <definedName name="TABLE_SECTION_NUMBER_1" localSheetId="70">'x-608'!$B$13</definedName>
    <definedName name="TABLE_SECTION_NUMBER_1" localSheetId="71">'x-609'!$B$13</definedName>
    <definedName name="TABLE_SECTION_NUMBER_1" localSheetId="72">'x-610'!$B$13</definedName>
    <definedName name="TABLE_SECTION_NUMBER_1" localSheetId="73">'x-611'!$B$13</definedName>
    <definedName name="TABLE_SECTION_NUMBER_1" localSheetId="74">'x-612'!$B$13</definedName>
    <definedName name="TABLE_SECTION_NUMBER_1" localSheetId="75">'x-613'!$B$13</definedName>
    <definedName name="TABLE_SECTION_NUMBER_1" localSheetId="76">'x-614'!$B$13</definedName>
    <definedName name="TABLE_SECTION_NUMBER_1" localSheetId="77">'x-615'!$B$13</definedName>
    <definedName name="TABLE_SECTION_NUMBER_1" localSheetId="78">'x-616'!$B$13</definedName>
    <definedName name="TABLE_SECTION_NUMBER_1" localSheetId="79">'x-617'!$B$13</definedName>
    <definedName name="TABLE_SECTION_NUMBER_1" localSheetId="80">'x-618'!$B$13</definedName>
    <definedName name="TABLE_SECTION_NUMBER_1" localSheetId="81">'x-619'!$B$13</definedName>
    <definedName name="TABLE_SECTION_NUMBER_1" localSheetId="82">'x-620'!$B$13</definedName>
    <definedName name="TABLE_SECTION_NUMBER_1" localSheetId="83">'x-621'!$B$13</definedName>
    <definedName name="TABLE_SECTION_NUMBER_1" localSheetId="84">'x-622'!$B$13</definedName>
    <definedName name="TABLE_SECTION_NUMBER_1" localSheetId="85">'x-623'!$B$13</definedName>
    <definedName name="TABLE_SECTION_NUMBER_1" localSheetId="86">'x-624'!$B$13</definedName>
    <definedName name="TABLE_SECTION_NUMBER_1" localSheetId="87">'x-625'!$B$13</definedName>
    <definedName name="TABLE_SECTION_NUMBER_1" localSheetId="88">'x-626'!$B$13</definedName>
    <definedName name="TABLE_SECTION_NUMBER_1" localSheetId="89">'x-627'!$B$13</definedName>
    <definedName name="TABLE_SECTION_NUMBER_1" localSheetId="90">'x-701'!$B$13</definedName>
    <definedName name="TABLE_SECTION_NUMBER_1" localSheetId="91">'x-702'!$B$13</definedName>
    <definedName name="TABLE_SECTION_NUMBER_1" localSheetId="92">'x-802'!$B$13</definedName>
    <definedName name="TABLE_SECTION_NUMBER_2" localSheetId="92">'x-802'!$G$13</definedName>
    <definedName name="TABLE_SECTION_NUMBER_3" localSheetId="92">'x-802'!$K$13</definedName>
    <definedName name="TABLE_SERIES_NUMBER" localSheetId="6">'[1]x-Series Number'!$B$14</definedName>
    <definedName name="TABLE_SERIES_NUMBER">'x-Series Number'!$B$14</definedName>
    <definedName name="TABLE_SERIES_NUMBER_1" localSheetId="7">'x-201'!$B$14</definedName>
    <definedName name="TABLE_SERIES_NUMBER_1" localSheetId="8">'x-202'!$B$14</definedName>
    <definedName name="TABLE_SERIES_NUMBER_1" localSheetId="9">'x-203'!$B$14</definedName>
    <definedName name="TABLE_SERIES_NUMBER_1" localSheetId="10">'x-204'!$B$14</definedName>
    <definedName name="TABLE_SERIES_NUMBER_1" localSheetId="11">'x-205'!$B$14</definedName>
    <definedName name="TABLE_SERIES_NUMBER_1" localSheetId="12">'x-206'!$B$14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'x-210'!$B$14</definedName>
    <definedName name="TABLE_SERIES_NUMBER_1" localSheetId="17">'x-211'!$B$14</definedName>
    <definedName name="TABLE_SERIES_NUMBER_1" localSheetId="18">'x-212'!$B$14</definedName>
    <definedName name="TABLE_SERIES_NUMBER_1" localSheetId="19">'x-213'!$B$14</definedName>
    <definedName name="TABLE_SERIES_NUMBER_1" localSheetId="20">'x-214'!$B$14</definedName>
    <definedName name="TABLE_SERIES_NUMBER_1" localSheetId="21">'x-215'!$B$14</definedName>
    <definedName name="TABLE_SERIES_NUMBER_1" localSheetId="22">'x-220'!$B$14</definedName>
    <definedName name="TABLE_SERIES_NUMBER_1" localSheetId="23">'x-221'!$B$14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'x-310'!$B$14</definedName>
    <definedName name="TABLE_SERIES_NUMBER_1" localSheetId="34">'x-311'!$B$14</definedName>
    <definedName name="TABLE_SERIES_NUMBER_1" localSheetId="35">'x-312'!$B$14</definedName>
    <definedName name="TABLE_SERIES_NUMBER_1" localSheetId="36">'x-313'!$B$14</definedName>
    <definedName name="TABLE_SERIES_NUMBER_1" localSheetId="37">'x-314'!$B$14</definedName>
    <definedName name="TABLE_SERIES_NUMBER_1" localSheetId="38">'x-315'!$B$14</definedName>
    <definedName name="TABLE_SERIES_NUMBER_1" localSheetId="39">'x-316'!$B$14</definedName>
    <definedName name="TABLE_SERIES_NUMBER_1" localSheetId="40">'x-317'!$B$14</definedName>
    <definedName name="TABLE_SERIES_NUMBER_1" localSheetId="41">'x-318'!$B$14</definedName>
    <definedName name="TABLE_SERIES_NUMBER_1" localSheetId="42">'x-319'!$B$14</definedName>
    <definedName name="TABLE_SERIES_NUMBER_1" localSheetId="43">'x-320'!$B$14</definedName>
    <definedName name="TABLE_SERIES_NUMBER_1" localSheetId="44">'x-321'!$B$14</definedName>
    <definedName name="TABLE_SERIES_NUMBER_1" localSheetId="45">'x-322'!$B$14</definedName>
    <definedName name="TABLE_SERIES_NUMBER_1" localSheetId="46">'x-323'!$B$14</definedName>
    <definedName name="TABLE_SERIES_NUMBER_1" localSheetId="47">'x-324'!$B$14</definedName>
    <definedName name="TABLE_SERIES_NUMBER_1" localSheetId="48">'x-325'!$B$14</definedName>
    <definedName name="TABLE_SERIES_NUMBER_1" localSheetId="49">'x-326'!$B$14</definedName>
    <definedName name="TABLE_SERIES_NUMBER_1" localSheetId="50">'x-327'!$B$14</definedName>
    <definedName name="TABLE_SERIES_NUMBER_1" localSheetId="51">'x-328'!$B$14</definedName>
    <definedName name="TABLE_SERIES_NUMBER_1" localSheetId="52">'x-401'!$B$14</definedName>
    <definedName name="TABLE_SERIES_NUMBER_1" localSheetId="53">'x-402'!$B$14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'x-506'!$B$14</definedName>
    <definedName name="TABLE_SERIES_NUMBER_1" localSheetId="65">'x-603'!$B$14</definedName>
    <definedName name="TABLE_SERIES_NUMBER_1" localSheetId="66">'x-604'!$B$14</definedName>
    <definedName name="TABLE_SERIES_NUMBER_1" localSheetId="67">'x-605'!$B$14</definedName>
    <definedName name="TABLE_SERIES_NUMBER_1" localSheetId="68">'x-606'!$B$14</definedName>
    <definedName name="TABLE_SERIES_NUMBER_1" localSheetId="69">'x-607'!$B$14</definedName>
    <definedName name="TABLE_SERIES_NUMBER_1" localSheetId="70">'x-608'!$B$14</definedName>
    <definedName name="TABLE_SERIES_NUMBER_1" localSheetId="71">'x-609'!$B$14</definedName>
    <definedName name="TABLE_SERIES_NUMBER_1" localSheetId="72">'x-610'!$B$14</definedName>
    <definedName name="TABLE_SERIES_NUMBER_1" localSheetId="73">'x-611'!$B$14</definedName>
    <definedName name="TABLE_SERIES_NUMBER_1" localSheetId="74">'x-612'!$B$14</definedName>
    <definedName name="TABLE_SERIES_NUMBER_1" localSheetId="75">'x-613'!$B$14</definedName>
    <definedName name="TABLE_SERIES_NUMBER_1" localSheetId="76">'x-614'!$B$14</definedName>
    <definedName name="TABLE_SERIES_NUMBER_1" localSheetId="77">'x-615'!$B$14</definedName>
    <definedName name="TABLE_SERIES_NUMBER_1" localSheetId="78">'x-616'!$B$14</definedName>
    <definedName name="TABLE_SERIES_NUMBER_1" localSheetId="79">'x-617'!$B$14</definedName>
    <definedName name="TABLE_SERIES_NUMBER_1" localSheetId="80">'x-618'!$B$14</definedName>
    <definedName name="TABLE_SERIES_NUMBER_1" localSheetId="81">'x-619'!$B$14</definedName>
    <definedName name="TABLE_SERIES_NUMBER_1" localSheetId="82">'x-620'!$B$14</definedName>
    <definedName name="TABLE_SERIES_NUMBER_1" localSheetId="83">'x-621'!$B$14</definedName>
    <definedName name="TABLE_SERIES_NUMBER_1" localSheetId="84">'x-622'!$B$14</definedName>
    <definedName name="TABLE_SERIES_NUMBER_1" localSheetId="85">'x-623'!$B$14</definedName>
    <definedName name="TABLE_SERIES_NUMBER_1" localSheetId="86">'x-624'!$B$14</definedName>
    <definedName name="TABLE_SERIES_NUMBER_1" localSheetId="87">'x-625'!$B$14</definedName>
    <definedName name="TABLE_SERIES_NUMBER_1" localSheetId="88">'x-626'!$B$14</definedName>
    <definedName name="TABLE_SERIES_NUMBER_1" localSheetId="89">'x-627'!$B$14</definedName>
    <definedName name="TABLE_SERIES_NUMBER_1" localSheetId="90">'x-701'!$B$14</definedName>
    <definedName name="TABLE_SERIES_NUMBER_1" localSheetId="91">'x-702'!$B$14</definedName>
    <definedName name="TABLE_SERIES_NUMBER_1" localSheetId="92">'x-802'!$B$14</definedName>
    <definedName name="TABLE_SERIES_NUMBER_2" localSheetId="92">'x-802'!$G$14</definedName>
    <definedName name="TABLE_SERIES_NUMBER_3" localSheetId="92">'x-802'!$K$14</definedName>
    <definedName name="title" localSheetId="6">[1]Cover!$A$2</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55" l="1"/>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3" i="105"/>
  <c r="A3" i="106"/>
  <c r="A3" i="107"/>
  <c r="A3" i="108"/>
  <c r="A3" i="109"/>
  <c r="A3" i="110"/>
  <c r="A3" i="111"/>
  <c r="A3" i="112"/>
  <c r="A3" i="113"/>
  <c r="A3" i="114"/>
  <c r="A3" i="115"/>
  <c r="A3" i="116"/>
  <c r="A3" i="117"/>
  <c r="A3" i="118"/>
  <c r="A3" i="132"/>
  <c r="A3" i="133"/>
  <c r="A3" i="119"/>
  <c r="A3" i="120"/>
  <c r="A3" i="121"/>
  <c r="A3" i="122"/>
  <c r="A3" i="123"/>
  <c r="A3" i="124"/>
  <c r="A3" i="125"/>
  <c r="A3" i="126"/>
  <c r="A3" i="127"/>
  <c r="A3" i="128"/>
  <c r="A3" i="129"/>
  <c r="A3" i="130"/>
  <c r="A3" i="175"/>
  <c r="A3" i="176"/>
  <c r="A3" i="177"/>
  <c r="A3" i="178"/>
  <c r="A3" i="179"/>
  <c r="A3" i="180"/>
  <c r="A3" i="181"/>
  <c r="A3" i="182"/>
  <c r="A3" i="183"/>
  <c r="A3" i="184"/>
  <c r="A3" i="185"/>
  <c r="A3" i="186"/>
  <c r="A3" i="187"/>
  <c r="A3" i="188"/>
  <c r="A3" i="189"/>
  <c r="A3" i="190"/>
  <c r="A3" i="134"/>
  <c r="A3" i="135"/>
  <c r="A3" i="136"/>
  <c r="A3" i="137"/>
  <c r="A3" i="138"/>
  <c r="A3" i="139"/>
  <c r="A3" i="140"/>
  <c r="A3" i="141"/>
  <c r="A3" i="142"/>
  <c r="A3" i="143"/>
  <c r="A3" i="144"/>
  <c r="A3" i="198"/>
  <c r="A3" i="202"/>
  <c r="A3" i="145"/>
  <c r="A3" i="146"/>
  <c r="A3" i="147"/>
  <c r="A3" i="148"/>
  <c r="A3" i="149"/>
  <c r="A3" i="150"/>
  <c r="A3" i="151"/>
  <c r="A3" i="152"/>
  <c r="A3" i="153"/>
  <c r="A3" i="154"/>
  <c r="A3" i="155"/>
  <c r="A3" i="156"/>
  <c r="A3" i="157"/>
  <c r="A3" i="158"/>
  <c r="A3" i="159"/>
  <c r="A3" i="160"/>
  <c r="A3" i="161"/>
  <c r="A3" i="162"/>
  <c r="A3" i="163"/>
  <c r="A3" i="164"/>
  <c r="A3" i="165"/>
  <c r="A3" i="166"/>
  <c r="A3" i="167"/>
  <c r="A3" i="168"/>
  <c r="A3" i="169"/>
  <c r="A3" i="170"/>
  <c r="A3" i="171"/>
  <c r="A3" i="201"/>
  <c r="A3" i="104"/>
  <c r="B23" i="202" l="1"/>
  <c r="K23" i="201" l="1"/>
  <c r="G23" i="201"/>
  <c r="B23" i="201" l="1"/>
  <c r="A2" i="201"/>
  <c r="B23" i="170"/>
  <c r="B23" i="169"/>
  <c r="B23" i="168"/>
  <c r="B23" i="167"/>
  <c r="B23" i="166"/>
  <c r="B23" i="165"/>
  <c r="B23" i="164"/>
  <c r="B23" i="163"/>
  <c r="B23" i="162"/>
  <c r="B23" i="161"/>
  <c r="B23" i="160"/>
  <c r="B23" i="159"/>
  <c r="B23" i="158"/>
  <c r="B23" i="157"/>
  <c r="B23" i="156"/>
  <c r="B23" i="155"/>
  <c r="B23" i="154"/>
  <c r="B23" i="153"/>
  <c r="B23" i="152"/>
  <c r="B23" i="151"/>
  <c r="B23" i="150"/>
  <c r="B23" i="149"/>
  <c r="B23" i="148"/>
  <c r="B23" i="147"/>
  <c r="B23" i="146"/>
  <c r="B23" i="145"/>
  <c r="B23" i="107"/>
  <c r="B23" i="106"/>
  <c r="B23" i="171"/>
  <c r="B23" i="105"/>
  <c r="B23" i="198" l="1"/>
  <c r="B23" i="144"/>
  <c r="B23" i="143"/>
  <c r="B23" i="142"/>
  <c r="B23" i="141"/>
  <c r="B23" i="140"/>
  <c r="B23" i="139"/>
  <c r="B23" i="138"/>
  <c r="B23" i="137"/>
  <c r="B23" i="136"/>
  <c r="B23" i="135"/>
  <c r="B23" i="134"/>
  <c r="B23" i="190"/>
  <c r="B23" i="189"/>
  <c r="B23" i="188"/>
  <c r="B23" i="187"/>
  <c r="B23" i="186"/>
  <c r="B23" i="185"/>
  <c r="B23" i="184"/>
  <c r="B23" i="183"/>
  <c r="B23" i="182"/>
  <c r="B23" i="181"/>
  <c r="B23" i="180"/>
  <c r="B23" i="179"/>
  <c r="B23" i="178"/>
  <c r="B23" i="177"/>
  <c r="B23" i="176"/>
  <c r="B23" i="175"/>
  <c r="B23" i="130"/>
  <c r="B23" i="129"/>
  <c r="B23" i="128"/>
  <c r="B23" i="127"/>
  <c r="B23" i="126"/>
  <c r="B23" i="125"/>
  <c r="B23" i="124"/>
  <c r="B23" i="123"/>
  <c r="B23" i="122"/>
  <c r="B23" i="121"/>
  <c r="B23" i="120"/>
  <c r="B23" i="119"/>
  <c r="B23" i="133"/>
  <c r="B23" i="132"/>
  <c r="B23" i="118"/>
  <c r="B23" i="117"/>
  <c r="B23" i="116"/>
  <c r="B23" i="115"/>
  <c r="B23" i="114"/>
  <c r="B23" i="113"/>
  <c r="B23" i="112"/>
  <c r="B23" i="111"/>
  <c r="B23" i="110"/>
  <c r="B23" i="109"/>
  <c r="B23" i="108"/>
  <c r="B23" i="104"/>
  <c r="B22" i="102"/>
  <c r="A2" i="55" l="1"/>
  <c r="A2" i="198" l="1"/>
  <c r="A2" i="190" l="1"/>
  <c r="A2" i="189"/>
  <c r="A2" i="188"/>
  <c r="A2" i="187"/>
  <c r="A2" i="186"/>
  <c r="A2" i="185"/>
  <c r="A2" i="184"/>
  <c r="A2" i="183"/>
  <c r="A2" i="182"/>
  <c r="A2" i="181"/>
  <c r="A2" i="180"/>
  <c r="A2" i="179"/>
  <c r="A2" i="178"/>
  <c r="A2" i="177"/>
  <c r="A2" i="176"/>
  <c r="A2" i="175"/>
  <c r="A2" i="171" l="1"/>
  <c r="A2" i="170"/>
  <c r="A2" i="169" l="1"/>
  <c r="A2" i="168"/>
  <c r="A2" i="167"/>
  <c r="A2" i="166"/>
  <c r="A2" i="165"/>
  <c r="A2" i="164"/>
  <c r="A2" i="163"/>
  <c r="A2" i="162"/>
  <c r="A2" i="161"/>
  <c r="A2" i="160"/>
  <c r="A2" i="159"/>
  <c r="A2" i="158"/>
  <c r="A2" i="157"/>
  <c r="A2" i="156"/>
  <c r="A2" i="155"/>
  <c r="A2" i="154"/>
  <c r="A2" i="153"/>
  <c r="A2" i="152"/>
  <c r="A2" i="151"/>
  <c r="A2" i="150"/>
  <c r="A2" i="149"/>
  <c r="A2" i="148"/>
  <c r="A2" i="147"/>
  <c r="A2" i="146"/>
  <c r="A2" i="145"/>
  <c r="A2" i="144" l="1"/>
  <c r="A2" i="143"/>
  <c r="A2" i="142"/>
  <c r="A2" i="141"/>
  <c r="A2" i="140" l="1"/>
  <c r="A2" i="139"/>
  <c r="A2" i="138"/>
  <c r="A2" i="137"/>
  <c r="A2" i="136"/>
  <c r="A2" i="135"/>
  <c r="A2" i="134"/>
  <c r="A2" i="133" l="1"/>
  <c r="A2" i="132"/>
  <c r="A2" i="130" l="1"/>
  <c r="A2" i="129"/>
  <c r="A2" i="128"/>
  <c r="A2" i="127"/>
  <c r="A2" i="126"/>
  <c r="A2" i="125"/>
  <c r="A2" i="124"/>
  <c r="A2" i="123"/>
  <c r="A2" i="122"/>
  <c r="A2" i="121"/>
  <c r="A2" i="120"/>
  <c r="A2" i="119"/>
  <c r="A2" i="118"/>
  <c r="A2" i="117"/>
  <c r="A2" i="116"/>
  <c r="A2" i="115"/>
  <c r="A2" i="114"/>
  <c r="A2" i="113"/>
  <c r="A2" i="112"/>
  <c r="A2" i="111"/>
  <c r="A2" i="110"/>
  <c r="A2" i="109"/>
  <c r="A2" i="108"/>
  <c r="A2" i="107"/>
  <c r="A2" i="106"/>
  <c r="A2" i="105"/>
  <c r="A2" i="104"/>
  <c r="A3" i="102" l="1"/>
  <c r="A4" i="102" l="1"/>
  <c r="A2" i="102"/>
  <c r="A4" i="93" l="1"/>
  <c r="A2" i="93"/>
  <c r="A2" i="78"/>
  <c r="A4" i="77"/>
  <c r="A2" i="77"/>
  <c r="A4" i="1" l="1"/>
</calcChain>
</file>

<file path=xl/sharedStrings.xml><?xml version="1.0" encoding="utf-8"?>
<sst xmlns="http://schemas.openxmlformats.org/spreadsheetml/2006/main" count="4149" uniqueCount="702">
  <si>
    <t>Government Actuary's Department</t>
  </si>
  <si>
    <t>Fire England - Consolidated Factor Spreadsheet</t>
  </si>
  <si>
    <t>Cover</t>
  </si>
  <si>
    <t>Specification</t>
  </si>
  <si>
    <t>This spreadsheet contains updated factors for the Firefighters' Pension Schemes in England.</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</si>
  <si>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</si>
  <si>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</si>
  <si>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</si>
  <si>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</si>
  <si>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</si>
  <si>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</si>
  <si>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</si>
  <si>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suite of factors set out in this spreadsheet.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</si>
  <si>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</si>
  <si>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</si>
  <si>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</si>
  <si>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</si>
  <si>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</si>
  <si>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 xml:space="preserve">The 200 series factors contain the non club (CETV) transfer factors. Each different type of non club transfer factor is set out on a separate sheet starting with sheet x-201. </t>
  </si>
  <si>
    <t>x-301 and onwards</t>
  </si>
  <si>
    <t xml:space="preserve">The 300 series factors contain the pension sharing on divorce factors. Each different type of pension sharing on divorce factor is set out on a separate sheet starting with sheet x-301. </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</si>
  <si>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</si>
  <si>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</si>
  <si>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</si>
  <si>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</si>
  <si>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</si>
  <si>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</si>
  <si>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</si>
  <si>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</si>
  <si>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</si>
  <si>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</si>
  <si>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</si>
  <si>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Fire England Consolidated Factor Spreadsheet</t>
  </si>
  <si>
    <t xml:space="preserve">This spreadsheet is provided by GAD at the request of the Home Office.  Its purpose is to set out in one place for convenience the actuarial factors provided by GAD to HO from time to time in respect of Firefighters' Pension Schemes (England) and related schemes, and the dates on which these factors have been sent to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Home Office).   
GAD has no liability for any changes made to this spreadsheet whilst being used by Home Office, FRAs or any other third party.
This spreadsheet should not be made available online without the express permission of GAD. 
This spreadsheet is password protected. 
</t>
  </si>
  <si>
    <t>Version Control</t>
  </si>
  <si>
    <t>Version control</t>
  </si>
  <si>
    <t xml:space="preserve">This sheet is intended to assist Home Office and FRAs in understanding which factors have changed and when. </t>
  </si>
  <si>
    <t>Version control on this sheet commences with the 2017/18 factor review (version 2018-1)</t>
  </si>
  <si>
    <t>Version 2018</t>
  </si>
  <si>
    <t>Provides the following new factor tables:</t>
  </si>
  <si>
    <t>Provides the following revised factors:</t>
  </si>
  <si>
    <t>Confirms that the following factor table is no longer required by Home Office:</t>
  </si>
  <si>
    <t>Factors still to follow:</t>
  </si>
  <si>
    <t>Methodology changes:</t>
  </si>
  <si>
    <t>Date modified:</t>
  </si>
  <si>
    <t>Version 2023-01</t>
  </si>
  <si>
    <t>Provides the following updated factor tables:</t>
  </si>
  <si>
    <t>x-201 to x-215, x-301 to x-328</t>
  </si>
  <si>
    <t>Date Modified:</t>
  </si>
  <si>
    <t xml:space="preserve">Version 2023-02 </t>
  </si>
  <si>
    <t>x-220, x-221, x-401 to x-407</t>
  </si>
  <si>
    <t>Withdrawn factor tables:</t>
  </si>
  <si>
    <t>x-216 to x-219 removed (final salary transfer in factors)</t>
  </si>
  <si>
    <t>Version 2023-03</t>
  </si>
  <si>
    <t>x-501 to x-504,
x-603 to x-627</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</si>
  <si>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</si>
  <si>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</si>
  <si>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</si>
  <si>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</si>
  <si>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</si>
  <si>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</si>
  <si>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</si>
  <si>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</si>
  <si>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 xml:space="preserve">Summary of Factors </t>
  </si>
  <si>
    <t>x=0</t>
  </si>
  <si>
    <t>x=1</t>
  </si>
  <si>
    <t>x=2</t>
  </si>
  <si>
    <t>Fire_E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</si>
  <si>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</si>
  <si>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</si>
  <si>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</si>
  <si>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</si>
  <si>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</si>
  <si>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</si>
  <si>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</si>
  <si>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</si>
  <si>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</si>
  <si>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Table Location</t>
  </si>
  <si>
    <t>Client</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</si>
  <si>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</si>
  <si>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</si>
  <si>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</si>
  <si>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</si>
  <si>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</si>
  <si>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</si>
  <si>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</si>
  <si>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</si>
  <si>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</si>
  <si>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</si>
  <si>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</si>
  <si>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</si>
  <si>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</si>
  <si>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CETV</t>
  </si>
  <si>
    <t>Transfer value factors for deferred benefits payable from 60</t>
  </si>
  <si>
    <t>Male</t>
  </si>
  <si>
    <t>Age last birthday at relevant date</t>
  </si>
  <si>
    <t>x-201</t>
  </si>
  <si>
    <t>Table A1</t>
  </si>
  <si>
    <t>Issued</t>
  </si>
  <si>
    <t>2023 factor review set</t>
  </si>
  <si>
    <t>Female</t>
  </si>
  <si>
    <t>x-202</t>
  </si>
  <si>
    <t>Table A2</t>
  </si>
  <si>
    <t>Transfer value factors for deferred benefits payable from 65</t>
  </si>
  <si>
    <t>x-203</t>
  </si>
  <si>
    <t>Transfer value factors for deferred benefits payable from 65  (Females age below 60)</t>
  </si>
  <si>
    <t>x-204</t>
  </si>
  <si>
    <t>Transfer value factors for deferred benefits payable from 65 (Females age 60 and above)</t>
  </si>
  <si>
    <t>x-205</t>
  </si>
  <si>
    <t>Table A3</t>
  </si>
  <si>
    <t>x-206</t>
  </si>
  <si>
    <t>Table B1</t>
  </si>
  <si>
    <t>x-207</t>
  </si>
  <si>
    <t>Table B2</t>
  </si>
  <si>
    <t>CETV factors for deferred benefits payable from 65</t>
  </si>
  <si>
    <t>x-208</t>
  </si>
  <si>
    <t>Table 3</t>
  </si>
  <si>
    <t>x-209</t>
  </si>
  <si>
    <t>Table 4</t>
  </si>
  <si>
    <t>CETV factors for deferred benefits payable from 66</t>
  </si>
  <si>
    <t>x-210</t>
  </si>
  <si>
    <t>Table 5</t>
  </si>
  <si>
    <t>x-211</t>
  </si>
  <si>
    <t>Table 6</t>
  </si>
  <si>
    <t>CETV factors for deferred benefits payable from 67</t>
  </si>
  <si>
    <t>x-212</t>
  </si>
  <si>
    <t>Table 7</t>
  </si>
  <si>
    <t>x-213</t>
  </si>
  <si>
    <t>Table 8</t>
  </si>
  <si>
    <t>CETV factors for deferred benefits payable from 68</t>
  </si>
  <si>
    <t>x-214</t>
  </si>
  <si>
    <t>Table 9</t>
  </si>
  <si>
    <t>x-215</t>
  </si>
  <si>
    <t>Table 10</t>
  </si>
  <si>
    <t>TV In (non-club)</t>
  </si>
  <si>
    <t>Factors for non-club transfers - in based on NPA60</t>
  </si>
  <si>
    <t>x-220</t>
  </si>
  <si>
    <t>Table NM60</t>
  </si>
  <si>
    <t>x-221</t>
  </si>
  <si>
    <t>Table NF60</t>
  </si>
  <si>
    <t>Pensioner Cash Equivalent</t>
  </si>
  <si>
    <t>Pensioner cash equivalent factors for divorce purposes - retirement not on grounds of ill health</t>
  </si>
  <si>
    <t>x-301</t>
  </si>
  <si>
    <t>Table F1</t>
  </si>
  <si>
    <t>x-302</t>
  </si>
  <si>
    <t>Table F2</t>
  </si>
  <si>
    <t>Pensioner cash equivalent factors for divorce purposes - retirement on grounds of ill health</t>
  </si>
  <si>
    <t>x-303</t>
  </si>
  <si>
    <t>Table G1</t>
  </si>
  <si>
    <t>x-304</t>
  </si>
  <si>
    <t>Table G2</t>
  </si>
  <si>
    <t>x-305</t>
  </si>
  <si>
    <t>x-306</t>
  </si>
  <si>
    <t>x-307</t>
  </si>
  <si>
    <t>x-308</t>
  </si>
  <si>
    <t>x-309</t>
  </si>
  <si>
    <t>x-310</t>
  </si>
  <si>
    <t>x-311</t>
  </si>
  <si>
    <t>x-312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</si>
  <si>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</si>
  <si>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</si>
  <si>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</si>
  <si>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</si>
  <si>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</si>
  <si>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</si>
  <si>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</si>
  <si>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</si>
  <si>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</si>
  <si>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</si>
  <si>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</si>
  <si>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</si>
  <si>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</si>
  <si>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</si>
  <si>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</si>
  <si>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</si>
  <si>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</si>
  <si>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</si>
  <si>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</si>
  <si>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</si>
  <si>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</si>
  <si>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</si>
  <si>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</si>
  <si>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</si>
  <si>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</si>
  <si>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</si>
  <si>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</si>
  <si>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</si>
  <si>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</si>
  <si>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</si>
  <si>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</si>
  <si>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</si>
  <si>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</si>
  <si>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</si>
  <si>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</si>
  <si>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</si>
  <si>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</si>
  <si>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</si>
  <si>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</si>
  <si>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</si>
  <si>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</si>
  <si>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</si>
  <si>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</si>
  <si>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</si>
  <si>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</si>
  <si>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</si>
  <si>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</si>
  <si>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</si>
  <si>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</si>
  <si>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</si>
  <si>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ERF</t>
  </si>
  <si>
    <t>Early retirement factors for members retiring without entitlement to immediate benefits but with deferred benefits payable from 65</t>
  </si>
  <si>
    <t>x-401</t>
  </si>
  <si>
    <t>Table on page 4</t>
  </si>
  <si>
    <t>Early payment reduction factors for members retiring from active service – 2015 Scheme</t>
  </si>
  <si>
    <t>Years/Months</t>
  </si>
  <si>
    <t>x-402</t>
  </si>
  <si>
    <t>Table in paragraph 2.1</t>
  </si>
  <si>
    <t>Early payment reduction factors for members retiring from deferred status – 2015 Scheme</t>
  </si>
  <si>
    <t>X-403</t>
  </si>
  <si>
    <t>Table in paragraph 2.6</t>
  </si>
  <si>
    <t>LRF</t>
  </si>
  <si>
    <t>Age addition percentage factors for members retiring from active service – 2015 scheme (active member account)</t>
  </si>
  <si>
    <t>Age at start of Scheme Year (years/months)</t>
  </si>
  <si>
    <t>x-404</t>
  </si>
  <si>
    <t>First table in paragraph 2.1</t>
  </si>
  <si>
    <t>Age addition percentage factors for members retiring from active service –2015 scheme (added pension account)</t>
  </si>
  <si>
    <t>Age at start of scheme year (years/months)</t>
  </si>
  <si>
    <t>x-405</t>
  </si>
  <si>
    <t>Second table in paragraph 2.1</t>
  </si>
  <si>
    <t>Assumed age addition percentage factors for members retiring from active service – 2015 scheme (active member account)</t>
  </si>
  <si>
    <t>Age (in complete years at the start of the Scheme Year or normal pension age if later)
Term in months between normal pension age (or start of Sceme Year if later) and date of leaving or retirement</t>
  </si>
  <si>
    <t>x-406</t>
  </si>
  <si>
    <t>First table in paragraph 2.3</t>
  </si>
  <si>
    <t>Assumed age addition percentage factors for members retiring from active service – 2015 scheme (added pension account)</t>
  </si>
  <si>
    <t>x-407</t>
  </si>
  <si>
    <t>Second table in paragraph 2.3</t>
  </si>
  <si>
    <t>1992/2006</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</si>
  <si>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</si>
  <si>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</si>
  <si>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</si>
  <si>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</si>
  <si>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</si>
  <si>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</si>
  <si>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</si>
  <si>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</si>
  <si>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</si>
  <si>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</si>
  <si>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</si>
  <si>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</si>
  <si>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</si>
  <si>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</si>
  <si>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</si>
  <si>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</si>
  <si>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1992, 2006</t>
  </si>
  <si>
    <t>Rule of thumb capitalisation factors for adult survivor pensions where there is a pre-2016 GMP entitlement." to "Rule of thumb capitalisation factors for adult survivor pensions where there is a GMP entitlement and the deceased member reached State Pension age before 6 April 2016</t>
  </si>
  <si>
    <t>N/A</t>
  </si>
  <si>
    <t>x-506</t>
  </si>
  <si>
    <t>Scheme pays AA</t>
  </si>
  <si>
    <t xml:space="preserve">Factors for calculating annual allowance pension debit for members below age 60 </t>
  </si>
  <si>
    <t>Male &amp; Female</t>
  </si>
  <si>
    <t>Age last birthday at implemention date</t>
  </si>
  <si>
    <t>x-603</t>
  </si>
  <si>
    <t xml:space="preserve">Factors for calculating annual allowance pension debit for members aged 60 or above </t>
  </si>
  <si>
    <t>x-604</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</si>
  <si>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</si>
  <si>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</si>
  <si>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</si>
  <si>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</si>
  <si>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</si>
  <si>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</si>
  <si>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</si>
  <si>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</si>
  <si>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</si>
  <si>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</si>
  <si>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</si>
  <si>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</si>
  <si>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</si>
  <si>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</si>
  <si>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</si>
  <si>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</si>
  <si>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</si>
  <si>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</si>
  <si>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</si>
  <si>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</si>
  <si>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</si>
  <si>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</si>
  <si>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</si>
  <si>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</si>
  <si>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</si>
  <si>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</si>
  <si>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</si>
  <si>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</si>
  <si>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</si>
  <si>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</si>
  <si>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</si>
  <si>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</si>
  <si>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</si>
  <si>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</si>
  <si>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</si>
  <si>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</si>
  <si>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</si>
  <si>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</si>
  <si>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</si>
  <si>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</si>
  <si>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</si>
  <si>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</si>
  <si>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</si>
  <si>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Withdrawn</t>
  </si>
  <si>
    <t>Factors for calculating Lifetime Allowance debit (retirement in ill health)</t>
  </si>
  <si>
    <t>x-623</t>
  </si>
  <si>
    <t>Factors for calculating LTA debit</t>
  </si>
  <si>
    <t>x-624</t>
  </si>
  <si>
    <t>Factors for calculating LTA debit (retirement in ill health)</t>
  </si>
  <si>
    <t>x-625</t>
  </si>
  <si>
    <t>x-626</t>
  </si>
  <si>
    <t>Table A</t>
  </si>
  <si>
    <t>Factors for calculating LTA debit (ill health retirement)</t>
  </si>
  <si>
    <t>x-627</t>
  </si>
  <si>
    <t>Table B</t>
  </si>
  <si>
    <t>Added pension</t>
  </si>
  <si>
    <t>Added Pension Lump Sum and Periodic Contribution factors</t>
  </si>
  <si>
    <t>Age Last Birthday</t>
  </si>
  <si>
    <t>x-701</t>
  </si>
  <si>
    <t>Added pension revaluation factors</t>
  </si>
  <si>
    <t>Number of Complete Scheme Years before NRA</t>
  </si>
  <si>
    <t>x-702</t>
  </si>
  <si>
    <t>Conversion Factors</t>
  </si>
  <si>
    <t xml:space="preserve">Conversion Factors for Transferred-in Service Credits </t>
  </si>
  <si>
    <t>x-802A</t>
  </si>
  <si>
    <t>Under Review</t>
  </si>
  <si>
    <t>Conversion Factors for Added Years</t>
  </si>
  <si>
    <t>x-802B</t>
  </si>
  <si>
    <t>Conversion Factors for Additional Pension Benefits</t>
  </si>
  <si>
    <t>x-802C</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</si>
  <si>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</si>
  <si>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</si>
  <si>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</si>
  <si>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</si>
  <si>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</si>
  <si>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</si>
  <si>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</si>
  <si>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</si>
  <si>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</si>
  <si>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</si>
  <si>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</si>
  <si>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</si>
  <si>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</si>
  <si>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</si>
  <si>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</si>
  <si>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</si>
  <si>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</si>
  <si>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</si>
  <si>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</si>
  <si>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</si>
  <si>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</si>
  <si>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</si>
  <si>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</si>
  <si>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</si>
  <si>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</si>
  <si>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</si>
  <si>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</si>
  <si>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</si>
  <si>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</si>
  <si>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</si>
  <si>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</si>
  <si>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</si>
  <si>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</si>
  <si>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</si>
  <si>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</si>
  <si>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</si>
  <si>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109% of S3NMA_M</t>
  </si>
  <si>
    <t>Normal health pensioner - female</t>
  </si>
  <si>
    <t>109% of S3NFA_M</t>
  </si>
  <si>
    <t>Ill health pensioner - male</t>
  </si>
  <si>
    <t>Ill health pensioner - female</t>
  </si>
  <si>
    <t>Dependant - male</t>
  </si>
  <si>
    <t>Dependant - female</t>
  </si>
  <si>
    <t xml:space="preserve">99%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</si>
  <si>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</si>
  <si>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</si>
  <si>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</si>
  <si>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</si>
  <si>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</si>
  <si>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</si>
  <si>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</si>
  <si>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</si>
  <si>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</si>
  <si>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</si>
  <si>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</si>
  <si>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</si>
  <si>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</si>
  <si>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</si>
  <si>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</si>
  <si>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</si>
  <si>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</si>
  <si>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</si>
  <si>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</si>
  <si>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</si>
  <si>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</si>
  <si>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</si>
  <si>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</si>
  <si>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</si>
  <si>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</si>
  <si>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</si>
  <si>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</si>
  <si>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</si>
  <si>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 xml:space="preserve">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 </t>
  </si>
  <si>
    <t>Notes to the assumptions</t>
  </si>
  <si>
    <t>1. Advice underlying these assumptions</t>
  </si>
  <si>
    <t>Assumptions bulletin to HO dated 31 March 2023.</t>
  </si>
  <si>
    <t xml:space="preserve">2. Assumption summary </t>
  </si>
  <si>
    <t>The above assumptions were provided in the note dated 27 September 2023.</t>
  </si>
  <si>
    <t>3. 2020 valuation assumptions</t>
  </si>
  <si>
    <t>The 2020 valuation assumption report dated 19 December 2023.</t>
  </si>
  <si>
    <t>Related Factor Guidance</t>
  </si>
  <si>
    <t>Age</t>
  </si>
  <si>
    <t>Gross pension of £1 per annum</t>
  </si>
  <si>
    <t xml:space="preserve">Surviving partner's pension of £1 per annum </t>
  </si>
  <si>
    <t>Deduction for NI modification of £1 pa</t>
  </si>
  <si>
    <t>Surviving partner's Pension of £1 pa</t>
  </si>
  <si>
    <t>Surviving partner's Pension of £1</t>
  </si>
  <si>
    <t>Gross Pension of £1 per annum</t>
  </si>
  <si>
    <t>Surviving Partner's Pension of £1 pa</t>
  </si>
  <si>
    <t>Gross pension of £1 pa</t>
  </si>
  <si>
    <t>Member's pension of £1 per annum</t>
  </si>
  <si>
    <t>Accrued P.I. below age 55</t>
  </si>
  <si>
    <t>Surviving partner's pension of £1 per annum</t>
  </si>
  <si>
    <t>Deduction for GMP of £1 per annum</t>
  </si>
  <si>
    <t>Deduction for NI modification of £1 per annum</t>
  </si>
  <si>
    <t>Pension of £1 per annum</t>
  </si>
  <si>
    <t>Survivor's Pension of £1 per annum</t>
  </si>
  <si>
    <t>Saving factor for GMP of £1 per annum</t>
  </si>
  <si>
    <t>Surviving Partner's pension of £1 per annum</t>
  </si>
  <si>
    <t>Pension of £1 per annum - Males</t>
  </si>
  <si>
    <t>Pension of £1 per annum - Females</t>
  </si>
  <si>
    <t>DPA 65</t>
  </si>
  <si>
    <t>DPA 66</t>
  </si>
  <si>
    <t>DPA 67</t>
  </si>
  <si>
    <t>DPA 68</t>
  </si>
  <si>
    <t>Months/Age</t>
  </si>
  <si>
    <t>Years Early</t>
  </si>
  <si>
    <t>Early payment reduction</t>
  </si>
  <si>
    <t>Age/Months</t>
  </si>
  <si>
    <t>Years/Months Early</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</si>
  <si>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</si>
  <si>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</si>
  <si>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</si>
  <si>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</si>
  <si>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</si>
  <si>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</si>
  <si>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</si>
  <si>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</si>
  <si>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</si>
  <si>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</si>
  <si>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</si>
  <si>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</si>
  <si>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</si>
  <si>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</si>
  <si>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</si>
  <si>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</si>
  <si>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</si>
  <si>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</si>
  <si>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</si>
  <si>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</si>
  <si>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</si>
  <si>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</si>
  <si>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</si>
  <si>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</si>
  <si>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
  </si>
  <si>
    <t>Revaluation Factor</t>
  </si>
  <si>
    <t>Males Conversion Factors</t>
  </si>
  <si>
    <t>Females Conversion Factors</t>
  </si>
  <si>
    <t>55 and under</t>
  </si>
  <si>
    <t>35 and under</t>
  </si>
  <si>
    <t>40-55 inclusive</t>
  </si>
  <si>
    <t>DO NOT REMOVE WORKSHEET</t>
  </si>
  <si>
    <t>BaseTablesList</t>
  </si>
  <si>
    <t>ImprovementsList</t>
  </si>
  <si>
    <t>PCFA00</t>
  </si>
  <si>
    <t>CMI2016F-02-1pt25</t>
  </si>
  <si>
    <t>PCMA00</t>
  </si>
  <si>
    <t>CMI2016F-07-1pt5</t>
  </si>
  <si>
    <t>PFA80</t>
  </si>
  <si>
    <t>CMI2016M-02-1pt25</t>
  </si>
  <si>
    <t>PFA92</t>
  </si>
  <si>
    <t>CMI2016M-07-1pt5</t>
  </si>
  <si>
    <t>PFA92 - 08</t>
  </si>
  <si>
    <t>CMI2017F-07-1pt5</t>
  </si>
  <si>
    <t>PFA92-10</t>
  </si>
  <si>
    <t>CMI2017M-07-1pt5</t>
  </si>
  <si>
    <t>PMA80</t>
  </si>
  <si>
    <t>Long Cohort</t>
  </si>
  <si>
    <t>PMA92</t>
  </si>
  <si>
    <t>Medium Cohort</t>
  </si>
  <si>
    <t>PMA92 - 08</t>
  </si>
  <si>
    <t>PFA80imp</t>
  </si>
  <si>
    <t>PMA92-10</t>
  </si>
  <si>
    <t>PNFA00</t>
  </si>
  <si>
    <t>PMA80imp</t>
  </si>
  <si>
    <t>PNFA00-06</t>
  </si>
  <si>
    <t>PNFA00-08</t>
  </si>
  <si>
    <t>S3-UKF2016imp</t>
  </si>
  <si>
    <t>PNFA00-10</t>
  </si>
  <si>
    <t>S3-UKM2016imp</t>
  </si>
  <si>
    <t>PNMA00</t>
  </si>
  <si>
    <t>Short Cohort</t>
  </si>
  <si>
    <t>PNMA00-06</t>
  </si>
  <si>
    <t>SMPI-2018imp</t>
  </si>
  <si>
    <t>PNMA00-08</t>
  </si>
  <si>
    <t>UKF2004imp</t>
  </si>
  <si>
    <t>PNMA00-10</t>
  </si>
  <si>
    <t>UKF2006imp</t>
  </si>
  <si>
    <t>S1DFA</t>
  </si>
  <si>
    <t>UKF2006imp_HLE</t>
  </si>
  <si>
    <t>S1DFA-06</t>
  </si>
  <si>
    <t>UKF2006imp_LLE</t>
  </si>
  <si>
    <t>S1DFA-08</t>
  </si>
  <si>
    <t>UKF2008imp</t>
  </si>
  <si>
    <t>S1DFA-10</t>
  </si>
  <si>
    <t>UKF2010imp</t>
  </si>
  <si>
    <t>S1DFA-12</t>
  </si>
  <si>
    <t>UKF2012imp</t>
  </si>
  <si>
    <t>S1DFA-14</t>
  </si>
  <si>
    <t>UKF2014imp</t>
  </si>
  <si>
    <t>S1DFA-16</t>
  </si>
  <si>
    <t>UKf2016HLEimp</t>
  </si>
  <si>
    <t>S1DFA-L</t>
  </si>
  <si>
    <t>UKF2016imp</t>
  </si>
  <si>
    <t>S1DFA-L-06</t>
  </si>
  <si>
    <t>UKf2016LLEimp</t>
  </si>
  <si>
    <t>S1DFA-L-08</t>
  </si>
  <si>
    <t>UKM2004imp</t>
  </si>
  <si>
    <t>S1DFA-L-10</t>
  </si>
  <si>
    <t>UKM2006imp</t>
  </si>
  <si>
    <t>S1DFA-L-12</t>
  </si>
  <si>
    <t>UKM2006imp_HLE</t>
  </si>
  <si>
    <t>S1IFA</t>
  </si>
  <si>
    <t>UKM2006imp_LLE</t>
  </si>
  <si>
    <t>S1IFA-06</t>
  </si>
  <si>
    <t>UKM2008imp</t>
  </si>
  <si>
    <t>S1IFA-08</t>
  </si>
  <si>
    <t>UKM2010imp</t>
  </si>
  <si>
    <t>S1IFA-10</t>
  </si>
  <si>
    <t>UKM2012imp</t>
  </si>
  <si>
    <t>S1IFA-12</t>
  </si>
  <si>
    <t>UKM2014imp</t>
  </si>
  <si>
    <t>S1IFA-14</t>
  </si>
  <si>
    <t>UKm2016HLEimp</t>
  </si>
  <si>
    <t>S1IFA-16</t>
  </si>
  <si>
    <t>UKM2016imp</t>
  </si>
  <si>
    <t>S1IFA-STSS-16</t>
  </si>
  <si>
    <t>UKm2016LLEimp</t>
  </si>
  <si>
    <t>S1IFA-TPS-16</t>
  </si>
  <si>
    <t>None</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</si>
  <si>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</si>
  <si>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</si>
  <si>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</si>
  <si>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</si>
  <si>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</si>
  <si>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</si>
  <si>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</si>
  <si>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</si>
  <si>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</si>
  <si>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</si>
  <si>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</si>
  <si>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</si>
  <si>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</si>
  <si>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</si>
  <si>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</si>
  <si>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</si>
  <si>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</si>
  <si>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</si>
  <si>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</si>
  <si>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</si>
  <si>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</si>
  <si>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</si>
  <si>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</si>
  <si>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</si>
  <si>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</si>
  <si>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</si>
  <si>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</si>
  <si>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</si>
  <si>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</si>
  <si>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</si>
  <si>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</si>
  <si>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</si>
  <si>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</si>
  <si>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</si>
  <si>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</si>
  <si>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</si>
  <si>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</si>
  <si>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</si>
  <si>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</si>
  <si>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</si>
  <si>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</si>
  <si>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</si>
  <si>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</si>
  <si>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</si>
  <si>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</si>
  <si>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</si>
  <si>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</si>
  <si>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</si>
  <si>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</si>
  <si>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</si>
  <si>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</si>
  <si>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</si>
  <si>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</si>
  <si>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</si>
  <si>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</si>
  <si>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</si>
  <si>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</si>
  <si>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</si>
  <si>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</si>
  <si>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</si>
  <si>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</si>
  <si>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</si>
  <si>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</si>
  <si>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</si>
  <si>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</si>
  <si>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</si>
  <si>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</si>
  <si>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</si>
  <si>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</si>
  <si>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</si>
  <si>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</si>
  <si>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</si>
  <si>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</si>
  <si>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</si>
  <si>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</si>
  <si>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</si>
  <si>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</si>
  <si>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</si>
  <si>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</si>
  <si>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</si>
  <si>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</si>
  <si>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</si>
  <si>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</si>
  <si>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</si>
  <si>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</si>
  <si>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</si>
  <si>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</si>
  <si>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</si>
  <si>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</si>
  <si>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</si>
  <si>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</si>
  <si>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</si>
  <si>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</si>
  <si>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</si>
  <si>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</si>
  <si>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</si>
  <si>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</si>
  <si>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</si>
  <si>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</si>
  <si>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</si>
  <si>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</si>
  <si>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</si>
  <si>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</si>
  <si>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</si>
  <si>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</si>
  <si>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</si>
  <si>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</si>
  <si>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</si>
  <si>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</si>
  <si>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</si>
  <si>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</si>
  <si>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</si>
  <si>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</si>
  <si>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</si>
  <si>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</si>
  <si>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</si>
  <si>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</si>
  <si>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</si>
  <si>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</si>
  <si>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</si>
  <si>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</si>
  <si>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</si>
  <si>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</si>
  <si>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</si>
  <si>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</si>
  <si>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</si>
  <si>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</si>
  <si>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</si>
  <si>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</si>
  <si>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</si>
  <si>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</si>
  <si>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</si>
  <si>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</si>
  <si>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</si>
  <si>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</si>
  <si>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SMPI-2018</t>
  </si>
  <si>
    <t>UKF</t>
  </si>
  <si>
    <t>UKF2004</t>
  </si>
  <si>
    <t>UKF2006</t>
  </si>
  <si>
    <t>UKF2008</t>
  </si>
  <si>
    <t>UKF2010</t>
  </si>
  <si>
    <t>UKF2012</t>
  </si>
  <si>
    <t>UKM</t>
  </si>
  <si>
    <t>UKM2004</t>
  </si>
  <si>
    <t>UKM2006</t>
  </si>
  <si>
    <t>UKM2008</t>
  </si>
  <si>
    <t>UKM2010</t>
  </si>
  <si>
    <t>UKM2012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</si>
</sst>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F800]dddd\,\ mmmm\ dd\,\ yyyy"/>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2" fillId="0" borderId="0"/>
    <xf numFmtId="0" fontId="3" fillId="0" borderId="0"/>
    <xf numFmtId="9" fontId="3" fillId="0" borderId="0" applyFont="0" applyFill="0" applyBorder="0" applyAlignment="0" applyProtection="0"/>
    <xf numFmtId="0" fontId="1" fillId="0" borderId="0"/>
    <xf numFmtId="0" fontId="16" fillId="0" borderId="0" applyNumberFormat="0" applyFill="0" applyBorder="0" applyAlignment="0" applyProtection="0"/>
  </cellStyleXfs>
  <cellXfs count="170">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3" fillId="0" borderId="0" xfId="2"/>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0" fontId="14" fillId="0" borderId="0" xfId="0" applyFont="1" applyAlignment="1">
      <alignment horizontal="left" wrapText="1"/>
    </xf>
    <xf numFmtId="0" fontId="14" fillId="0" borderId="0" xfId="0" applyFont="1" applyAlignment="1">
      <alignment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4" fontId="14" fillId="0" borderId="0" xfId="2" applyNumberFormat="1"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164" fontId="3" fillId="0" borderId="0" xfId="2" applyNumberFormat="1"/>
    <xf numFmtId="0" fontId="14" fillId="0" borderId="0" xfId="2" applyFont="1" applyAlignment="1">
      <alignment horizontal="right"/>
    </xf>
    <xf numFmtId="14" fontId="3" fillId="0" borderId="11" xfId="0" applyNumberFormat="1" applyFont="1" applyBorder="1" applyAlignment="1">
      <alignment horizontal="center"/>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5"/>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14" fontId="0" fillId="2" borderId="1" xfId="0" applyNumberFormat="1" applyFill="1" applyBorder="1"/>
    <xf numFmtId="14" fontId="0" fillId="3" borderId="0" xfId="0" applyNumberFormat="1" applyFill="1"/>
    <xf numFmtId="1" fontId="15" fillId="0" borderId="0" xfId="2" applyNumberFormat="1" applyFont="1"/>
    <xf numFmtId="165" fontId="14" fillId="0" borderId="0" xfId="0" applyNumberFormat="1" applyFont="1" applyAlignment="1">
      <alignment horizontal="center" vertical="center"/>
    </xf>
    <xf numFmtId="0" fontId="14" fillId="0" borderId="0" xfId="0" applyFont="1" applyAlignment="1">
      <alignment horizontal="left"/>
    </xf>
    <xf numFmtId="0" fontId="17" fillId="0" borderId="0" xfId="0" applyFont="1"/>
    <xf numFmtId="0" fontId="18" fillId="0" borderId="0" xfId="0" applyFont="1" applyAlignment="1">
      <alignment vertical="top" wrapText="1"/>
    </xf>
    <xf numFmtId="0" fontId="18" fillId="0" borderId="0" xfId="0" applyFont="1"/>
    <xf numFmtId="0" fontId="18" fillId="0" borderId="0" xfId="0" applyFont="1" applyAlignment="1">
      <alignment wrapText="1"/>
    </xf>
    <xf numFmtId="0" fontId="19" fillId="0" borderId="0" xfId="0" applyFont="1" applyAlignment="1">
      <alignment vertical="top" wrapText="1"/>
    </xf>
    <xf numFmtId="22" fontId="18" fillId="0" borderId="0" xfId="0" applyNumberFormat="1" applyFont="1"/>
    <xf numFmtId="14" fontId="18" fillId="0" borderId="0" xfId="0" applyNumberFormat="1" applyFont="1"/>
    <xf numFmtId="22" fontId="18" fillId="0" borderId="0" xfId="0" applyNumberFormat="1" applyFont="1" applyAlignment="1">
      <alignment wrapText="1"/>
    </xf>
    <xf numFmtId="1" fontId="15" fillId="0" borderId="0" xfId="0" applyNumberFormat="1" applyFont="1" applyAlignment="1">
      <alignment horizontal="left" vertical="top" wrapText="1"/>
    </xf>
    <xf numFmtId="0" fontId="3" fillId="8" borderId="0" xfId="0" applyFont="1" applyFill="1" applyAlignment="1">
      <alignment vertical="center"/>
    </xf>
    <xf numFmtId="0" fontId="14" fillId="9" borderId="0" xfId="0" applyFont="1" applyFill="1" applyAlignment="1">
      <alignment vertical="center" wrapText="1"/>
    </xf>
    <xf numFmtId="0" fontId="21" fillId="0" borderId="0" xfId="0" applyFont="1"/>
    <xf numFmtId="0" fontId="22" fillId="0" borderId="0" xfId="0" applyFont="1"/>
    <xf numFmtId="0" fontId="22" fillId="0" borderId="0" xfId="0" applyFont="1" applyAlignment="1">
      <alignment wrapText="1"/>
    </xf>
    <xf numFmtId="14" fontId="22" fillId="0" borderId="0" xfId="0" applyNumberFormat="1" applyFont="1"/>
    <xf numFmtId="0" fontId="5" fillId="10" borderId="0" xfId="0" applyFont="1" applyFill="1"/>
    <xf numFmtId="0" fontId="3" fillId="12" borderId="0" xfId="0" applyFont="1" applyFill="1"/>
    <xf numFmtId="0" fontId="3" fillId="10" borderId="0" xfId="0" applyFont="1" applyFill="1"/>
    <xf numFmtId="0" fontId="3" fillId="9" borderId="0" xfId="0" applyFont="1" applyFill="1"/>
    <xf numFmtId="0" fontId="3" fillId="9" borderId="0" xfId="0" applyFont="1" applyFill="1" applyAlignment="1">
      <alignment wrapText="1"/>
    </xf>
    <xf numFmtId="0" fontId="3" fillId="11" borderId="0" xfId="0" applyFont="1" applyFill="1"/>
    <xf numFmtId="14" fontId="3" fillId="11" borderId="0" xfId="0" applyNumberFormat="1" applyFont="1" applyFill="1"/>
    <xf numFmtId="0" fontId="3" fillId="0" borderId="0" xfId="2" applyAlignment="1">
      <alignment horizontal="center"/>
    </xf>
    <xf numFmtId="0" fontId="23" fillId="0" borderId="0" xfId="2" applyFont="1" applyAlignment="1">
      <alignment vertical="center"/>
    </xf>
    <xf numFmtId="0" fontId="20" fillId="11" borderId="0" xfId="2" applyFont="1" applyFill="1" applyAlignment="1">
      <alignment wrapText="1"/>
    </xf>
    <xf numFmtId="0" fontId="20" fillId="11" borderId="0" xfId="2" applyFont="1" applyFill="1" applyAlignment="1">
      <alignment horizontal="left" wrapText="1"/>
    </xf>
    <xf numFmtId="0" fontId="20" fillId="9" borderId="0" xfId="2" applyFont="1" applyFill="1" applyAlignment="1">
      <alignment wrapText="1"/>
    </xf>
    <xf numFmtId="0" fontId="20" fillId="9" borderId="0" xfId="2" applyFont="1" applyFill="1" applyAlignment="1">
      <alignment horizontal="left" wrapText="1"/>
    </xf>
    <xf numFmtId="0" fontId="24" fillId="11" borderId="0" xfId="2" applyFont="1" applyFill="1" applyAlignment="1">
      <alignment horizontal="left" wrapText="1"/>
    </xf>
    <xf numFmtId="0" fontId="24" fillId="9" borderId="0" xfId="2" applyFont="1" applyFill="1" applyAlignment="1">
      <alignment horizontal="left" wrapText="1"/>
    </xf>
    <xf numFmtId="10" fontId="24" fillId="9" borderId="0" xfId="2" applyNumberFormat="1" applyFont="1" applyFill="1" applyAlignment="1">
      <alignment horizontal="left" wrapText="1"/>
    </xf>
    <xf numFmtId="10" fontId="24" fillId="11" borderId="0" xfId="2" applyNumberFormat="1" applyFont="1" applyFill="1" applyAlignment="1">
      <alignment horizontal="left" wrapText="1"/>
    </xf>
    <xf numFmtId="0" fontId="24" fillId="9" borderId="0" xfId="2" applyFont="1" applyFill="1" applyAlignment="1">
      <alignment horizontal="left"/>
    </xf>
    <xf numFmtId="0" fontId="25" fillId="9" borderId="0" xfId="2" applyFont="1" applyFill="1" applyAlignment="1">
      <alignment horizontal="left" wrapText="1"/>
    </xf>
    <xf numFmtId="0" fontId="25" fillId="11" borderId="0" xfId="2" applyFont="1" applyFill="1" applyAlignment="1">
      <alignment horizontal="left" wrapText="1"/>
    </xf>
    <xf numFmtId="9" fontId="25" fillId="9" borderId="0" xfId="2" applyNumberFormat="1" applyFont="1" applyFill="1" applyAlignment="1">
      <alignment horizontal="left" wrapText="1"/>
    </xf>
    <xf numFmtId="9" fontId="24" fillId="11" borderId="0" xfId="2" applyNumberFormat="1" applyFont="1" applyFill="1" applyAlignment="1">
      <alignment horizontal="left" wrapText="1"/>
    </xf>
    <xf numFmtId="0" fontId="25" fillId="0" borderId="0" xfId="0" applyFont="1" applyAlignment="1">
      <alignment vertical="center"/>
    </xf>
    <xf numFmtId="0" fontId="25" fillId="0" borderId="0" xfId="0" applyFont="1"/>
    <xf numFmtId="166" fontId="24" fillId="9" borderId="0" xfId="2" applyNumberFormat="1" applyFont="1" applyFill="1" applyAlignment="1">
      <alignment horizontal="left" wrapText="1"/>
    </xf>
    <xf numFmtId="164" fontId="14" fillId="0" borderId="0" xfId="2" applyNumberFormat="1" applyFont="1"/>
    <xf numFmtId="0" fontId="0" fillId="0" borderId="0" xfId="0" applyAlignment="1">
      <alignment vertical="top" wrapText="1"/>
    </xf>
    <xf numFmtId="1" fontId="14" fillId="0" borderId="0" xfId="2" applyNumberFormat="1" applyFont="1" applyAlignment="1">
      <alignment vertical="top" wrapText="1"/>
    </xf>
    <xf numFmtId="0" fontId="15" fillId="0" borderId="0" xfId="0" applyFont="1" applyAlignment="1">
      <alignment horizontal="left" wrapText="1"/>
    </xf>
    <xf numFmtId="0" fontId="15" fillId="0" borderId="0" xfId="2" applyFont="1" applyAlignment="1">
      <alignment horizontal="left"/>
    </xf>
    <xf numFmtId="0" fontId="14" fillId="0" borderId="0" xfId="2" applyFont="1" applyAlignment="1">
      <alignment horizontal="left"/>
    </xf>
    <xf numFmtId="0" fontId="14" fillId="0" borderId="0" xfId="0" applyFont="1" applyAlignment="1">
      <alignment horizontal="left" vertical="center" wrapText="1"/>
    </xf>
    <xf numFmtId="14" fontId="14" fillId="0" borderId="0" xfId="0" applyNumberFormat="1" applyFont="1" applyAlignment="1">
      <alignment horizontal="left"/>
    </xf>
    <xf numFmtId="0" fontId="14" fillId="0" borderId="0" xfId="2" applyFont="1" applyAlignment="1">
      <alignment horizontal="left" vertical="top" wrapText="1"/>
    </xf>
    <xf numFmtId="14" fontId="14" fillId="0" borderId="0" xfId="2" applyNumberFormat="1" applyFont="1" applyAlignment="1">
      <alignment horizontal="left"/>
    </xf>
    <xf numFmtId="14" fontId="0" fillId="0" borderId="0" xfId="0" applyNumberFormat="1" applyAlignment="1">
      <alignment horizontal="center"/>
    </xf>
    <xf numFmtId="0" fontId="15" fillId="0" borderId="0" xfId="0" applyFont="1" applyAlignment="1">
      <alignment wrapText="1"/>
    </xf>
    <xf numFmtId="14" fontId="15" fillId="0" borderId="0" xfId="0" applyNumberFormat="1" applyFont="1" applyAlignment="1">
      <alignment horizontal="left" wrapText="1"/>
    </xf>
    <xf numFmtId="0" fontId="16" fillId="0" borderId="0" xfId="5" applyFill="1" applyAlignment="1">
      <alignment horizontal="left" vertical="center" wrapText="1"/>
    </xf>
    <xf numFmtId="167" fontId="14" fillId="0" borderId="0" xfId="0" applyNumberFormat="1" applyFont="1" applyAlignment="1">
      <alignment horizontal="left" vertical="center"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1" borderId="0" xfId="0" applyFont="1" applyFill="1"/>
    <xf numFmtId="0" fontId="3" fillId="9" borderId="0" xfId="0" applyFont="1" applyFill="1"/>
  </cellXfs>
  <cellStyles count="6">
    <cellStyle name="Hyperlink" xfId="5" builtinId="8"/>
    <cellStyle name="Normal" xfId="0" builtinId="0"/>
    <cellStyle name="Normal 2" xfId="1" xr:uid="{00000000-0005-0000-0000-000002000000}"/>
    <cellStyle name="Normal 2 2" xfId="2" xr:uid="{00000000-0005-0000-0000-000003000000}"/>
    <cellStyle name="Normal 3" xfId="4" xr:uid="{00000000-0005-0000-0000-000004000000}"/>
    <cellStyle name="Percent 2" xfId="3" xr:uid="{00000000-0005-0000-0000-000005000000}"/>
  </cellStyles>
  <dxfs count="933">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00FFFF"/>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05349C5-6A3D-4947-9945-05F9A1219049}">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topLeftCell="B5" workbookViewId="0">
      <selection activeCell="A3" sqref="A3"/>
    </sheetView>
  </sheetViews>
  <sheetFormatPr defaultRowHeight="13.2" x14ac:dyDescent="0.25"/>
  <cols>
    <col min="1" max="1" width="20" customWidth="1"/>
    <col min="2" max="2" width="130.5546875" style="2" customWidth="1"/>
    <col min="4" max="4" width="10.21875" bestFit="1" customWidth="1"/>
    <col min="8" max="8" width="10.21875" customWidth="1"/>
    <col min="9" max="9" width="11.44140625" customWidth="1"/>
    <col min="12" max="12" width="15.44140625" bestFit="1" customWidth="1"/>
    <col min="13" max="13" width="21" bestFit="1" customWidth="1"/>
    <col min="14" max="14" width="9.44140625" customWidth="1"/>
    <col min="15" max="15" width="9.5546875" customWidth="1"/>
    <col min="16" max="20" width="13.21875" customWidth="1"/>
    <col min="27" max="27" width="11.4414062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uploaded/2025-03/[Fire E Consolidated Factors 2025-02.xlsx]Cover</v>
      </c>
    </row>
    <row r="5" spans="1:4" x14ac:dyDescent="0.25">
      <c r="D5" s="8"/>
    </row>
    <row r="6" spans="1:4" x14ac:dyDescent="0.25">
      <c r="A6" s="1"/>
    </row>
    <row r="7" spans="1:4" ht="15.6" x14ac:dyDescent="0.25">
      <c r="A7" s="90" t="s">
        <v>3</v>
      </c>
      <c r="B7" s="91" t="s">
        <v>4</v>
      </c>
    </row>
    <row r="11" spans="1:4" ht="15.6" x14ac:dyDescent="0.25">
      <c r="A11" s="92" t="s">
        <v>5</v>
      </c>
      <c r="B11" s="92" t="s">
        <v>6</v>
      </c>
    </row>
    <row r="12" spans="1:4" x14ac:dyDescent="0.25">
      <c r="A12" s="93" t="s">
        <v>7</v>
      </c>
      <c r="B12" s="94" t="s">
        <v>8</v>
      </c>
    </row>
    <row r="13" spans="1:4" x14ac:dyDescent="0.25">
      <c r="A13" s="95" t="s">
        <v>9</v>
      </c>
      <c r="B13" s="94" t="s">
        <v>10</v>
      </c>
    </row>
    <row r="14" spans="1:4" x14ac:dyDescent="0.25">
      <c r="A14" s="96" t="s">
        <v>11</v>
      </c>
      <c r="B14" s="94" t="s">
        <v>12</v>
      </c>
    </row>
    <row r="15" spans="1:4" x14ac:dyDescent="0.25">
      <c r="A15" s="112" t="s">
        <v>13</v>
      </c>
      <c r="B15" s="113" t="s">
        <v>14</v>
      </c>
    </row>
    <row r="16" spans="1:4" ht="26.4" x14ac:dyDescent="0.25">
      <c r="A16" s="97" t="s">
        <v>15</v>
      </c>
      <c r="B16" s="97" t="s">
        <v>16</v>
      </c>
    </row>
    <row r="17" spans="1:2" ht="26.4" x14ac:dyDescent="0.25">
      <c r="A17" s="94" t="s">
        <v>17</v>
      </c>
      <c r="B17" s="94" t="s">
        <v>18</v>
      </c>
    </row>
    <row r="18" spans="1:2" ht="26.4" x14ac:dyDescent="0.25">
      <c r="A18" s="94" t="s">
        <v>19</v>
      </c>
      <c r="B18" s="94" t="s">
        <v>20</v>
      </c>
    </row>
    <row r="19" spans="1:2" ht="26.4" x14ac:dyDescent="0.25">
      <c r="A19" s="97" t="s">
        <v>21</v>
      </c>
      <c r="B19" s="97" t="s">
        <v>22</v>
      </c>
    </row>
    <row r="20" spans="1:2" ht="26.4" x14ac:dyDescent="0.25">
      <c r="A20" s="97" t="s">
        <v>23</v>
      </c>
      <c r="B20" s="97" t="s">
        <v>24</v>
      </c>
    </row>
    <row r="21" spans="1:2" ht="26.4" x14ac:dyDescent="0.25">
      <c r="A21" s="97" t="s">
        <v>25</v>
      </c>
      <c r="B21" s="97" t="s">
        <v>26</v>
      </c>
    </row>
    <row r="22" spans="1:2" ht="39.6" x14ac:dyDescent="0.25">
      <c r="A22" s="97" t="s">
        <v>27</v>
      </c>
      <c r="B22" s="97" t="s">
        <v>28</v>
      </c>
    </row>
    <row r="23" spans="1:2" ht="26.4" x14ac:dyDescent="0.25">
      <c r="A23" s="97" t="s">
        <v>29</v>
      </c>
      <c r="B23" s="97" t="s">
        <v>30</v>
      </c>
    </row>
    <row r="24" spans="1:2" x14ac:dyDescent="0.25">
      <c r="A24" s="3"/>
    </row>
    <row r="25" spans="1:2" x14ac:dyDescent="0.25">
      <c r="A25" s="3"/>
    </row>
  </sheetData>
  <sheetProtection algorithmName="SHA-512" hashValue="KoNk8emh+wqSgtzLzXDFqRudPFCkmF3WA84EXbQgATGHE6n8zGCLJkHzn6GNlxxL02JBALNir3Oz3IEI7hqiSw==" saltValue="yvvhnGqJpyS4JQHiFUYTVQ==" spinCount="100000" sheet="1" objects="1" scenarios="1"/>
  <phoneticPr fontId="4" type="noConversion"/>
  <conditionalFormatting sqref="A7">
    <cfRule type="expression" dxfId="932" priority="3" stopIfTrue="1">
      <formula>MOD(ROW(),2)=0</formula>
    </cfRule>
    <cfRule type="expression" dxfId="931" priority="4" stopIfTrue="1">
      <formula>MOD(ROW(),2)&lt;&gt;0</formula>
    </cfRule>
  </conditionalFormatting>
  <conditionalFormatting sqref="A11">
    <cfRule type="expression" dxfId="930" priority="5" stopIfTrue="1">
      <formula>MOD(ROW(),2)=0</formula>
    </cfRule>
    <cfRule type="expression" dxfId="929" priority="6" stopIfTrue="1">
      <formula>MOD(ROW(),2)&lt;&gt;0</formula>
    </cfRule>
  </conditionalFormatting>
  <conditionalFormatting sqref="A16:A23">
    <cfRule type="expression" dxfId="928" priority="9" stopIfTrue="1">
      <formula>MOD(ROW(),2)=0</formula>
    </cfRule>
    <cfRule type="expression" dxfId="927" priority="10" stopIfTrue="1">
      <formula>MOD(ROW(),2)&lt;&gt;0</formula>
    </cfRule>
  </conditionalFormatting>
  <conditionalFormatting sqref="B7">
    <cfRule type="expression" dxfId="926" priority="1" stopIfTrue="1">
      <formula>MOD(ROW(),2)=0</formula>
    </cfRule>
    <cfRule type="expression" dxfId="925" priority="2" stopIfTrue="1">
      <formula>MOD(ROW(),2)&lt;&gt;0</formula>
    </cfRule>
  </conditionalFormatting>
  <conditionalFormatting sqref="B11:B14">
    <cfRule type="expression" dxfId="924" priority="7" stopIfTrue="1">
      <formula>MOD(ROW(),2)=0</formula>
    </cfRule>
    <cfRule type="expression" dxfId="923" priority="8" stopIfTrue="1">
      <formula>MOD(ROW(),2)&lt;&gt;0</formula>
    </cfRule>
  </conditionalFormatting>
  <conditionalFormatting sqref="B16:B23">
    <cfRule type="expression" dxfId="922" priority="11" stopIfTrue="1">
      <formula>MOD(ROW(),2)=0</formula>
    </cfRule>
    <cfRule type="expression" dxfId="921" priority="1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
  <dimension ref="A1:G73"/>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x-203</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2006</v>
      </c>
      <c r="C8" s="102"/>
    </row>
    <row r="9" spans="1:7" x14ac:dyDescent="0.25">
      <c r="A9" s="72" t="s">
        <v>80</v>
      </c>
      <c r="B9" s="102" t="s">
        <v>92</v>
      </c>
      <c r="C9" s="102"/>
    </row>
    <row r="10" spans="1:7" x14ac:dyDescent="0.25">
      <c r="A10" s="72" t="s">
        <v>6</v>
      </c>
      <c r="B10" s="102" t="s">
        <v>103</v>
      </c>
      <c r="C10" s="102"/>
    </row>
    <row r="11" spans="1:7" x14ac:dyDescent="0.25">
      <c r="A11" s="72" t="s">
        <v>81</v>
      </c>
      <c r="B11" s="102" t="s">
        <v>94</v>
      </c>
      <c r="C11" s="102"/>
    </row>
    <row r="12" spans="1:7" x14ac:dyDescent="0.25">
      <c r="A12" s="72" t="s">
        <v>82</v>
      </c>
      <c r="B12" s="102" t="s">
        <v>95</v>
      </c>
      <c r="C12" s="102"/>
    </row>
    <row r="13" spans="1:7" hidden="1" x14ac:dyDescent="0.25">
      <c r="A13" s="72" t="s">
        <v>342</v>
      </c>
      <c r="B13" s="102">
        <v>1</v>
      </c>
      <c r="C13" s="102"/>
    </row>
    <row r="14" spans="1:7" hidden="1" x14ac:dyDescent="0.25">
      <c r="A14" s="72" t="s">
        <v>84</v>
      </c>
      <c r="B14" s="102">
        <v>203</v>
      </c>
      <c r="C14" s="102"/>
    </row>
    <row r="15" spans="1:7" x14ac:dyDescent="0.25">
      <c r="A15" s="72" t="s">
        <v>345</v>
      </c>
      <c r="B15" s="102" t="s">
        <v>104</v>
      </c>
      <c r="C15" s="102"/>
    </row>
    <row r="16" spans="1:7" x14ac:dyDescent="0.25">
      <c r="A16" s="72" t="s">
        <v>86</v>
      </c>
      <c r="B16" s="102" t="s">
        <v>97</v>
      </c>
      <c r="C16" s="102"/>
    </row>
    <row r="17" spans="1:4" ht="103.8" customHeight="1" x14ac:dyDescent="0.25">
      <c r="A17" s="72" t="s">
        <v>414</v>
      </c>
      <c r="B17" s="102"/>
      <c r="C17" s="102"/>
      <c r="D17" s="73"/>
    </row>
    <row r="18" spans="1:4" x14ac:dyDescent="0.25">
      <c r="A18" s="72" t="s">
        <v>88</v>
      </c>
      <c r="B18" s="150">
        <v>45070</v>
      </c>
      <c r="C18" s="102"/>
    </row>
    <row r="19" spans="1:4" x14ac:dyDescent="0.25">
      <c r="A19" s="72" t="s">
        <v>89</v>
      </c>
      <c r="B19" s="150">
        <v>45014</v>
      </c>
      <c r="C19" s="102"/>
    </row>
    <row r="20" spans="1:4" x14ac:dyDescent="0.25">
      <c r="A20" s="72" t="s">
        <v>90</v>
      </c>
      <c r="B20" s="102" t="s">
        <v>98</v>
      </c>
      <c r="C20" s="102"/>
    </row>
    <row r="21" spans="1:4" ht="15" customHeight="1" x14ac:dyDescent="0.25">
      <c r="A21" s="72" t="s">
        <v>91</v>
      </c>
      <c r="B21" s="102" t="s">
        <v>99</v>
      </c>
      <c r="C21" s="102"/>
    </row>
    <row r="23" spans="1:4" x14ac:dyDescent="0.25">
      <c r="B23" s="89" t="str">
        <f>HYPERLINK("#'Factor List'!A1","Back to Factor List")</f>
        <v>Back to Factor List</v>
      </c>
    </row>
    <row r="24" spans="1:4" x14ac:dyDescent="0.25">
      <c r="B24" s="89" t="s">
        <v>13</v>
      </c>
    </row>
    <row r="25" spans="1:4" x14ac:dyDescent="0.25">
      <c r="B25" s="89"/>
    </row>
    <row r="26" spans="1:4" ht="26.4" x14ac:dyDescent="0.25">
      <c r="A26" s="85" t="s">
        <v>415</v>
      </c>
      <c r="B26" s="85" t="s">
        <v>416</v>
      </c>
      <c r="C26" s="85" t="s">
        <v>419</v>
      </c>
    </row>
    <row r="27" spans="1:4" x14ac:dyDescent="0.25">
      <c r="A27" s="86">
        <v>18</v>
      </c>
      <c r="B27" s="87">
        <v>8.64</v>
      </c>
      <c r="C27" s="87">
        <v>2.56</v>
      </c>
    </row>
    <row r="28" spans="1:4" x14ac:dyDescent="0.25">
      <c r="A28" s="86">
        <v>19</v>
      </c>
      <c r="B28" s="87">
        <v>8.76</v>
      </c>
      <c r="C28" s="87">
        <v>2.68</v>
      </c>
    </row>
    <row r="29" spans="1:4" x14ac:dyDescent="0.25">
      <c r="A29" s="86">
        <v>20</v>
      </c>
      <c r="B29" s="87">
        <v>8.8800000000000008</v>
      </c>
      <c r="C29" s="87">
        <v>2.72</v>
      </c>
    </row>
    <row r="30" spans="1:4" x14ac:dyDescent="0.25">
      <c r="A30" s="86">
        <v>21</v>
      </c>
      <c r="B30" s="87">
        <v>9</v>
      </c>
      <c r="C30" s="87">
        <v>2.77</v>
      </c>
    </row>
    <row r="31" spans="1:4" x14ac:dyDescent="0.25">
      <c r="A31" s="86">
        <v>22</v>
      </c>
      <c r="B31" s="87">
        <v>9.1300000000000008</v>
      </c>
      <c r="C31" s="87">
        <v>2.81</v>
      </c>
    </row>
    <row r="32" spans="1:4" x14ac:dyDescent="0.25">
      <c r="A32" s="86">
        <v>23</v>
      </c>
      <c r="B32" s="87">
        <v>9.25</v>
      </c>
      <c r="C32" s="87">
        <v>2.86</v>
      </c>
    </row>
    <row r="33" spans="1:3" x14ac:dyDescent="0.25">
      <c r="A33" s="86">
        <v>24</v>
      </c>
      <c r="B33" s="87">
        <v>9.3800000000000008</v>
      </c>
      <c r="C33" s="87">
        <v>2.91</v>
      </c>
    </row>
    <row r="34" spans="1:3" x14ac:dyDescent="0.25">
      <c r="A34" s="86">
        <v>25</v>
      </c>
      <c r="B34" s="87">
        <v>9.51</v>
      </c>
      <c r="C34" s="87">
        <v>2.95</v>
      </c>
    </row>
    <row r="35" spans="1:3" x14ac:dyDescent="0.25">
      <c r="A35" s="86">
        <v>26</v>
      </c>
      <c r="B35" s="87">
        <v>9.65</v>
      </c>
      <c r="C35" s="87">
        <v>3</v>
      </c>
    </row>
    <row r="36" spans="1:3" x14ac:dyDescent="0.25">
      <c r="A36" s="86">
        <v>27</v>
      </c>
      <c r="B36" s="87">
        <v>9.7799999999999994</v>
      </c>
      <c r="C36" s="87">
        <v>3.05</v>
      </c>
    </row>
    <row r="37" spans="1:3" x14ac:dyDescent="0.25">
      <c r="A37" s="86">
        <v>28</v>
      </c>
      <c r="B37" s="87">
        <v>9.92</v>
      </c>
      <c r="C37" s="87">
        <v>3.1</v>
      </c>
    </row>
    <row r="38" spans="1:3" x14ac:dyDescent="0.25">
      <c r="A38" s="86">
        <v>29</v>
      </c>
      <c r="B38" s="87">
        <v>10.050000000000001</v>
      </c>
      <c r="C38" s="87">
        <v>3.14</v>
      </c>
    </row>
    <row r="39" spans="1:3" x14ac:dyDescent="0.25">
      <c r="A39" s="86">
        <v>30</v>
      </c>
      <c r="B39" s="87">
        <v>10.199999999999999</v>
      </c>
      <c r="C39" s="87">
        <v>3.19</v>
      </c>
    </row>
    <row r="40" spans="1:3" x14ac:dyDescent="0.25">
      <c r="A40" s="86">
        <v>31</v>
      </c>
      <c r="B40" s="87">
        <v>10.34</v>
      </c>
      <c r="C40" s="87">
        <v>3.24</v>
      </c>
    </row>
    <row r="41" spans="1:3" x14ac:dyDescent="0.25">
      <c r="A41" s="86">
        <v>32</v>
      </c>
      <c r="B41" s="87">
        <v>10.49</v>
      </c>
      <c r="C41" s="87">
        <v>3.28</v>
      </c>
    </row>
    <row r="42" spans="1:3" x14ac:dyDescent="0.25">
      <c r="A42" s="86">
        <v>33</v>
      </c>
      <c r="B42" s="87">
        <v>10.63</v>
      </c>
      <c r="C42" s="87">
        <v>3.33</v>
      </c>
    </row>
    <row r="43" spans="1:3" x14ac:dyDescent="0.25">
      <c r="A43" s="86">
        <v>34</v>
      </c>
      <c r="B43" s="87">
        <v>10.78</v>
      </c>
      <c r="C43" s="87">
        <v>3.38</v>
      </c>
    </row>
    <row r="44" spans="1:3" x14ac:dyDescent="0.25">
      <c r="A44" s="86">
        <v>35</v>
      </c>
      <c r="B44" s="87">
        <v>10.94</v>
      </c>
      <c r="C44" s="87">
        <v>3.42</v>
      </c>
    </row>
    <row r="45" spans="1:3" x14ac:dyDescent="0.25">
      <c r="A45" s="86">
        <v>36</v>
      </c>
      <c r="B45" s="87">
        <v>11.09</v>
      </c>
      <c r="C45" s="87">
        <v>3.47</v>
      </c>
    </row>
    <row r="46" spans="1:3" x14ac:dyDescent="0.25">
      <c r="A46" s="86">
        <v>37</v>
      </c>
      <c r="B46" s="87">
        <v>11.25</v>
      </c>
      <c r="C46" s="87">
        <v>3.51</v>
      </c>
    </row>
    <row r="47" spans="1:3" x14ac:dyDescent="0.25">
      <c r="A47" s="86">
        <v>38</v>
      </c>
      <c r="B47" s="87">
        <v>11.42</v>
      </c>
      <c r="C47" s="87">
        <v>3.55</v>
      </c>
    </row>
    <row r="48" spans="1:3" x14ac:dyDescent="0.25">
      <c r="A48" s="86">
        <v>39</v>
      </c>
      <c r="B48" s="87">
        <v>11.58</v>
      </c>
      <c r="C48" s="87">
        <v>3.6</v>
      </c>
    </row>
    <row r="49" spans="1:3" x14ac:dyDescent="0.25">
      <c r="A49" s="86">
        <v>40</v>
      </c>
      <c r="B49" s="87">
        <v>11.75</v>
      </c>
      <c r="C49" s="87">
        <v>3.64</v>
      </c>
    </row>
    <row r="50" spans="1:3" x14ac:dyDescent="0.25">
      <c r="A50" s="86">
        <v>41</v>
      </c>
      <c r="B50" s="87">
        <v>11.92</v>
      </c>
      <c r="C50" s="87">
        <v>3.68</v>
      </c>
    </row>
    <row r="51" spans="1:3" x14ac:dyDescent="0.25">
      <c r="A51" s="86">
        <v>42</v>
      </c>
      <c r="B51" s="87">
        <v>12.09</v>
      </c>
      <c r="C51" s="87">
        <v>3.72</v>
      </c>
    </row>
    <row r="52" spans="1:3" x14ac:dyDescent="0.25">
      <c r="A52" s="86">
        <v>43</v>
      </c>
      <c r="B52" s="87">
        <v>12.27</v>
      </c>
      <c r="C52" s="87">
        <v>3.76</v>
      </c>
    </row>
    <row r="53" spans="1:3" x14ac:dyDescent="0.25">
      <c r="A53" s="86">
        <v>44</v>
      </c>
      <c r="B53" s="87">
        <v>12.46</v>
      </c>
      <c r="C53" s="87">
        <v>3.8</v>
      </c>
    </row>
    <row r="54" spans="1:3" x14ac:dyDescent="0.25">
      <c r="A54" s="86">
        <v>45</v>
      </c>
      <c r="B54" s="87">
        <v>12.64</v>
      </c>
      <c r="C54" s="87">
        <v>3.84</v>
      </c>
    </row>
    <row r="55" spans="1:3" x14ac:dyDescent="0.25">
      <c r="A55" s="86">
        <v>46</v>
      </c>
      <c r="B55" s="87">
        <v>12.83</v>
      </c>
      <c r="C55" s="87">
        <v>3.87</v>
      </c>
    </row>
    <row r="56" spans="1:3" x14ac:dyDescent="0.25">
      <c r="A56" s="86">
        <v>47</v>
      </c>
      <c r="B56" s="87">
        <v>13.03</v>
      </c>
      <c r="C56" s="87">
        <v>3.9</v>
      </c>
    </row>
    <row r="57" spans="1:3" x14ac:dyDescent="0.25">
      <c r="A57" s="86">
        <v>48</v>
      </c>
      <c r="B57" s="87">
        <v>13.23</v>
      </c>
      <c r="C57" s="87">
        <v>3.94</v>
      </c>
    </row>
    <row r="58" spans="1:3" x14ac:dyDescent="0.25">
      <c r="A58" s="86">
        <v>49</v>
      </c>
      <c r="B58" s="87">
        <v>13.44</v>
      </c>
      <c r="C58" s="87">
        <v>3.97</v>
      </c>
    </row>
    <row r="59" spans="1:3" x14ac:dyDescent="0.25">
      <c r="A59" s="86">
        <v>50</v>
      </c>
      <c r="B59" s="87">
        <v>13.65</v>
      </c>
      <c r="C59" s="87">
        <v>4</v>
      </c>
    </row>
    <row r="60" spans="1:3" x14ac:dyDescent="0.25">
      <c r="A60" s="86">
        <v>51</v>
      </c>
      <c r="B60" s="87">
        <v>13.86</v>
      </c>
      <c r="C60" s="87">
        <v>4.0199999999999996</v>
      </c>
    </row>
    <row r="61" spans="1:3" x14ac:dyDescent="0.25">
      <c r="A61" s="86">
        <v>52</v>
      </c>
      <c r="B61" s="87">
        <v>14.08</v>
      </c>
      <c r="C61" s="87">
        <v>4.05</v>
      </c>
    </row>
    <row r="62" spans="1:3" x14ac:dyDescent="0.25">
      <c r="A62" s="86">
        <v>53</v>
      </c>
      <c r="B62" s="87">
        <v>14.31</v>
      </c>
      <c r="C62" s="87">
        <v>4.07</v>
      </c>
    </row>
    <row r="63" spans="1:3" x14ac:dyDescent="0.25">
      <c r="A63" s="86">
        <v>54</v>
      </c>
      <c r="B63" s="87">
        <v>14.55</v>
      </c>
      <c r="C63" s="87">
        <v>4.0999999999999996</v>
      </c>
    </row>
    <row r="64" spans="1:3" x14ac:dyDescent="0.25">
      <c r="A64" s="86">
        <v>55</v>
      </c>
      <c r="B64" s="87">
        <v>14.79</v>
      </c>
      <c r="C64" s="87">
        <v>4.12</v>
      </c>
    </row>
    <row r="65" spans="1:3" x14ac:dyDescent="0.25">
      <c r="A65" s="86">
        <v>56</v>
      </c>
      <c r="B65" s="87">
        <v>15.04</v>
      </c>
      <c r="C65" s="87">
        <v>4.13</v>
      </c>
    </row>
    <row r="66" spans="1:3" x14ac:dyDescent="0.25">
      <c r="A66" s="86">
        <v>57</v>
      </c>
      <c r="B66" s="87">
        <v>15.3</v>
      </c>
      <c r="C66" s="87">
        <v>4.1500000000000004</v>
      </c>
    </row>
    <row r="67" spans="1:3" x14ac:dyDescent="0.25">
      <c r="A67" s="86">
        <v>58</v>
      </c>
      <c r="B67" s="87">
        <v>15.56</v>
      </c>
      <c r="C67" s="87">
        <v>4.16</v>
      </c>
    </row>
    <row r="68" spans="1:3" x14ac:dyDescent="0.25">
      <c r="A68" s="86">
        <v>59</v>
      </c>
      <c r="B68" s="87">
        <v>15.84</v>
      </c>
      <c r="C68" s="87">
        <v>4.17</v>
      </c>
    </row>
    <row r="69" spans="1:3" x14ac:dyDescent="0.25">
      <c r="A69" s="86">
        <v>60</v>
      </c>
      <c r="B69" s="87">
        <v>16.13</v>
      </c>
      <c r="C69" s="87">
        <v>4.18</v>
      </c>
    </row>
    <row r="70" spans="1:3" x14ac:dyDescent="0.25">
      <c r="A70" s="86">
        <v>61</v>
      </c>
      <c r="B70" s="87">
        <v>16.43</v>
      </c>
      <c r="C70" s="87">
        <v>4.18</v>
      </c>
    </row>
    <row r="71" spans="1:3" x14ac:dyDescent="0.25">
      <c r="A71" s="86">
        <v>62</v>
      </c>
      <c r="B71" s="87">
        <v>16.75</v>
      </c>
      <c r="C71" s="87">
        <v>4.18</v>
      </c>
    </row>
    <row r="72" spans="1:3" x14ac:dyDescent="0.25">
      <c r="A72" s="86">
        <v>63</v>
      </c>
      <c r="B72" s="87">
        <v>17.079999999999998</v>
      </c>
      <c r="C72" s="87">
        <v>4.17</v>
      </c>
    </row>
    <row r="73" spans="1:3" x14ac:dyDescent="0.25">
      <c r="A73" s="86">
        <v>64</v>
      </c>
      <c r="B73" s="87">
        <v>17.43</v>
      </c>
      <c r="C73" s="87">
        <v>4.16</v>
      </c>
    </row>
  </sheetData>
  <sheetProtection algorithmName="SHA-512" hashValue="Uh9Zpnw4V5a8w1lbpAb95qa+aBhT6n9uqD6d2PIVhdvNk0eekj8qwZujO4DssFcDC0233MSzaVg7ndOYHZEbug==" saltValue="uHty7fLhESZuNWuh8uLP8A==" spinCount="100000" sheet="1" objects="1" scenarios="1"/>
  <conditionalFormatting sqref="A6:A21">
    <cfRule type="expression" dxfId="879" priority="1" stopIfTrue="1">
      <formula>MOD(ROW(),2)=0</formula>
    </cfRule>
    <cfRule type="expression" dxfId="878" priority="2" stopIfTrue="1">
      <formula>MOD(ROW(),2)&lt;&gt;0</formula>
    </cfRule>
  </conditionalFormatting>
  <conditionalFormatting sqref="A26:A73">
    <cfRule type="expression" dxfId="877" priority="7" stopIfTrue="1">
      <formula>MOD(ROW(),2)=0</formula>
    </cfRule>
    <cfRule type="expression" dxfId="876" priority="8" stopIfTrue="1">
      <formula>MOD(ROW(),2)&lt;&gt;0</formula>
    </cfRule>
  </conditionalFormatting>
  <conditionalFormatting sqref="B17:B19">
    <cfRule type="expression" dxfId="875" priority="11" stopIfTrue="1">
      <formula>MOD(ROW(),2)=0</formula>
    </cfRule>
    <cfRule type="expression" dxfId="874" priority="12" stopIfTrue="1">
      <formula>MOD(ROW(),2)&lt;&gt;0</formula>
    </cfRule>
  </conditionalFormatting>
  <conditionalFormatting sqref="B6:C21">
    <cfRule type="expression" dxfId="873" priority="27" stopIfTrue="1">
      <formula>MOD(ROW(),2)=0</formula>
    </cfRule>
    <cfRule type="expression" dxfId="872" priority="28" stopIfTrue="1">
      <formula>MOD(ROW(),2)&lt;&gt;0</formula>
    </cfRule>
  </conditionalFormatting>
  <conditionalFormatting sqref="B26:C73">
    <cfRule type="expression" dxfId="871" priority="9" stopIfTrue="1">
      <formula>MOD(ROW(),2)=0</formula>
    </cfRule>
    <cfRule type="expression" dxfId="870" priority="10" stopIfTrue="1">
      <formula>MOD(ROW(),2)&lt;&gt;0</formula>
    </cfRule>
  </conditionalFormatting>
  <conditionalFormatting sqref="C17">
    <cfRule type="expression" dxfId="869" priority="5" stopIfTrue="1">
      <formula>MOD(ROW(),2)=0</formula>
    </cfRule>
    <cfRule type="expression" dxfId="868" priority="6" stopIfTrue="1">
      <formula>MOD(ROW(),2)&lt;&gt;0</formula>
    </cfRule>
  </conditionalFormatting>
  <hyperlinks>
    <hyperlink ref="B24" location="Assumptions!A1" display="Assumptions" xr:uid="{1EB4526B-8023-4865-A2D9-172C6FFE5E8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dimension ref="A1:G68"/>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4.44140625" style="27" customWidth="1"/>
    <col min="3" max="3" width="23.4414062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x-204</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2006</v>
      </c>
      <c r="C8" s="102"/>
    </row>
    <row r="9" spans="1:7" x14ac:dyDescent="0.25">
      <c r="A9" s="72" t="s">
        <v>80</v>
      </c>
      <c r="B9" s="102" t="s">
        <v>92</v>
      </c>
      <c r="C9" s="102"/>
    </row>
    <row r="10" spans="1:7" x14ac:dyDescent="0.25">
      <c r="A10" s="72" t="s">
        <v>6</v>
      </c>
      <c r="B10" s="102" t="s">
        <v>105</v>
      </c>
      <c r="C10" s="102"/>
    </row>
    <row r="11" spans="1:7" x14ac:dyDescent="0.25">
      <c r="A11" s="72" t="s">
        <v>81</v>
      </c>
      <c r="B11" s="102" t="s">
        <v>100</v>
      </c>
      <c r="C11" s="102"/>
    </row>
    <row r="12" spans="1:7" x14ac:dyDescent="0.25">
      <c r="A12" s="72" t="s">
        <v>82</v>
      </c>
      <c r="B12" s="102" t="s">
        <v>95</v>
      </c>
      <c r="C12" s="102"/>
    </row>
    <row r="13" spans="1:7" hidden="1" x14ac:dyDescent="0.25">
      <c r="A13" s="72" t="s">
        <v>342</v>
      </c>
      <c r="B13" s="102">
        <v>1</v>
      </c>
      <c r="C13" s="102"/>
    </row>
    <row r="14" spans="1:7" hidden="1" x14ac:dyDescent="0.25">
      <c r="A14" s="72" t="s">
        <v>84</v>
      </c>
      <c r="B14" s="102">
        <v>204</v>
      </c>
      <c r="C14" s="102"/>
    </row>
    <row r="15" spans="1:7" x14ac:dyDescent="0.25">
      <c r="A15" s="72" t="s">
        <v>345</v>
      </c>
      <c r="B15" s="102" t="s">
        <v>106</v>
      </c>
      <c r="C15" s="102"/>
    </row>
    <row r="16" spans="1:7" x14ac:dyDescent="0.25">
      <c r="A16" s="72" t="s">
        <v>86</v>
      </c>
      <c r="B16" s="102" t="s">
        <v>102</v>
      </c>
      <c r="C16" s="102"/>
    </row>
    <row r="17" spans="1:3" ht="95.55" customHeight="1"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416</v>
      </c>
      <c r="C26" s="85" t="s">
        <v>419</v>
      </c>
    </row>
    <row r="27" spans="1:3" x14ac:dyDescent="0.25">
      <c r="A27" s="86">
        <v>18</v>
      </c>
      <c r="B27" s="87">
        <v>8.64</v>
      </c>
      <c r="C27" s="87">
        <v>2.56</v>
      </c>
    </row>
    <row r="28" spans="1:3" x14ac:dyDescent="0.25">
      <c r="A28" s="86">
        <v>19</v>
      </c>
      <c r="B28" s="87">
        <v>8.76</v>
      </c>
      <c r="C28" s="87">
        <v>2.68</v>
      </c>
    </row>
    <row r="29" spans="1:3" x14ac:dyDescent="0.25">
      <c r="A29" s="86">
        <v>20</v>
      </c>
      <c r="B29" s="87">
        <v>8.8800000000000008</v>
      </c>
      <c r="C29" s="87">
        <v>2.72</v>
      </c>
    </row>
    <row r="30" spans="1:3" x14ac:dyDescent="0.25">
      <c r="A30" s="86">
        <v>21</v>
      </c>
      <c r="B30" s="87">
        <v>9</v>
      </c>
      <c r="C30" s="87">
        <v>2.77</v>
      </c>
    </row>
    <row r="31" spans="1:3" x14ac:dyDescent="0.25">
      <c r="A31" s="86">
        <v>22</v>
      </c>
      <c r="B31" s="87">
        <v>9.1300000000000008</v>
      </c>
      <c r="C31" s="87">
        <v>2.81</v>
      </c>
    </row>
    <row r="32" spans="1:3" x14ac:dyDescent="0.25">
      <c r="A32" s="86">
        <v>23</v>
      </c>
      <c r="B32" s="87">
        <v>9.25</v>
      </c>
      <c r="C32" s="87">
        <v>2.86</v>
      </c>
    </row>
    <row r="33" spans="1:3" x14ac:dyDescent="0.25">
      <c r="A33" s="86">
        <v>24</v>
      </c>
      <c r="B33" s="87">
        <v>9.3800000000000008</v>
      </c>
      <c r="C33" s="87">
        <v>2.91</v>
      </c>
    </row>
    <row r="34" spans="1:3" x14ac:dyDescent="0.25">
      <c r="A34" s="86">
        <v>25</v>
      </c>
      <c r="B34" s="87">
        <v>9.51</v>
      </c>
      <c r="C34" s="87">
        <v>2.95</v>
      </c>
    </row>
    <row r="35" spans="1:3" x14ac:dyDescent="0.25">
      <c r="A35" s="86">
        <v>26</v>
      </c>
      <c r="B35" s="87">
        <v>9.65</v>
      </c>
      <c r="C35" s="87">
        <v>3</v>
      </c>
    </row>
    <row r="36" spans="1:3" x14ac:dyDescent="0.25">
      <c r="A36" s="86">
        <v>27</v>
      </c>
      <c r="B36" s="87">
        <v>9.7799999999999994</v>
      </c>
      <c r="C36" s="87">
        <v>3.05</v>
      </c>
    </row>
    <row r="37" spans="1:3" x14ac:dyDescent="0.25">
      <c r="A37" s="86">
        <v>28</v>
      </c>
      <c r="B37" s="87">
        <v>9.92</v>
      </c>
      <c r="C37" s="87">
        <v>3.1</v>
      </c>
    </row>
    <row r="38" spans="1:3" x14ac:dyDescent="0.25">
      <c r="A38" s="86">
        <v>29</v>
      </c>
      <c r="B38" s="87">
        <v>10.050000000000001</v>
      </c>
      <c r="C38" s="87">
        <v>3.14</v>
      </c>
    </row>
    <row r="39" spans="1:3" x14ac:dyDescent="0.25">
      <c r="A39" s="86">
        <v>30</v>
      </c>
      <c r="B39" s="87">
        <v>10.199999999999999</v>
      </c>
      <c r="C39" s="87">
        <v>3.19</v>
      </c>
    </row>
    <row r="40" spans="1:3" x14ac:dyDescent="0.25">
      <c r="A40" s="86">
        <v>31</v>
      </c>
      <c r="B40" s="87">
        <v>10.34</v>
      </c>
      <c r="C40" s="87">
        <v>3.24</v>
      </c>
    </row>
    <row r="41" spans="1:3" x14ac:dyDescent="0.25">
      <c r="A41" s="86">
        <v>32</v>
      </c>
      <c r="B41" s="87">
        <v>10.49</v>
      </c>
      <c r="C41" s="87">
        <v>3.28</v>
      </c>
    </row>
    <row r="42" spans="1:3" x14ac:dyDescent="0.25">
      <c r="A42" s="86">
        <v>33</v>
      </c>
      <c r="B42" s="87">
        <v>10.63</v>
      </c>
      <c r="C42" s="87">
        <v>3.33</v>
      </c>
    </row>
    <row r="43" spans="1:3" x14ac:dyDescent="0.25">
      <c r="A43" s="86">
        <v>34</v>
      </c>
      <c r="B43" s="87">
        <v>10.78</v>
      </c>
      <c r="C43" s="87">
        <v>3.38</v>
      </c>
    </row>
    <row r="44" spans="1:3" x14ac:dyDescent="0.25">
      <c r="A44" s="86">
        <v>35</v>
      </c>
      <c r="B44" s="87">
        <v>10.94</v>
      </c>
      <c r="C44" s="87">
        <v>3.42</v>
      </c>
    </row>
    <row r="45" spans="1:3" x14ac:dyDescent="0.25">
      <c r="A45" s="86">
        <v>36</v>
      </c>
      <c r="B45" s="87">
        <v>11.09</v>
      </c>
      <c r="C45" s="87">
        <v>3.47</v>
      </c>
    </row>
    <row r="46" spans="1:3" x14ac:dyDescent="0.25">
      <c r="A46" s="86">
        <v>37</v>
      </c>
      <c r="B46" s="87">
        <v>11.25</v>
      </c>
      <c r="C46" s="87">
        <v>3.51</v>
      </c>
    </row>
    <row r="47" spans="1:3" x14ac:dyDescent="0.25">
      <c r="A47" s="86">
        <v>38</v>
      </c>
      <c r="B47" s="87">
        <v>11.42</v>
      </c>
      <c r="C47" s="87">
        <v>3.55</v>
      </c>
    </row>
    <row r="48" spans="1:3" x14ac:dyDescent="0.25">
      <c r="A48" s="86">
        <v>39</v>
      </c>
      <c r="B48" s="87">
        <v>11.58</v>
      </c>
      <c r="C48" s="87">
        <v>3.6</v>
      </c>
    </row>
    <row r="49" spans="1:3" x14ac:dyDescent="0.25">
      <c r="A49" s="86">
        <v>40</v>
      </c>
      <c r="B49" s="87">
        <v>11.75</v>
      </c>
      <c r="C49" s="87">
        <v>3.64</v>
      </c>
    </row>
    <row r="50" spans="1:3" x14ac:dyDescent="0.25">
      <c r="A50" s="86">
        <v>41</v>
      </c>
      <c r="B50" s="87">
        <v>11.92</v>
      </c>
      <c r="C50" s="87">
        <v>3.68</v>
      </c>
    </row>
    <row r="51" spans="1:3" x14ac:dyDescent="0.25">
      <c r="A51" s="86">
        <v>42</v>
      </c>
      <c r="B51" s="87">
        <v>12.09</v>
      </c>
      <c r="C51" s="87">
        <v>3.72</v>
      </c>
    </row>
    <row r="52" spans="1:3" x14ac:dyDescent="0.25">
      <c r="A52" s="86">
        <v>43</v>
      </c>
      <c r="B52" s="87">
        <v>12.27</v>
      </c>
      <c r="C52" s="87">
        <v>3.76</v>
      </c>
    </row>
    <row r="53" spans="1:3" x14ac:dyDescent="0.25">
      <c r="A53" s="86">
        <v>44</v>
      </c>
      <c r="B53" s="87">
        <v>12.46</v>
      </c>
      <c r="C53" s="87">
        <v>3.8</v>
      </c>
    </row>
    <row r="54" spans="1:3" x14ac:dyDescent="0.25">
      <c r="A54" s="86">
        <v>45</v>
      </c>
      <c r="B54" s="87">
        <v>12.64</v>
      </c>
      <c r="C54" s="87">
        <v>3.84</v>
      </c>
    </row>
    <row r="55" spans="1:3" x14ac:dyDescent="0.25">
      <c r="A55" s="86">
        <v>46</v>
      </c>
      <c r="B55" s="87">
        <v>12.83</v>
      </c>
      <c r="C55" s="87">
        <v>3.87</v>
      </c>
    </row>
    <row r="56" spans="1:3" x14ac:dyDescent="0.25">
      <c r="A56" s="86">
        <v>47</v>
      </c>
      <c r="B56" s="87">
        <v>13.03</v>
      </c>
      <c r="C56" s="87">
        <v>3.9</v>
      </c>
    </row>
    <row r="57" spans="1:3" x14ac:dyDescent="0.25">
      <c r="A57" s="86">
        <v>48</v>
      </c>
      <c r="B57" s="87">
        <v>13.23</v>
      </c>
      <c r="C57" s="87">
        <v>3.94</v>
      </c>
    </row>
    <row r="58" spans="1:3" x14ac:dyDescent="0.25">
      <c r="A58" s="86">
        <v>49</v>
      </c>
      <c r="B58" s="87">
        <v>13.44</v>
      </c>
      <c r="C58" s="87">
        <v>3.97</v>
      </c>
    </row>
    <row r="59" spans="1:3" x14ac:dyDescent="0.25">
      <c r="A59" s="86">
        <v>50</v>
      </c>
      <c r="B59" s="87">
        <v>13.65</v>
      </c>
      <c r="C59" s="87">
        <v>4</v>
      </c>
    </row>
    <row r="60" spans="1:3" x14ac:dyDescent="0.25">
      <c r="A60" s="86">
        <v>51</v>
      </c>
      <c r="B60" s="87">
        <v>13.86</v>
      </c>
      <c r="C60" s="87">
        <v>4.0199999999999996</v>
      </c>
    </row>
    <row r="61" spans="1:3" x14ac:dyDescent="0.25">
      <c r="A61" s="86">
        <v>52</v>
      </c>
      <c r="B61" s="87">
        <v>14.08</v>
      </c>
      <c r="C61" s="87">
        <v>4.05</v>
      </c>
    </row>
    <row r="62" spans="1:3" x14ac:dyDescent="0.25">
      <c r="A62" s="86">
        <v>53</v>
      </c>
      <c r="B62" s="87">
        <v>14.31</v>
      </c>
      <c r="C62" s="87">
        <v>4.07</v>
      </c>
    </row>
    <row r="63" spans="1:3" x14ac:dyDescent="0.25">
      <c r="A63" s="86">
        <v>54</v>
      </c>
      <c r="B63" s="87">
        <v>14.55</v>
      </c>
      <c r="C63" s="87">
        <v>4.0999999999999996</v>
      </c>
    </row>
    <row r="64" spans="1:3" x14ac:dyDescent="0.25">
      <c r="A64" s="86">
        <v>55</v>
      </c>
      <c r="B64" s="87">
        <v>14.79</v>
      </c>
      <c r="C64" s="87">
        <v>4.12</v>
      </c>
    </row>
    <row r="65" spans="1:3" x14ac:dyDescent="0.25">
      <c r="A65" s="86">
        <v>56</v>
      </c>
      <c r="B65" s="87">
        <v>15.04</v>
      </c>
      <c r="C65" s="87">
        <v>4.13</v>
      </c>
    </row>
    <row r="66" spans="1:3" x14ac:dyDescent="0.25">
      <c r="A66" s="86">
        <v>57</v>
      </c>
      <c r="B66" s="87">
        <v>15.3</v>
      </c>
      <c r="C66" s="87">
        <v>4.1500000000000004</v>
      </c>
    </row>
    <row r="67" spans="1:3" x14ac:dyDescent="0.25">
      <c r="A67" s="86">
        <v>58</v>
      </c>
      <c r="B67" s="87">
        <v>15.56</v>
      </c>
      <c r="C67" s="87">
        <v>4.16</v>
      </c>
    </row>
    <row r="68" spans="1:3" x14ac:dyDescent="0.25">
      <c r="A68" s="86">
        <v>59</v>
      </c>
      <c r="B68" s="87">
        <v>15.84</v>
      </c>
      <c r="C68" s="87">
        <v>4.17</v>
      </c>
    </row>
  </sheetData>
  <sheetProtection algorithmName="SHA-512" hashValue="IWSbIkGC6AQSMZPIuD+flT7Lv9aT53SB3+QkzhoLrjKLF45NiMTMdNaSW/NUB9dR7ay8dRVZOIT3bv/ZcNGqMw==" saltValue="QwKQlGQuRUL0oxXBS32PKg==" spinCount="100000" sheet="1" objects="1" scenarios="1"/>
  <conditionalFormatting sqref="A6:A21">
    <cfRule type="expression" dxfId="867" priority="15" stopIfTrue="1">
      <formula>MOD(ROW(),2)=0</formula>
    </cfRule>
    <cfRule type="expression" dxfId="866" priority="16" stopIfTrue="1">
      <formula>MOD(ROW(),2)&lt;&gt;0</formula>
    </cfRule>
  </conditionalFormatting>
  <conditionalFormatting sqref="A26:A68">
    <cfRule type="expression" dxfId="865" priority="3" stopIfTrue="1">
      <formula>MOD(ROW(),2)=0</formula>
    </cfRule>
    <cfRule type="expression" dxfId="864" priority="4" stopIfTrue="1">
      <formula>MOD(ROW(),2)&lt;&gt;0</formula>
    </cfRule>
  </conditionalFormatting>
  <conditionalFormatting sqref="B17:B19">
    <cfRule type="expression" dxfId="863" priority="7" stopIfTrue="1">
      <formula>MOD(ROW(),2)=0</formula>
    </cfRule>
    <cfRule type="expression" dxfId="862" priority="8" stopIfTrue="1">
      <formula>MOD(ROW(),2)&lt;&gt;0</formula>
    </cfRule>
  </conditionalFormatting>
  <conditionalFormatting sqref="B6:C21">
    <cfRule type="expression" dxfId="861" priority="23" stopIfTrue="1">
      <formula>MOD(ROW(),2)=0</formula>
    </cfRule>
    <cfRule type="expression" dxfId="860" priority="24" stopIfTrue="1">
      <formula>MOD(ROW(),2)&lt;&gt;0</formula>
    </cfRule>
  </conditionalFormatting>
  <conditionalFormatting sqref="B26:C68">
    <cfRule type="expression" dxfId="859" priority="5" stopIfTrue="1">
      <formula>MOD(ROW(),2)=0</formula>
    </cfRule>
    <cfRule type="expression" dxfId="858" priority="6" stopIfTrue="1">
      <formula>MOD(ROW(),2)&lt;&gt;0</formula>
    </cfRule>
  </conditionalFormatting>
  <conditionalFormatting sqref="C17">
    <cfRule type="expression" dxfId="857" priority="1" stopIfTrue="1">
      <formula>MOD(ROW(),2)=0</formula>
    </cfRule>
    <cfRule type="expression" dxfId="856" priority="2" stopIfTrue="1">
      <formula>MOD(ROW(),2)&lt;&gt;0</formula>
    </cfRule>
  </conditionalFormatting>
  <hyperlinks>
    <hyperlink ref="B24" location="Assumptions!A1" display="Assumptions" xr:uid="{E1D9D1A6-64FE-4602-B611-28BC6D4319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dimension ref="A1:F6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6" ht="21" x14ac:dyDescent="0.4">
      <c r="A1" s="39" t="s">
        <v>0</v>
      </c>
      <c r="B1" s="40"/>
      <c r="C1" s="40"/>
      <c r="D1" s="40"/>
      <c r="E1" s="40"/>
      <c r="F1" s="40"/>
    </row>
    <row r="2" spans="1:6" ht="15.6" x14ac:dyDescent="0.3">
      <c r="A2" s="41" t="str">
        <f>IF(title="&gt; Enter workbook title here","Enter workbook title in Cover sheet",title)</f>
        <v>Fire England - Consolidated Factor Spreadsheet</v>
      </c>
      <c r="B2" s="42"/>
      <c r="C2" s="42"/>
      <c r="D2" s="42"/>
      <c r="E2" s="42"/>
      <c r="F2" s="42"/>
    </row>
    <row r="3" spans="1:6" ht="15.6" x14ac:dyDescent="0.3">
      <c r="A3" s="43" t="str">
        <f>TABLE_FACTOR_TYPE_1&amp;" - x-"&amp;TABLE_SERIES_NUMBER_1</f>
        <v>CETV - x-205</v>
      </c>
      <c r="B3" s="42"/>
      <c r="C3" s="42"/>
      <c r="D3" s="42"/>
      <c r="E3" s="42"/>
      <c r="F3" s="42"/>
    </row>
    <row r="4" spans="1:6" x14ac:dyDescent="0.25">
      <c r="A4" s="44"/>
    </row>
    <row r="6" spans="1:6" x14ac:dyDescent="0.25">
      <c r="A6" s="146" t="s">
        <v>334</v>
      </c>
      <c r="B6" s="102" t="s">
        <v>335</v>
      </c>
      <c r="C6" s="102"/>
    </row>
    <row r="7" spans="1:6" x14ac:dyDescent="0.25">
      <c r="A7" s="72" t="s">
        <v>78</v>
      </c>
      <c r="B7" s="102" t="s">
        <v>67</v>
      </c>
      <c r="C7" s="102"/>
    </row>
    <row r="8" spans="1:6" x14ac:dyDescent="0.25">
      <c r="A8" s="72" t="s">
        <v>79</v>
      </c>
      <c r="B8" s="102">
        <v>2006</v>
      </c>
      <c r="C8" s="102"/>
    </row>
    <row r="9" spans="1:6" x14ac:dyDescent="0.25">
      <c r="A9" s="72" t="s">
        <v>80</v>
      </c>
      <c r="B9" s="102" t="s">
        <v>92</v>
      </c>
      <c r="C9" s="102"/>
    </row>
    <row r="10" spans="1:6" x14ac:dyDescent="0.25">
      <c r="A10" s="72" t="s">
        <v>6</v>
      </c>
      <c r="B10" s="102" t="s">
        <v>107</v>
      </c>
      <c r="C10" s="102"/>
    </row>
    <row r="11" spans="1:6" x14ac:dyDescent="0.25">
      <c r="A11" s="72" t="s">
        <v>81</v>
      </c>
      <c r="B11" s="102" t="s">
        <v>100</v>
      </c>
      <c r="C11" s="102"/>
    </row>
    <row r="12" spans="1:6" x14ac:dyDescent="0.25">
      <c r="A12" s="72" t="s">
        <v>82</v>
      </c>
      <c r="B12" s="102" t="s">
        <v>95</v>
      </c>
      <c r="C12" s="102"/>
    </row>
    <row r="13" spans="1:6" hidden="1" x14ac:dyDescent="0.25">
      <c r="A13" s="72" t="s">
        <v>342</v>
      </c>
      <c r="B13" s="102">
        <v>1</v>
      </c>
      <c r="C13" s="102"/>
    </row>
    <row r="14" spans="1:6" hidden="1" x14ac:dyDescent="0.25">
      <c r="A14" s="72" t="s">
        <v>84</v>
      </c>
      <c r="B14" s="102">
        <v>205</v>
      </c>
      <c r="C14" s="102"/>
    </row>
    <row r="15" spans="1:6" x14ac:dyDescent="0.25">
      <c r="A15" s="72" t="s">
        <v>345</v>
      </c>
      <c r="B15" s="102" t="s">
        <v>108</v>
      </c>
      <c r="C15" s="102"/>
    </row>
    <row r="16" spans="1:6" x14ac:dyDescent="0.25">
      <c r="A16" s="72" t="s">
        <v>86</v>
      </c>
      <c r="B16" s="102" t="s">
        <v>109</v>
      </c>
      <c r="C16" s="102"/>
    </row>
    <row r="17" spans="1:3" ht="78" customHeight="1"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416</v>
      </c>
      <c r="C26" s="85" t="s">
        <v>420</v>
      </c>
    </row>
    <row r="27" spans="1:3" x14ac:dyDescent="0.25">
      <c r="A27" s="86">
        <v>60</v>
      </c>
      <c r="B27" s="87">
        <v>16.13</v>
      </c>
      <c r="C27" s="87">
        <v>4.18</v>
      </c>
    </row>
    <row r="28" spans="1:3" x14ac:dyDescent="0.25">
      <c r="A28" s="86">
        <v>61</v>
      </c>
      <c r="B28" s="87">
        <v>16.43</v>
      </c>
      <c r="C28" s="87">
        <v>4.18</v>
      </c>
    </row>
    <row r="29" spans="1:3" x14ac:dyDescent="0.25">
      <c r="A29" s="86">
        <v>62</v>
      </c>
      <c r="B29" s="87">
        <v>16.75</v>
      </c>
      <c r="C29" s="87">
        <v>4.18</v>
      </c>
    </row>
    <row r="30" spans="1:3" x14ac:dyDescent="0.25">
      <c r="A30" s="86">
        <v>63</v>
      </c>
      <c r="B30" s="87">
        <v>17.079999999999998</v>
      </c>
      <c r="C30" s="87">
        <v>4.17</v>
      </c>
    </row>
    <row r="31" spans="1:3" x14ac:dyDescent="0.25">
      <c r="A31" s="86">
        <v>64</v>
      </c>
      <c r="B31" s="87">
        <v>17.43</v>
      </c>
      <c r="C31" s="87">
        <v>4.16</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42iaPvvO8PcM/ScogsZZeM0Dz+TfOpnYK3YJiIIPdWSMcLbnjiVt3b3V3+llvy4qRdy8mu80ochV59vYCWw==" saltValue="e2qyeQzVJPzYzzSvlxENYA==" spinCount="100000" sheet="1" objects="1" scenarios="1"/>
  <conditionalFormatting sqref="A6:A21">
    <cfRule type="expression" dxfId="855" priority="1" stopIfTrue="1">
      <formula>MOD(ROW(),2)=0</formula>
    </cfRule>
    <cfRule type="expression" dxfId="854" priority="2" stopIfTrue="1">
      <formula>MOD(ROW(),2)&lt;&gt;0</formula>
    </cfRule>
  </conditionalFormatting>
  <conditionalFormatting sqref="A26:A31">
    <cfRule type="expression" dxfId="853" priority="5" stopIfTrue="1">
      <formula>MOD(ROW(),2)=0</formula>
    </cfRule>
    <cfRule type="expression" dxfId="852" priority="6" stopIfTrue="1">
      <formula>MOD(ROW(),2)&lt;&gt;0</formula>
    </cfRule>
  </conditionalFormatting>
  <conditionalFormatting sqref="B17:B19">
    <cfRule type="expression" dxfId="851" priority="9" stopIfTrue="1">
      <formula>MOD(ROW(),2)=0</formula>
    </cfRule>
    <cfRule type="expression" dxfId="850" priority="10" stopIfTrue="1">
      <formula>MOD(ROW(),2)&lt;&gt;0</formula>
    </cfRule>
  </conditionalFormatting>
  <conditionalFormatting sqref="B6:C21">
    <cfRule type="expression" dxfId="849" priority="25" stopIfTrue="1">
      <formula>MOD(ROW(),2)=0</formula>
    </cfRule>
    <cfRule type="expression" dxfId="848" priority="26" stopIfTrue="1">
      <formula>MOD(ROW(),2)&lt;&gt;0</formula>
    </cfRule>
  </conditionalFormatting>
  <conditionalFormatting sqref="B26:C31">
    <cfRule type="expression" dxfId="847" priority="7" stopIfTrue="1">
      <formula>MOD(ROW(),2)=0</formula>
    </cfRule>
    <cfRule type="expression" dxfId="846" priority="8" stopIfTrue="1">
      <formula>MOD(ROW(),2)&lt;&gt;0</formula>
    </cfRule>
  </conditionalFormatting>
  <conditionalFormatting sqref="C17">
    <cfRule type="expression" dxfId="845" priority="3" stopIfTrue="1">
      <formula>MOD(ROW(),2)=0</formula>
    </cfRule>
    <cfRule type="expression" dxfId="844" priority="4" stopIfTrue="1">
      <formula>MOD(ROW(),2)&lt;&gt;0</formula>
    </cfRule>
  </conditionalFormatting>
  <hyperlinks>
    <hyperlink ref="B24" location="Assumptions!A1" display="Assumptions" xr:uid="{4A27B2AE-FD6D-44F2-8D8D-CFBAD066002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1:G68"/>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x-206</v>
      </c>
      <c r="B3" s="42"/>
      <c r="C3" s="42"/>
      <c r="D3" s="42"/>
      <c r="E3" s="42"/>
      <c r="F3" s="42"/>
      <c r="G3" s="42"/>
    </row>
    <row r="4" spans="1:7" x14ac:dyDescent="0.25">
      <c r="A4" s="44"/>
    </row>
    <row r="6" spans="1:7" x14ac:dyDescent="0.25">
      <c r="A6" s="146" t="s">
        <v>334</v>
      </c>
      <c r="B6" s="102" t="s">
        <v>335</v>
      </c>
      <c r="C6" s="102"/>
      <c r="D6" s="102"/>
    </row>
    <row r="7" spans="1:7" x14ac:dyDescent="0.25">
      <c r="A7" s="72" t="s">
        <v>78</v>
      </c>
      <c r="B7" s="102" t="s">
        <v>67</v>
      </c>
      <c r="C7" s="102"/>
      <c r="D7" s="102"/>
    </row>
    <row r="8" spans="1:7" x14ac:dyDescent="0.25">
      <c r="A8" s="72" t="s">
        <v>79</v>
      </c>
      <c r="B8" s="102">
        <v>2006</v>
      </c>
      <c r="C8" s="102"/>
      <c r="D8" s="102"/>
    </row>
    <row r="9" spans="1:7" x14ac:dyDescent="0.25">
      <c r="A9" s="72" t="s">
        <v>80</v>
      </c>
      <c r="B9" s="102" t="s">
        <v>92</v>
      </c>
      <c r="C9" s="102"/>
      <c r="D9" s="102"/>
    </row>
    <row r="10" spans="1:7" x14ac:dyDescent="0.25">
      <c r="A10" s="72" t="s">
        <v>6</v>
      </c>
      <c r="B10" s="102" t="s">
        <v>93</v>
      </c>
      <c r="C10" s="102"/>
      <c r="D10" s="102"/>
    </row>
    <row r="11" spans="1:7" x14ac:dyDescent="0.25">
      <c r="A11" s="72" t="s">
        <v>81</v>
      </c>
      <c r="B11" s="102" t="s">
        <v>94</v>
      </c>
      <c r="C11" s="102"/>
      <c r="D11" s="102"/>
    </row>
    <row r="12" spans="1:7" x14ac:dyDescent="0.25">
      <c r="A12" s="72" t="s">
        <v>82</v>
      </c>
      <c r="B12" s="102" t="s">
        <v>95</v>
      </c>
      <c r="C12" s="102"/>
      <c r="D12" s="102"/>
    </row>
    <row r="13" spans="1:7" hidden="1" x14ac:dyDescent="0.25">
      <c r="A13" s="72" t="s">
        <v>342</v>
      </c>
      <c r="B13" s="102">
        <v>1</v>
      </c>
      <c r="C13" s="102"/>
      <c r="D13" s="102"/>
    </row>
    <row r="14" spans="1:7" hidden="1" x14ac:dyDescent="0.25">
      <c r="A14" s="72" t="s">
        <v>84</v>
      </c>
      <c r="B14" s="102">
        <v>206</v>
      </c>
      <c r="C14" s="102"/>
      <c r="D14" s="102"/>
    </row>
    <row r="15" spans="1:7" x14ac:dyDescent="0.25">
      <c r="A15" s="72" t="s">
        <v>345</v>
      </c>
      <c r="B15" s="102" t="s">
        <v>110</v>
      </c>
      <c r="C15" s="102"/>
      <c r="D15" s="102"/>
    </row>
    <row r="16" spans="1:7" x14ac:dyDescent="0.25">
      <c r="A16" s="72" t="s">
        <v>86</v>
      </c>
      <c r="B16" s="102" t="s">
        <v>111</v>
      </c>
      <c r="C16" s="102"/>
      <c r="D16" s="102"/>
    </row>
    <row r="17" spans="1:4" ht="70.5"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26.4" x14ac:dyDescent="0.25">
      <c r="A26" s="85" t="s">
        <v>415</v>
      </c>
      <c r="B26" s="85" t="s">
        <v>416</v>
      </c>
      <c r="C26" s="85" t="s">
        <v>420</v>
      </c>
      <c r="D26" s="85" t="s">
        <v>418</v>
      </c>
    </row>
    <row r="27" spans="1:4" x14ac:dyDescent="0.25">
      <c r="A27" s="86">
        <v>18</v>
      </c>
      <c r="B27" s="87">
        <v>10.88</v>
      </c>
      <c r="C27" s="87">
        <v>2.52</v>
      </c>
      <c r="D27" s="87">
        <v>0</v>
      </c>
    </row>
    <row r="28" spans="1:4" x14ac:dyDescent="0.25">
      <c r="A28" s="86">
        <v>19</v>
      </c>
      <c r="B28" s="87">
        <v>11.04</v>
      </c>
      <c r="C28" s="87">
        <v>2.64</v>
      </c>
      <c r="D28" s="87">
        <v>0</v>
      </c>
    </row>
    <row r="29" spans="1:4" x14ac:dyDescent="0.25">
      <c r="A29" s="86">
        <v>20</v>
      </c>
      <c r="B29" s="87">
        <v>11.2</v>
      </c>
      <c r="C29" s="87">
        <v>2.68</v>
      </c>
      <c r="D29" s="87">
        <v>0</v>
      </c>
    </row>
    <row r="30" spans="1:4" x14ac:dyDescent="0.25">
      <c r="A30" s="86">
        <v>21</v>
      </c>
      <c r="B30" s="87">
        <v>11.36</v>
      </c>
      <c r="C30" s="87">
        <v>2.73</v>
      </c>
      <c r="D30" s="87">
        <v>0</v>
      </c>
    </row>
    <row r="31" spans="1:4" x14ac:dyDescent="0.25">
      <c r="A31" s="86">
        <v>22</v>
      </c>
      <c r="B31" s="87">
        <v>11.53</v>
      </c>
      <c r="C31" s="87">
        <v>2.77</v>
      </c>
      <c r="D31" s="87">
        <v>0</v>
      </c>
    </row>
    <row r="32" spans="1:4" x14ac:dyDescent="0.25">
      <c r="A32" s="86">
        <v>23</v>
      </c>
      <c r="B32" s="87">
        <v>11.69</v>
      </c>
      <c r="C32" s="87">
        <v>2.82</v>
      </c>
      <c r="D32" s="87">
        <v>0</v>
      </c>
    </row>
    <row r="33" spans="1:4" x14ac:dyDescent="0.25">
      <c r="A33" s="86">
        <v>24</v>
      </c>
      <c r="B33" s="87">
        <v>11.86</v>
      </c>
      <c r="C33" s="87">
        <v>2.86</v>
      </c>
      <c r="D33" s="87">
        <v>0</v>
      </c>
    </row>
    <row r="34" spans="1:4" x14ac:dyDescent="0.25">
      <c r="A34" s="86">
        <v>25</v>
      </c>
      <c r="B34" s="87">
        <v>12.04</v>
      </c>
      <c r="C34" s="87">
        <v>2.91</v>
      </c>
      <c r="D34" s="87">
        <v>0</v>
      </c>
    </row>
    <row r="35" spans="1:4" x14ac:dyDescent="0.25">
      <c r="A35" s="86">
        <v>26</v>
      </c>
      <c r="B35" s="87">
        <v>12.21</v>
      </c>
      <c r="C35" s="87">
        <v>2.96</v>
      </c>
      <c r="D35" s="87">
        <v>0</v>
      </c>
    </row>
    <row r="36" spans="1:4" x14ac:dyDescent="0.25">
      <c r="A36" s="86">
        <v>27</v>
      </c>
      <c r="B36" s="87">
        <v>12.39</v>
      </c>
      <c r="C36" s="87">
        <v>3</v>
      </c>
      <c r="D36" s="87">
        <v>0</v>
      </c>
    </row>
    <row r="37" spans="1:4" x14ac:dyDescent="0.25">
      <c r="A37" s="86">
        <v>28</v>
      </c>
      <c r="B37" s="87">
        <v>12.57</v>
      </c>
      <c r="C37" s="87">
        <v>3.05</v>
      </c>
      <c r="D37" s="87">
        <v>0</v>
      </c>
    </row>
    <row r="38" spans="1:4" x14ac:dyDescent="0.25">
      <c r="A38" s="86">
        <v>29</v>
      </c>
      <c r="B38" s="87">
        <v>12.75</v>
      </c>
      <c r="C38" s="87">
        <v>3.09</v>
      </c>
      <c r="D38" s="87">
        <v>0</v>
      </c>
    </row>
    <row r="39" spans="1:4" x14ac:dyDescent="0.25">
      <c r="A39" s="86">
        <v>30</v>
      </c>
      <c r="B39" s="87">
        <v>12.94</v>
      </c>
      <c r="C39" s="87">
        <v>3.14</v>
      </c>
      <c r="D39" s="87">
        <v>0</v>
      </c>
    </row>
    <row r="40" spans="1:4" x14ac:dyDescent="0.25">
      <c r="A40" s="86">
        <v>31</v>
      </c>
      <c r="B40" s="87">
        <v>13.13</v>
      </c>
      <c r="C40" s="87">
        <v>3.19</v>
      </c>
      <c r="D40" s="87">
        <v>0</v>
      </c>
    </row>
    <row r="41" spans="1:4" x14ac:dyDescent="0.25">
      <c r="A41" s="86">
        <v>32</v>
      </c>
      <c r="B41" s="87">
        <v>13.32</v>
      </c>
      <c r="C41" s="87">
        <v>3.23</v>
      </c>
      <c r="D41" s="87">
        <v>0</v>
      </c>
    </row>
    <row r="42" spans="1:4" x14ac:dyDescent="0.25">
      <c r="A42" s="86">
        <v>33</v>
      </c>
      <c r="B42" s="87">
        <v>13.52</v>
      </c>
      <c r="C42" s="87">
        <v>3.27</v>
      </c>
      <c r="D42" s="87">
        <v>0</v>
      </c>
    </row>
    <row r="43" spans="1:4" x14ac:dyDescent="0.25">
      <c r="A43" s="86">
        <v>34</v>
      </c>
      <c r="B43" s="87">
        <v>13.72</v>
      </c>
      <c r="C43" s="87">
        <v>3.32</v>
      </c>
      <c r="D43" s="87">
        <v>0</v>
      </c>
    </row>
    <row r="44" spans="1:4" x14ac:dyDescent="0.25">
      <c r="A44" s="86">
        <v>35</v>
      </c>
      <c r="B44" s="87">
        <v>13.92</v>
      </c>
      <c r="C44" s="87">
        <v>3.36</v>
      </c>
      <c r="D44" s="87">
        <v>0</v>
      </c>
    </row>
    <row r="45" spans="1:4" x14ac:dyDescent="0.25">
      <c r="A45" s="86">
        <v>36</v>
      </c>
      <c r="B45" s="87">
        <v>14.13</v>
      </c>
      <c r="C45" s="87">
        <v>3.41</v>
      </c>
      <c r="D45" s="87">
        <v>0</v>
      </c>
    </row>
    <row r="46" spans="1:4" x14ac:dyDescent="0.25">
      <c r="A46" s="86">
        <v>37</v>
      </c>
      <c r="B46" s="87">
        <v>14.34</v>
      </c>
      <c r="C46" s="87">
        <v>3.45</v>
      </c>
      <c r="D46" s="87">
        <v>0</v>
      </c>
    </row>
    <row r="47" spans="1:4" x14ac:dyDescent="0.25">
      <c r="A47" s="86">
        <v>38</v>
      </c>
      <c r="B47" s="87">
        <v>14.56</v>
      </c>
      <c r="C47" s="87">
        <v>3.49</v>
      </c>
      <c r="D47" s="87">
        <v>0</v>
      </c>
    </row>
    <row r="48" spans="1:4" x14ac:dyDescent="0.25">
      <c r="A48" s="86">
        <v>39</v>
      </c>
      <c r="B48" s="87">
        <v>14.78</v>
      </c>
      <c r="C48" s="87">
        <v>3.53</v>
      </c>
      <c r="D48" s="87">
        <v>0</v>
      </c>
    </row>
    <row r="49" spans="1:4" x14ac:dyDescent="0.25">
      <c r="A49" s="86">
        <v>40</v>
      </c>
      <c r="B49" s="87">
        <v>15</v>
      </c>
      <c r="C49" s="87">
        <v>3.57</v>
      </c>
      <c r="D49" s="87">
        <v>0</v>
      </c>
    </row>
    <row r="50" spans="1:4" x14ac:dyDescent="0.25">
      <c r="A50" s="86">
        <v>41</v>
      </c>
      <c r="B50" s="87">
        <v>15.23</v>
      </c>
      <c r="C50" s="87">
        <v>3.61</v>
      </c>
      <c r="D50" s="87">
        <v>0</v>
      </c>
    </row>
    <row r="51" spans="1:4" x14ac:dyDescent="0.25">
      <c r="A51" s="86">
        <v>42</v>
      </c>
      <c r="B51" s="87">
        <v>15.47</v>
      </c>
      <c r="C51" s="87">
        <v>3.65</v>
      </c>
      <c r="D51" s="87">
        <v>0</v>
      </c>
    </row>
    <row r="52" spans="1:4" x14ac:dyDescent="0.25">
      <c r="A52" s="86">
        <v>43</v>
      </c>
      <c r="B52" s="87">
        <v>15.71</v>
      </c>
      <c r="C52" s="87">
        <v>3.69</v>
      </c>
      <c r="D52" s="87">
        <v>0</v>
      </c>
    </row>
    <row r="53" spans="1:4" x14ac:dyDescent="0.25">
      <c r="A53" s="86">
        <v>44</v>
      </c>
      <c r="B53" s="87">
        <v>15.95</v>
      </c>
      <c r="C53" s="87">
        <v>3.73</v>
      </c>
      <c r="D53" s="87">
        <v>0</v>
      </c>
    </row>
    <row r="54" spans="1:4" x14ac:dyDescent="0.25">
      <c r="A54" s="86">
        <v>45</v>
      </c>
      <c r="B54" s="87">
        <v>16.2</v>
      </c>
      <c r="C54" s="87">
        <v>3.76</v>
      </c>
      <c r="D54" s="87">
        <v>0</v>
      </c>
    </row>
    <row r="55" spans="1:4" x14ac:dyDescent="0.25">
      <c r="A55" s="86">
        <v>46</v>
      </c>
      <c r="B55" s="87">
        <v>16.46</v>
      </c>
      <c r="C55" s="87">
        <v>3.8</v>
      </c>
      <c r="D55" s="87">
        <v>0</v>
      </c>
    </row>
    <row r="56" spans="1:4" x14ac:dyDescent="0.25">
      <c r="A56" s="86">
        <v>47</v>
      </c>
      <c r="B56" s="87">
        <v>16.72</v>
      </c>
      <c r="C56" s="87">
        <v>3.83</v>
      </c>
      <c r="D56" s="87">
        <v>0</v>
      </c>
    </row>
    <row r="57" spans="1:4" x14ac:dyDescent="0.25">
      <c r="A57" s="86">
        <v>48</v>
      </c>
      <c r="B57" s="87">
        <v>16.989999999999998</v>
      </c>
      <c r="C57" s="87">
        <v>3.86</v>
      </c>
      <c r="D57" s="87">
        <v>0</v>
      </c>
    </row>
    <row r="58" spans="1:4" x14ac:dyDescent="0.25">
      <c r="A58" s="86">
        <v>49</v>
      </c>
      <c r="B58" s="87">
        <v>17.260000000000002</v>
      </c>
      <c r="C58" s="87">
        <v>3.89</v>
      </c>
      <c r="D58" s="87">
        <v>0</v>
      </c>
    </row>
    <row r="59" spans="1:4" x14ac:dyDescent="0.25">
      <c r="A59" s="86">
        <v>50</v>
      </c>
      <c r="B59" s="87">
        <v>17.55</v>
      </c>
      <c r="C59" s="87">
        <v>3.91</v>
      </c>
      <c r="D59" s="87">
        <v>0</v>
      </c>
    </row>
    <row r="60" spans="1:4" x14ac:dyDescent="0.25">
      <c r="A60" s="86">
        <v>51</v>
      </c>
      <c r="B60" s="87">
        <v>17.84</v>
      </c>
      <c r="C60" s="87">
        <v>3.94</v>
      </c>
      <c r="D60" s="87">
        <v>0</v>
      </c>
    </row>
    <row r="61" spans="1:4" x14ac:dyDescent="0.25">
      <c r="A61" s="86">
        <v>52</v>
      </c>
      <c r="B61" s="87">
        <v>18.14</v>
      </c>
      <c r="C61" s="87">
        <v>3.97</v>
      </c>
      <c r="D61" s="87">
        <v>0</v>
      </c>
    </row>
    <row r="62" spans="1:4" x14ac:dyDescent="0.25">
      <c r="A62" s="86">
        <v>53</v>
      </c>
      <c r="B62" s="87">
        <v>18.440000000000001</v>
      </c>
      <c r="C62" s="87">
        <v>3.99</v>
      </c>
      <c r="D62" s="87">
        <v>0</v>
      </c>
    </row>
    <row r="63" spans="1:4" x14ac:dyDescent="0.25">
      <c r="A63" s="86">
        <v>54</v>
      </c>
      <c r="B63" s="87">
        <v>18.760000000000002</v>
      </c>
      <c r="C63" s="87">
        <v>4.01</v>
      </c>
      <c r="D63" s="87">
        <v>0</v>
      </c>
    </row>
    <row r="64" spans="1:4" x14ac:dyDescent="0.25">
      <c r="A64" s="86">
        <v>55</v>
      </c>
      <c r="B64" s="87">
        <v>19.079999999999998</v>
      </c>
      <c r="C64" s="87">
        <v>4.03</v>
      </c>
      <c r="D64" s="87">
        <v>0</v>
      </c>
    </row>
    <row r="65" spans="1:4" x14ac:dyDescent="0.25">
      <c r="A65" s="86">
        <v>56</v>
      </c>
      <c r="B65" s="87">
        <v>19.420000000000002</v>
      </c>
      <c r="C65" s="87">
        <v>4.05</v>
      </c>
      <c r="D65" s="87">
        <v>0</v>
      </c>
    </row>
    <row r="66" spans="1:4" x14ac:dyDescent="0.25">
      <c r="A66" s="86">
        <v>57</v>
      </c>
      <c r="B66" s="87">
        <v>19.77</v>
      </c>
      <c r="C66" s="87">
        <v>4.0599999999999996</v>
      </c>
      <c r="D66" s="87">
        <v>0</v>
      </c>
    </row>
    <row r="67" spans="1:4" x14ac:dyDescent="0.25">
      <c r="A67" s="86">
        <v>58</v>
      </c>
      <c r="B67" s="87">
        <v>20.13</v>
      </c>
      <c r="C67" s="87">
        <v>4.07</v>
      </c>
      <c r="D67" s="87">
        <v>0</v>
      </c>
    </row>
    <row r="68" spans="1:4" x14ac:dyDescent="0.25">
      <c r="A68" s="86">
        <v>59</v>
      </c>
      <c r="B68" s="87">
        <v>20.5</v>
      </c>
      <c r="C68" s="87">
        <v>4.08</v>
      </c>
      <c r="D68" s="87">
        <v>0</v>
      </c>
    </row>
  </sheetData>
  <sheetProtection algorithmName="SHA-512" hashValue="TBBt6AfMVjmnnVfEaVqcLdyUIVUfnyTgr1+wSdwIE2qWlku044KPugr04LOCCmvDp2dT/H8hwNw+QSDPZyNQzQ==" saltValue="RjPhQ83R99N+qucfdwUXqg==" spinCount="100000" sheet="1" objects="1" scenarios="1"/>
  <conditionalFormatting sqref="A6:A21">
    <cfRule type="expression" dxfId="843" priority="1" stopIfTrue="1">
      <formula>MOD(ROW(),2)=0</formula>
    </cfRule>
    <cfRule type="expression" dxfId="842" priority="2" stopIfTrue="1">
      <formula>MOD(ROW(),2)&lt;&gt;0</formula>
    </cfRule>
  </conditionalFormatting>
  <conditionalFormatting sqref="A26:A68">
    <cfRule type="expression" dxfId="841" priority="5" stopIfTrue="1">
      <formula>MOD(ROW(),2)=0</formula>
    </cfRule>
    <cfRule type="expression" dxfId="840" priority="6" stopIfTrue="1">
      <formula>MOD(ROW(),2)&lt;&gt;0</formula>
    </cfRule>
  </conditionalFormatting>
  <conditionalFormatting sqref="B17:B19">
    <cfRule type="expression" dxfId="839" priority="9" stopIfTrue="1">
      <formula>MOD(ROW(),2)=0</formula>
    </cfRule>
    <cfRule type="expression" dxfId="838" priority="10" stopIfTrue="1">
      <formula>MOD(ROW(),2)&lt;&gt;0</formula>
    </cfRule>
  </conditionalFormatting>
  <conditionalFormatting sqref="B6:D21 B26:D68">
    <cfRule type="expression" dxfId="837" priority="25" stopIfTrue="1">
      <formula>MOD(ROW(),2)=0</formula>
    </cfRule>
    <cfRule type="expression" dxfId="836" priority="26" stopIfTrue="1">
      <formula>MOD(ROW(),2)&lt;&gt;0</formula>
    </cfRule>
  </conditionalFormatting>
  <conditionalFormatting sqref="C17:D17">
    <cfRule type="expression" dxfId="835" priority="3" stopIfTrue="1">
      <formula>MOD(ROW(),2)=0</formula>
    </cfRule>
    <cfRule type="expression" dxfId="834" priority="4" stopIfTrue="1">
      <formula>MOD(ROW(),2)&lt;&gt;0</formula>
    </cfRule>
  </conditionalFormatting>
  <hyperlinks>
    <hyperlink ref="B24" location="Assumptions!A1" display="Assumptions" xr:uid="{C1651DBD-74F1-4B6C-9515-147A71D7D77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dimension ref="A1:G68"/>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x-207</v>
      </c>
      <c r="B3" s="42"/>
      <c r="C3" s="42"/>
      <c r="D3" s="42"/>
      <c r="E3" s="42"/>
      <c r="F3" s="42"/>
      <c r="G3" s="42"/>
    </row>
    <row r="4" spans="1:7" x14ac:dyDescent="0.25">
      <c r="A4" s="44"/>
    </row>
    <row r="6" spans="1:7" x14ac:dyDescent="0.25">
      <c r="A6" s="146" t="s">
        <v>334</v>
      </c>
      <c r="B6" s="102" t="s">
        <v>335</v>
      </c>
      <c r="C6" s="102"/>
      <c r="D6" s="102"/>
    </row>
    <row r="7" spans="1:7" x14ac:dyDescent="0.25">
      <c r="A7" s="72" t="s">
        <v>78</v>
      </c>
      <c r="B7" s="102" t="s">
        <v>67</v>
      </c>
      <c r="C7" s="102"/>
      <c r="D7" s="102"/>
    </row>
    <row r="8" spans="1:7" x14ac:dyDescent="0.25">
      <c r="A8" s="72" t="s">
        <v>79</v>
      </c>
      <c r="B8" s="102">
        <v>2006</v>
      </c>
      <c r="C8" s="102"/>
      <c r="D8" s="102"/>
    </row>
    <row r="9" spans="1:7" x14ac:dyDescent="0.25">
      <c r="A9" s="72" t="s">
        <v>80</v>
      </c>
      <c r="B9" s="102" t="s">
        <v>92</v>
      </c>
      <c r="C9" s="102"/>
      <c r="D9" s="102"/>
    </row>
    <row r="10" spans="1:7" x14ac:dyDescent="0.25">
      <c r="A10" s="72" t="s">
        <v>6</v>
      </c>
      <c r="B10" s="102" t="s">
        <v>93</v>
      </c>
      <c r="C10" s="102"/>
      <c r="D10" s="102"/>
    </row>
    <row r="11" spans="1:7" x14ac:dyDescent="0.25">
      <c r="A11" s="72" t="s">
        <v>81</v>
      </c>
      <c r="B11" s="102" t="s">
        <v>100</v>
      </c>
      <c r="C11" s="102"/>
      <c r="D11" s="102"/>
    </row>
    <row r="12" spans="1:7" x14ac:dyDescent="0.25">
      <c r="A12" s="72" t="s">
        <v>82</v>
      </c>
      <c r="B12" s="102" t="s">
        <v>95</v>
      </c>
      <c r="C12" s="102"/>
      <c r="D12" s="102"/>
    </row>
    <row r="13" spans="1:7" hidden="1" x14ac:dyDescent="0.25">
      <c r="A13" s="72" t="s">
        <v>342</v>
      </c>
      <c r="B13" s="102">
        <v>1</v>
      </c>
      <c r="C13" s="102"/>
      <c r="D13" s="102"/>
    </row>
    <row r="14" spans="1:7" hidden="1" x14ac:dyDescent="0.25">
      <c r="A14" s="72" t="s">
        <v>84</v>
      </c>
      <c r="B14" s="102">
        <v>207</v>
      </c>
      <c r="C14" s="102"/>
      <c r="D14" s="102"/>
    </row>
    <row r="15" spans="1:7" x14ac:dyDescent="0.25">
      <c r="A15" s="72" t="s">
        <v>345</v>
      </c>
      <c r="B15" s="102" t="s">
        <v>112</v>
      </c>
      <c r="C15" s="102"/>
      <c r="D15" s="102"/>
    </row>
    <row r="16" spans="1:7" ht="12.75" customHeight="1" x14ac:dyDescent="0.25">
      <c r="A16" s="72" t="s">
        <v>86</v>
      </c>
      <c r="B16" s="102" t="s">
        <v>113</v>
      </c>
      <c r="C16" s="102"/>
      <c r="D16" s="102"/>
    </row>
    <row r="17" spans="1:4" ht="70.349999999999994"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26.4" x14ac:dyDescent="0.25">
      <c r="A26" s="85" t="s">
        <v>415</v>
      </c>
      <c r="B26" s="85" t="s">
        <v>416</v>
      </c>
      <c r="C26" s="85" t="s">
        <v>420</v>
      </c>
      <c r="D26" s="85" t="s">
        <v>418</v>
      </c>
    </row>
    <row r="27" spans="1:4" x14ac:dyDescent="0.25">
      <c r="A27" s="86">
        <v>18</v>
      </c>
      <c r="B27" s="87">
        <v>10.88</v>
      </c>
      <c r="C27" s="87">
        <v>2.52</v>
      </c>
      <c r="D27" s="87">
        <v>0</v>
      </c>
    </row>
    <row r="28" spans="1:4" x14ac:dyDescent="0.25">
      <c r="A28" s="86">
        <v>19</v>
      </c>
      <c r="B28" s="87">
        <v>11.04</v>
      </c>
      <c r="C28" s="87">
        <v>2.64</v>
      </c>
      <c r="D28" s="87">
        <v>0</v>
      </c>
    </row>
    <row r="29" spans="1:4" x14ac:dyDescent="0.25">
      <c r="A29" s="86">
        <v>20</v>
      </c>
      <c r="B29" s="87">
        <v>11.2</v>
      </c>
      <c r="C29" s="87">
        <v>2.68</v>
      </c>
      <c r="D29" s="87">
        <v>0</v>
      </c>
    </row>
    <row r="30" spans="1:4" x14ac:dyDescent="0.25">
      <c r="A30" s="86">
        <v>21</v>
      </c>
      <c r="B30" s="87">
        <v>11.36</v>
      </c>
      <c r="C30" s="87">
        <v>2.73</v>
      </c>
      <c r="D30" s="87">
        <v>0</v>
      </c>
    </row>
    <row r="31" spans="1:4" x14ac:dyDescent="0.25">
      <c r="A31" s="86">
        <v>22</v>
      </c>
      <c r="B31" s="87">
        <v>11.53</v>
      </c>
      <c r="C31" s="87">
        <v>2.77</v>
      </c>
      <c r="D31" s="87">
        <v>0</v>
      </c>
    </row>
    <row r="32" spans="1:4" x14ac:dyDescent="0.25">
      <c r="A32" s="86">
        <v>23</v>
      </c>
      <c r="B32" s="87">
        <v>11.69</v>
      </c>
      <c r="C32" s="87">
        <v>2.82</v>
      </c>
      <c r="D32" s="87">
        <v>0</v>
      </c>
    </row>
    <row r="33" spans="1:4" x14ac:dyDescent="0.25">
      <c r="A33" s="86">
        <v>24</v>
      </c>
      <c r="B33" s="87">
        <v>11.86</v>
      </c>
      <c r="C33" s="87">
        <v>2.86</v>
      </c>
      <c r="D33" s="87">
        <v>0</v>
      </c>
    </row>
    <row r="34" spans="1:4" x14ac:dyDescent="0.25">
      <c r="A34" s="86">
        <v>25</v>
      </c>
      <c r="B34" s="87">
        <v>12.04</v>
      </c>
      <c r="C34" s="87">
        <v>2.91</v>
      </c>
      <c r="D34" s="87">
        <v>0</v>
      </c>
    </row>
    <row r="35" spans="1:4" x14ac:dyDescent="0.25">
      <c r="A35" s="86">
        <v>26</v>
      </c>
      <c r="B35" s="87">
        <v>12.21</v>
      </c>
      <c r="C35" s="87">
        <v>2.96</v>
      </c>
      <c r="D35" s="87">
        <v>0</v>
      </c>
    </row>
    <row r="36" spans="1:4" x14ac:dyDescent="0.25">
      <c r="A36" s="86">
        <v>27</v>
      </c>
      <c r="B36" s="87">
        <v>12.39</v>
      </c>
      <c r="C36" s="87">
        <v>3</v>
      </c>
      <c r="D36" s="87">
        <v>0</v>
      </c>
    </row>
    <row r="37" spans="1:4" x14ac:dyDescent="0.25">
      <c r="A37" s="86">
        <v>28</v>
      </c>
      <c r="B37" s="87">
        <v>12.57</v>
      </c>
      <c r="C37" s="87">
        <v>3.05</v>
      </c>
      <c r="D37" s="87">
        <v>0</v>
      </c>
    </row>
    <row r="38" spans="1:4" x14ac:dyDescent="0.25">
      <c r="A38" s="86">
        <v>29</v>
      </c>
      <c r="B38" s="87">
        <v>12.75</v>
      </c>
      <c r="C38" s="87">
        <v>3.09</v>
      </c>
      <c r="D38" s="87">
        <v>0</v>
      </c>
    </row>
    <row r="39" spans="1:4" x14ac:dyDescent="0.25">
      <c r="A39" s="86">
        <v>30</v>
      </c>
      <c r="B39" s="87">
        <v>12.94</v>
      </c>
      <c r="C39" s="87">
        <v>3.14</v>
      </c>
      <c r="D39" s="87">
        <v>0</v>
      </c>
    </row>
    <row r="40" spans="1:4" x14ac:dyDescent="0.25">
      <c r="A40" s="86">
        <v>31</v>
      </c>
      <c r="B40" s="87">
        <v>13.13</v>
      </c>
      <c r="C40" s="87">
        <v>3.19</v>
      </c>
      <c r="D40" s="87">
        <v>0</v>
      </c>
    </row>
    <row r="41" spans="1:4" x14ac:dyDescent="0.25">
      <c r="A41" s="86">
        <v>32</v>
      </c>
      <c r="B41" s="87">
        <v>13.32</v>
      </c>
      <c r="C41" s="87">
        <v>3.23</v>
      </c>
      <c r="D41" s="87">
        <v>0</v>
      </c>
    </row>
    <row r="42" spans="1:4" x14ac:dyDescent="0.25">
      <c r="A42" s="86">
        <v>33</v>
      </c>
      <c r="B42" s="87">
        <v>13.52</v>
      </c>
      <c r="C42" s="87">
        <v>3.27</v>
      </c>
      <c r="D42" s="87">
        <v>0</v>
      </c>
    </row>
    <row r="43" spans="1:4" x14ac:dyDescent="0.25">
      <c r="A43" s="86">
        <v>34</v>
      </c>
      <c r="B43" s="87">
        <v>13.72</v>
      </c>
      <c r="C43" s="87">
        <v>3.32</v>
      </c>
      <c r="D43" s="87">
        <v>0</v>
      </c>
    </row>
    <row r="44" spans="1:4" x14ac:dyDescent="0.25">
      <c r="A44" s="86">
        <v>35</v>
      </c>
      <c r="B44" s="87">
        <v>13.92</v>
      </c>
      <c r="C44" s="87">
        <v>3.36</v>
      </c>
      <c r="D44" s="87">
        <v>0</v>
      </c>
    </row>
    <row r="45" spans="1:4" x14ac:dyDescent="0.25">
      <c r="A45" s="86">
        <v>36</v>
      </c>
      <c r="B45" s="87">
        <v>14.13</v>
      </c>
      <c r="C45" s="87">
        <v>3.41</v>
      </c>
      <c r="D45" s="87">
        <v>0</v>
      </c>
    </row>
    <row r="46" spans="1:4" x14ac:dyDescent="0.25">
      <c r="A46" s="86">
        <v>37</v>
      </c>
      <c r="B46" s="87">
        <v>14.34</v>
      </c>
      <c r="C46" s="87">
        <v>3.45</v>
      </c>
      <c r="D46" s="87">
        <v>0</v>
      </c>
    </row>
    <row r="47" spans="1:4" x14ac:dyDescent="0.25">
      <c r="A47" s="86">
        <v>38</v>
      </c>
      <c r="B47" s="87">
        <v>14.56</v>
      </c>
      <c r="C47" s="87">
        <v>3.49</v>
      </c>
      <c r="D47" s="87">
        <v>0</v>
      </c>
    </row>
    <row r="48" spans="1:4" x14ac:dyDescent="0.25">
      <c r="A48" s="86">
        <v>39</v>
      </c>
      <c r="B48" s="87">
        <v>14.78</v>
      </c>
      <c r="C48" s="87">
        <v>3.53</v>
      </c>
      <c r="D48" s="87">
        <v>0</v>
      </c>
    </row>
    <row r="49" spans="1:4" x14ac:dyDescent="0.25">
      <c r="A49" s="86">
        <v>40</v>
      </c>
      <c r="B49" s="87">
        <v>15</v>
      </c>
      <c r="C49" s="87">
        <v>3.57</v>
      </c>
      <c r="D49" s="87">
        <v>0</v>
      </c>
    </row>
    <row r="50" spans="1:4" x14ac:dyDescent="0.25">
      <c r="A50" s="86">
        <v>41</v>
      </c>
      <c r="B50" s="87">
        <v>15.23</v>
      </c>
      <c r="C50" s="87">
        <v>3.61</v>
      </c>
      <c r="D50" s="87">
        <v>0</v>
      </c>
    </row>
    <row r="51" spans="1:4" x14ac:dyDescent="0.25">
      <c r="A51" s="86">
        <v>42</v>
      </c>
      <c r="B51" s="87">
        <v>15.47</v>
      </c>
      <c r="C51" s="87">
        <v>3.65</v>
      </c>
      <c r="D51" s="87">
        <v>0</v>
      </c>
    </row>
    <row r="52" spans="1:4" x14ac:dyDescent="0.25">
      <c r="A52" s="86">
        <v>43</v>
      </c>
      <c r="B52" s="87">
        <v>15.71</v>
      </c>
      <c r="C52" s="87">
        <v>3.69</v>
      </c>
      <c r="D52" s="87">
        <v>0</v>
      </c>
    </row>
    <row r="53" spans="1:4" x14ac:dyDescent="0.25">
      <c r="A53" s="86">
        <v>44</v>
      </c>
      <c r="B53" s="87">
        <v>15.95</v>
      </c>
      <c r="C53" s="87">
        <v>3.73</v>
      </c>
      <c r="D53" s="87">
        <v>0</v>
      </c>
    </row>
    <row r="54" spans="1:4" x14ac:dyDescent="0.25">
      <c r="A54" s="86">
        <v>45</v>
      </c>
      <c r="B54" s="87">
        <v>16.2</v>
      </c>
      <c r="C54" s="87">
        <v>3.76</v>
      </c>
      <c r="D54" s="87">
        <v>0</v>
      </c>
    </row>
    <row r="55" spans="1:4" x14ac:dyDescent="0.25">
      <c r="A55" s="86">
        <v>46</v>
      </c>
      <c r="B55" s="87">
        <v>16.46</v>
      </c>
      <c r="C55" s="87">
        <v>3.8</v>
      </c>
      <c r="D55" s="87">
        <v>0</v>
      </c>
    </row>
    <row r="56" spans="1:4" x14ac:dyDescent="0.25">
      <c r="A56" s="86">
        <v>47</v>
      </c>
      <c r="B56" s="87">
        <v>16.72</v>
      </c>
      <c r="C56" s="87">
        <v>3.83</v>
      </c>
      <c r="D56" s="87">
        <v>0</v>
      </c>
    </row>
    <row r="57" spans="1:4" x14ac:dyDescent="0.25">
      <c r="A57" s="86">
        <v>48</v>
      </c>
      <c r="B57" s="87">
        <v>16.989999999999998</v>
      </c>
      <c r="C57" s="87">
        <v>3.86</v>
      </c>
      <c r="D57" s="87">
        <v>0</v>
      </c>
    </row>
    <row r="58" spans="1:4" x14ac:dyDescent="0.25">
      <c r="A58" s="86">
        <v>49</v>
      </c>
      <c r="B58" s="87">
        <v>17.260000000000002</v>
      </c>
      <c r="C58" s="87">
        <v>3.89</v>
      </c>
      <c r="D58" s="87">
        <v>0</v>
      </c>
    </row>
    <row r="59" spans="1:4" x14ac:dyDescent="0.25">
      <c r="A59" s="86">
        <v>50</v>
      </c>
      <c r="B59" s="87">
        <v>17.55</v>
      </c>
      <c r="C59" s="87">
        <v>3.91</v>
      </c>
      <c r="D59" s="87">
        <v>0</v>
      </c>
    </row>
    <row r="60" spans="1:4" x14ac:dyDescent="0.25">
      <c r="A60" s="86">
        <v>51</v>
      </c>
      <c r="B60" s="87">
        <v>17.84</v>
      </c>
      <c r="C60" s="87">
        <v>3.94</v>
      </c>
      <c r="D60" s="87">
        <v>0</v>
      </c>
    </row>
    <row r="61" spans="1:4" x14ac:dyDescent="0.25">
      <c r="A61" s="86">
        <v>52</v>
      </c>
      <c r="B61" s="87">
        <v>18.14</v>
      </c>
      <c r="C61" s="87">
        <v>3.97</v>
      </c>
      <c r="D61" s="87">
        <v>0</v>
      </c>
    </row>
    <row r="62" spans="1:4" x14ac:dyDescent="0.25">
      <c r="A62" s="86">
        <v>53</v>
      </c>
      <c r="B62" s="87">
        <v>18.440000000000001</v>
      </c>
      <c r="C62" s="87">
        <v>3.99</v>
      </c>
      <c r="D62" s="87">
        <v>0</v>
      </c>
    </row>
    <row r="63" spans="1:4" x14ac:dyDescent="0.25">
      <c r="A63" s="86">
        <v>54</v>
      </c>
      <c r="B63" s="87">
        <v>18.760000000000002</v>
      </c>
      <c r="C63" s="87">
        <v>4.01</v>
      </c>
      <c r="D63" s="87">
        <v>0</v>
      </c>
    </row>
    <row r="64" spans="1:4" x14ac:dyDescent="0.25">
      <c r="A64" s="86">
        <v>55</v>
      </c>
      <c r="B64" s="87">
        <v>19.079999999999998</v>
      </c>
      <c r="C64" s="87">
        <v>4.03</v>
      </c>
      <c r="D64" s="87">
        <v>0</v>
      </c>
    </row>
    <row r="65" spans="1:4" x14ac:dyDescent="0.25">
      <c r="A65" s="86">
        <v>56</v>
      </c>
      <c r="B65" s="87">
        <v>19.420000000000002</v>
      </c>
      <c r="C65" s="87">
        <v>4.05</v>
      </c>
      <c r="D65" s="87">
        <v>0</v>
      </c>
    </row>
    <row r="66" spans="1:4" x14ac:dyDescent="0.25">
      <c r="A66" s="86">
        <v>57</v>
      </c>
      <c r="B66" s="87">
        <v>19.77</v>
      </c>
      <c r="C66" s="87">
        <v>4.0599999999999996</v>
      </c>
      <c r="D66" s="87">
        <v>0</v>
      </c>
    </row>
    <row r="67" spans="1:4" x14ac:dyDescent="0.25">
      <c r="A67" s="86">
        <v>58</v>
      </c>
      <c r="B67" s="87">
        <v>20.13</v>
      </c>
      <c r="C67" s="87">
        <v>4.07</v>
      </c>
      <c r="D67" s="87">
        <v>0</v>
      </c>
    </row>
    <row r="68" spans="1:4" x14ac:dyDescent="0.25">
      <c r="A68" s="86">
        <v>59</v>
      </c>
      <c r="B68" s="87">
        <v>20.5</v>
      </c>
      <c r="C68" s="87">
        <v>4.08</v>
      </c>
      <c r="D68" s="87">
        <v>0</v>
      </c>
    </row>
  </sheetData>
  <sheetProtection algorithmName="SHA-512" hashValue="6WFanDbnX+7Y3tblax14ReCeSWH3I/pUznnXWtRm7ntYS6RlxY2fa9Hn3PARwuin2MTjmezBsOGZHI/TEDcHSQ==" saltValue="xkS/eMZkbt5Z4+vHS1OGpw==" spinCount="100000" sheet="1" objects="1" scenarios="1"/>
  <conditionalFormatting sqref="A6:A21">
    <cfRule type="expression" dxfId="833" priority="1" stopIfTrue="1">
      <formula>MOD(ROW(),2)=0</formula>
    </cfRule>
    <cfRule type="expression" dxfId="832" priority="2" stopIfTrue="1">
      <formula>MOD(ROW(),2)&lt;&gt;0</formula>
    </cfRule>
  </conditionalFormatting>
  <conditionalFormatting sqref="A26:A68">
    <cfRule type="expression" dxfId="831" priority="5" stopIfTrue="1">
      <formula>MOD(ROW(),2)=0</formula>
    </cfRule>
    <cfRule type="expression" dxfId="830" priority="6" stopIfTrue="1">
      <formula>MOD(ROW(),2)&lt;&gt;0</formula>
    </cfRule>
  </conditionalFormatting>
  <conditionalFormatting sqref="B17:B19">
    <cfRule type="expression" dxfId="829" priority="9" stopIfTrue="1">
      <formula>MOD(ROW(),2)=0</formula>
    </cfRule>
    <cfRule type="expression" dxfId="828" priority="10" stopIfTrue="1">
      <formula>MOD(ROW(),2)&lt;&gt;0</formula>
    </cfRule>
  </conditionalFormatting>
  <conditionalFormatting sqref="B6:D21 B26:D68">
    <cfRule type="expression" dxfId="827" priority="27" stopIfTrue="1">
      <formula>MOD(ROW(),2)=0</formula>
    </cfRule>
    <cfRule type="expression" dxfId="826" priority="28" stopIfTrue="1">
      <formula>MOD(ROW(),2)&lt;&gt;0</formula>
    </cfRule>
  </conditionalFormatting>
  <conditionalFormatting sqref="C17:D17">
    <cfRule type="expression" dxfId="825" priority="3" stopIfTrue="1">
      <formula>MOD(ROW(),2)=0</formula>
    </cfRule>
    <cfRule type="expression" dxfId="824" priority="4" stopIfTrue="1">
      <formula>MOD(ROW(),2)&lt;&gt;0</formula>
    </cfRule>
  </conditionalFormatting>
  <hyperlinks>
    <hyperlink ref="B24" location="Assumptions!A1" display="Assumptions" xr:uid="{3E2D8B7C-601E-4F8A-AA11-5B28F1BC92B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6"/>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4.44140625" style="27" customWidth="1"/>
    <col min="3"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x-208</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114</v>
      </c>
      <c r="C10" s="102"/>
    </row>
    <row r="11" spans="1:7" x14ac:dyDescent="0.25">
      <c r="A11" s="72" t="s">
        <v>81</v>
      </c>
      <c r="B11" s="102" t="s">
        <v>94</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208</v>
      </c>
      <c r="C14" s="102"/>
    </row>
    <row r="15" spans="1:7" x14ac:dyDescent="0.25">
      <c r="A15" s="72" t="s">
        <v>345</v>
      </c>
      <c r="B15" s="102" t="s">
        <v>115</v>
      </c>
      <c r="C15" s="102"/>
    </row>
    <row r="16" spans="1:7" x14ac:dyDescent="0.25">
      <c r="A16" s="72" t="s">
        <v>86</v>
      </c>
      <c r="B16" s="102" t="s">
        <v>116</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8.4</v>
      </c>
      <c r="C27" s="87">
        <v>2.2000000000000002</v>
      </c>
    </row>
    <row r="28" spans="1:3" x14ac:dyDescent="0.25">
      <c r="A28" s="86">
        <v>17</v>
      </c>
      <c r="B28" s="87">
        <v>8.52</v>
      </c>
      <c r="C28" s="87">
        <v>2.37</v>
      </c>
    </row>
    <row r="29" spans="1:3" x14ac:dyDescent="0.25">
      <c r="A29" s="86">
        <v>18</v>
      </c>
      <c r="B29" s="87">
        <v>8.64</v>
      </c>
      <c r="C29" s="87">
        <v>2.56</v>
      </c>
    </row>
    <row r="30" spans="1:3" x14ac:dyDescent="0.25">
      <c r="A30" s="86">
        <v>19</v>
      </c>
      <c r="B30" s="87">
        <v>8.76</v>
      </c>
      <c r="C30" s="87">
        <v>2.68</v>
      </c>
    </row>
    <row r="31" spans="1:3" x14ac:dyDescent="0.25">
      <c r="A31" s="86">
        <v>20</v>
      </c>
      <c r="B31" s="87">
        <v>8.8800000000000008</v>
      </c>
      <c r="C31" s="87">
        <v>2.72</v>
      </c>
    </row>
    <row r="32" spans="1:3" x14ac:dyDescent="0.25">
      <c r="A32" s="86">
        <v>21</v>
      </c>
      <c r="B32" s="87">
        <v>9</v>
      </c>
      <c r="C32" s="87">
        <v>2.77</v>
      </c>
    </row>
    <row r="33" spans="1:3" x14ac:dyDescent="0.25">
      <c r="A33" s="86">
        <v>22</v>
      </c>
      <c r="B33" s="87">
        <v>9.1300000000000008</v>
      </c>
      <c r="C33" s="87">
        <v>2.81</v>
      </c>
    </row>
    <row r="34" spans="1:3" x14ac:dyDescent="0.25">
      <c r="A34" s="86">
        <v>23</v>
      </c>
      <c r="B34" s="87">
        <v>9.25</v>
      </c>
      <c r="C34" s="87">
        <v>2.86</v>
      </c>
    </row>
    <row r="35" spans="1:3" x14ac:dyDescent="0.25">
      <c r="A35" s="86">
        <v>24</v>
      </c>
      <c r="B35" s="87">
        <v>9.3800000000000008</v>
      </c>
      <c r="C35" s="87">
        <v>2.91</v>
      </c>
    </row>
    <row r="36" spans="1:3" x14ac:dyDescent="0.25">
      <c r="A36" s="86">
        <v>25</v>
      </c>
      <c r="B36" s="87">
        <v>9.51</v>
      </c>
      <c r="C36" s="87">
        <v>2.95</v>
      </c>
    </row>
    <row r="37" spans="1:3" x14ac:dyDescent="0.25">
      <c r="A37" s="86">
        <v>26</v>
      </c>
      <c r="B37" s="87">
        <v>9.65</v>
      </c>
      <c r="C37" s="87">
        <v>3</v>
      </c>
    </row>
    <row r="38" spans="1:3" x14ac:dyDescent="0.25">
      <c r="A38" s="86">
        <v>27</v>
      </c>
      <c r="B38" s="87">
        <v>9.7799999999999994</v>
      </c>
      <c r="C38" s="87">
        <v>3.05</v>
      </c>
    </row>
    <row r="39" spans="1:3" x14ac:dyDescent="0.25">
      <c r="A39" s="86">
        <v>28</v>
      </c>
      <c r="B39" s="87">
        <v>9.92</v>
      </c>
      <c r="C39" s="87">
        <v>3.1</v>
      </c>
    </row>
    <row r="40" spans="1:3" x14ac:dyDescent="0.25">
      <c r="A40" s="86">
        <v>29</v>
      </c>
      <c r="B40" s="87">
        <v>10.050000000000001</v>
      </c>
      <c r="C40" s="87">
        <v>3.14</v>
      </c>
    </row>
    <row r="41" spans="1:3" x14ac:dyDescent="0.25">
      <c r="A41" s="86">
        <v>30</v>
      </c>
      <c r="B41" s="87">
        <v>10.199999999999999</v>
      </c>
      <c r="C41" s="87">
        <v>3.19</v>
      </c>
    </row>
    <row r="42" spans="1:3" x14ac:dyDescent="0.25">
      <c r="A42" s="86">
        <v>31</v>
      </c>
      <c r="B42" s="87">
        <v>10.34</v>
      </c>
      <c r="C42" s="87">
        <v>3.24</v>
      </c>
    </row>
    <row r="43" spans="1:3" x14ac:dyDescent="0.25">
      <c r="A43" s="86">
        <v>32</v>
      </c>
      <c r="B43" s="87">
        <v>10.49</v>
      </c>
      <c r="C43" s="87">
        <v>3.28</v>
      </c>
    </row>
    <row r="44" spans="1:3" x14ac:dyDescent="0.25">
      <c r="A44" s="86">
        <v>33</v>
      </c>
      <c r="B44" s="87">
        <v>10.63</v>
      </c>
      <c r="C44" s="87">
        <v>3.33</v>
      </c>
    </row>
    <row r="45" spans="1:3" x14ac:dyDescent="0.25">
      <c r="A45" s="86">
        <v>34</v>
      </c>
      <c r="B45" s="87">
        <v>10.78</v>
      </c>
      <c r="C45" s="87">
        <v>3.38</v>
      </c>
    </row>
    <row r="46" spans="1:3" x14ac:dyDescent="0.25">
      <c r="A46" s="86">
        <v>35</v>
      </c>
      <c r="B46" s="87">
        <v>10.94</v>
      </c>
      <c r="C46" s="87">
        <v>3.42</v>
      </c>
    </row>
    <row r="47" spans="1:3" x14ac:dyDescent="0.25">
      <c r="A47" s="86">
        <v>36</v>
      </c>
      <c r="B47" s="87">
        <v>11.09</v>
      </c>
      <c r="C47" s="87">
        <v>3.47</v>
      </c>
    </row>
    <row r="48" spans="1:3" x14ac:dyDescent="0.25">
      <c r="A48" s="86">
        <v>37</v>
      </c>
      <c r="B48" s="87">
        <v>11.25</v>
      </c>
      <c r="C48" s="87">
        <v>3.51</v>
      </c>
    </row>
    <row r="49" spans="1:3" x14ac:dyDescent="0.25">
      <c r="A49" s="86">
        <v>38</v>
      </c>
      <c r="B49" s="87">
        <v>11.42</v>
      </c>
      <c r="C49" s="87">
        <v>3.55</v>
      </c>
    </row>
    <row r="50" spans="1:3" x14ac:dyDescent="0.25">
      <c r="A50" s="86">
        <v>39</v>
      </c>
      <c r="B50" s="87">
        <v>11.58</v>
      </c>
      <c r="C50" s="87">
        <v>3.6</v>
      </c>
    </row>
    <row r="51" spans="1:3" x14ac:dyDescent="0.25">
      <c r="A51" s="86">
        <v>40</v>
      </c>
      <c r="B51" s="87">
        <v>11.75</v>
      </c>
      <c r="C51" s="87">
        <v>3.64</v>
      </c>
    </row>
    <row r="52" spans="1:3" x14ac:dyDescent="0.25">
      <c r="A52" s="86">
        <v>41</v>
      </c>
      <c r="B52" s="87">
        <v>11.92</v>
      </c>
      <c r="C52" s="87">
        <v>3.68</v>
      </c>
    </row>
    <row r="53" spans="1:3" x14ac:dyDescent="0.25">
      <c r="A53" s="86">
        <v>42</v>
      </c>
      <c r="B53" s="87">
        <v>12.09</v>
      </c>
      <c r="C53" s="87">
        <v>3.72</v>
      </c>
    </row>
    <row r="54" spans="1:3" x14ac:dyDescent="0.25">
      <c r="A54" s="86">
        <v>43</v>
      </c>
      <c r="B54" s="87">
        <v>12.27</v>
      </c>
      <c r="C54" s="87">
        <v>3.76</v>
      </c>
    </row>
    <row r="55" spans="1:3" x14ac:dyDescent="0.25">
      <c r="A55" s="86">
        <v>44</v>
      </c>
      <c r="B55" s="87">
        <v>12.46</v>
      </c>
      <c r="C55" s="87">
        <v>3.8</v>
      </c>
    </row>
    <row r="56" spans="1:3" x14ac:dyDescent="0.25">
      <c r="A56" s="86">
        <v>45</v>
      </c>
      <c r="B56" s="87">
        <v>12.64</v>
      </c>
      <c r="C56" s="87">
        <v>3.84</v>
      </c>
    </row>
    <row r="57" spans="1:3" x14ac:dyDescent="0.25">
      <c r="A57" s="86">
        <v>46</v>
      </c>
      <c r="B57" s="87">
        <v>12.83</v>
      </c>
      <c r="C57" s="87">
        <v>3.87</v>
      </c>
    </row>
    <row r="58" spans="1:3" x14ac:dyDescent="0.25">
      <c r="A58" s="86">
        <v>47</v>
      </c>
      <c r="B58" s="87">
        <v>13.03</v>
      </c>
      <c r="C58" s="87">
        <v>3.9</v>
      </c>
    </row>
    <row r="59" spans="1:3" x14ac:dyDescent="0.25">
      <c r="A59" s="86">
        <v>48</v>
      </c>
      <c r="B59" s="87">
        <v>13.23</v>
      </c>
      <c r="C59" s="87">
        <v>3.94</v>
      </c>
    </row>
    <row r="60" spans="1:3" x14ac:dyDescent="0.25">
      <c r="A60" s="86">
        <v>49</v>
      </c>
      <c r="B60" s="87">
        <v>13.44</v>
      </c>
      <c r="C60" s="87">
        <v>3.97</v>
      </c>
    </row>
    <row r="61" spans="1:3" x14ac:dyDescent="0.25">
      <c r="A61" s="86">
        <v>50</v>
      </c>
      <c r="B61" s="87">
        <v>13.65</v>
      </c>
      <c r="C61" s="87">
        <v>4</v>
      </c>
    </row>
    <row r="62" spans="1:3" x14ac:dyDescent="0.25">
      <c r="A62" s="86">
        <v>51</v>
      </c>
      <c r="B62" s="87">
        <v>13.86</v>
      </c>
      <c r="C62" s="87">
        <v>4.0199999999999996</v>
      </c>
    </row>
    <row r="63" spans="1:3" x14ac:dyDescent="0.25">
      <c r="A63" s="86">
        <v>52</v>
      </c>
      <c r="B63" s="87">
        <v>14.08</v>
      </c>
      <c r="C63" s="87">
        <v>4.05</v>
      </c>
    </row>
    <row r="64" spans="1:3" x14ac:dyDescent="0.25">
      <c r="A64" s="86">
        <v>53</v>
      </c>
      <c r="B64" s="87">
        <v>14.31</v>
      </c>
      <c r="C64" s="87">
        <v>4.07</v>
      </c>
    </row>
    <row r="65" spans="1:3" x14ac:dyDescent="0.25">
      <c r="A65" s="86">
        <v>54</v>
      </c>
      <c r="B65" s="87">
        <v>14.55</v>
      </c>
      <c r="C65" s="87">
        <v>4.0999999999999996</v>
      </c>
    </row>
    <row r="66" spans="1:3" x14ac:dyDescent="0.25">
      <c r="A66" s="86">
        <v>55</v>
      </c>
      <c r="B66" s="87">
        <v>14.79</v>
      </c>
      <c r="C66" s="87">
        <v>4.12</v>
      </c>
    </row>
    <row r="67" spans="1:3" x14ac:dyDescent="0.25">
      <c r="A67" s="86">
        <v>56</v>
      </c>
      <c r="B67" s="87">
        <v>15.04</v>
      </c>
      <c r="C67" s="87">
        <v>4.13</v>
      </c>
    </row>
    <row r="68" spans="1:3" x14ac:dyDescent="0.25">
      <c r="A68" s="86">
        <v>57</v>
      </c>
      <c r="B68" s="87">
        <v>15.3</v>
      </c>
      <c r="C68" s="87">
        <v>4.1500000000000004</v>
      </c>
    </row>
    <row r="69" spans="1:3" x14ac:dyDescent="0.25">
      <c r="A69" s="86">
        <v>58</v>
      </c>
      <c r="B69" s="87">
        <v>15.56</v>
      </c>
      <c r="C69" s="87">
        <v>4.16</v>
      </c>
    </row>
    <row r="70" spans="1:3" x14ac:dyDescent="0.25">
      <c r="A70" s="86">
        <v>59</v>
      </c>
      <c r="B70" s="87">
        <v>15.84</v>
      </c>
      <c r="C70" s="87">
        <v>4.17</v>
      </c>
    </row>
    <row r="71" spans="1:3" x14ac:dyDescent="0.25">
      <c r="A71" s="86">
        <v>60</v>
      </c>
      <c r="B71" s="87">
        <v>16.13</v>
      </c>
      <c r="C71" s="87">
        <v>4.18</v>
      </c>
    </row>
    <row r="72" spans="1:3" x14ac:dyDescent="0.25">
      <c r="A72" s="86">
        <v>61</v>
      </c>
      <c r="B72" s="87">
        <v>16.43</v>
      </c>
      <c r="C72" s="87">
        <v>4.18</v>
      </c>
    </row>
    <row r="73" spans="1:3" x14ac:dyDescent="0.25">
      <c r="A73" s="86">
        <v>62</v>
      </c>
      <c r="B73" s="87">
        <v>16.75</v>
      </c>
      <c r="C73" s="87">
        <v>4.18</v>
      </c>
    </row>
    <row r="74" spans="1:3" x14ac:dyDescent="0.25">
      <c r="A74" s="86">
        <v>63</v>
      </c>
      <c r="B74" s="87">
        <v>17.079999999999998</v>
      </c>
      <c r="C74" s="87">
        <v>4.17</v>
      </c>
    </row>
    <row r="75" spans="1:3" x14ac:dyDescent="0.25">
      <c r="A75" s="86">
        <v>64</v>
      </c>
      <c r="B75" s="87">
        <v>17.43</v>
      </c>
      <c r="C75" s="87">
        <v>4.16</v>
      </c>
    </row>
    <row r="76" spans="1:3" x14ac:dyDescent="0.25">
      <c r="A76" s="86">
        <v>65</v>
      </c>
      <c r="B76" s="87">
        <v>17.29</v>
      </c>
      <c r="C76" s="87">
        <v>4.1500000000000004</v>
      </c>
    </row>
    <row r="77" spans="1:3" x14ac:dyDescent="0.25">
      <c r="A77" s="86">
        <v>66</v>
      </c>
      <c r="B77" s="87">
        <v>16.63</v>
      </c>
      <c r="C77" s="87">
        <v>4.1500000000000004</v>
      </c>
    </row>
    <row r="78" spans="1:3" x14ac:dyDescent="0.25">
      <c r="A78" s="86">
        <v>67</v>
      </c>
      <c r="B78" s="87">
        <v>15.97</v>
      </c>
      <c r="C78" s="87">
        <v>4.1500000000000004</v>
      </c>
    </row>
    <row r="79" spans="1:3" x14ac:dyDescent="0.25">
      <c r="A79" s="86">
        <v>68</v>
      </c>
      <c r="B79" s="87">
        <v>15.32</v>
      </c>
      <c r="C79" s="87">
        <v>4.1399999999999997</v>
      </c>
    </row>
    <row r="80" spans="1:3" x14ac:dyDescent="0.25">
      <c r="A80" s="86">
        <v>69</v>
      </c>
      <c r="B80" s="87">
        <v>14.68</v>
      </c>
      <c r="C80" s="87">
        <v>4.07</v>
      </c>
    </row>
    <row r="81" spans="1:3" x14ac:dyDescent="0.25">
      <c r="A81" s="86">
        <v>70</v>
      </c>
      <c r="B81" s="87">
        <v>14.04</v>
      </c>
      <c r="C81" s="87">
        <v>4</v>
      </c>
    </row>
    <row r="82" spans="1:3" x14ac:dyDescent="0.25">
      <c r="A82" s="86">
        <v>71</v>
      </c>
      <c r="B82" s="87">
        <v>13.42</v>
      </c>
      <c r="C82" s="87">
        <v>3.97</v>
      </c>
    </row>
    <row r="83" spans="1:3" x14ac:dyDescent="0.25">
      <c r="A83" s="86">
        <v>72</v>
      </c>
      <c r="B83" s="87">
        <v>12.79</v>
      </c>
      <c r="C83" s="87">
        <v>3.94</v>
      </c>
    </row>
    <row r="84" spans="1:3" x14ac:dyDescent="0.25">
      <c r="A84" s="86">
        <v>73</v>
      </c>
      <c r="B84" s="87">
        <v>12.17</v>
      </c>
      <c r="C84" s="87">
        <v>3.9</v>
      </c>
    </row>
    <row r="85" spans="1:3" x14ac:dyDescent="0.25">
      <c r="A85" s="86">
        <v>74</v>
      </c>
      <c r="B85" s="87">
        <v>11.56</v>
      </c>
      <c r="C85" s="87">
        <v>3.74</v>
      </c>
    </row>
  </sheetData>
  <sheetProtection algorithmName="SHA-512" hashValue="DX5FstlLXNkLo6G9YW/FAfDqiPv0MYsKHp8bT59QoqcrT6tAc4Of8c0YMzQnigerd8Jt40EYF5b8510xMOk6ww==" saltValue="OzCesqXWDGdpVsFWh9VUAA==" spinCount="100000" sheet="1" objects="1" scenarios="1"/>
  <conditionalFormatting sqref="A6:A21">
    <cfRule type="expression" dxfId="823" priority="1" stopIfTrue="1">
      <formula>MOD(ROW(),2)=0</formula>
    </cfRule>
    <cfRule type="expression" dxfId="822" priority="2" stopIfTrue="1">
      <formula>MOD(ROW(),2)&lt;&gt;0</formula>
    </cfRule>
  </conditionalFormatting>
  <conditionalFormatting sqref="A26:A85">
    <cfRule type="expression" dxfId="821" priority="3" stopIfTrue="1">
      <formula>MOD(ROW(),2)=0</formula>
    </cfRule>
    <cfRule type="expression" dxfId="820" priority="4" stopIfTrue="1">
      <formula>MOD(ROW(),2)&lt;&gt;0</formula>
    </cfRule>
  </conditionalFormatting>
  <conditionalFormatting sqref="B18:B19">
    <cfRule type="expression" dxfId="819" priority="7" stopIfTrue="1">
      <formula>MOD(ROW(),2)=0</formula>
    </cfRule>
    <cfRule type="expression" dxfId="818" priority="8" stopIfTrue="1">
      <formula>MOD(ROW(),2)&lt;&gt;0</formula>
    </cfRule>
  </conditionalFormatting>
  <conditionalFormatting sqref="B6:C21">
    <cfRule type="expression" dxfId="817" priority="21" stopIfTrue="1">
      <formula>MOD(ROW(),2)=0</formula>
    </cfRule>
    <cfRule type="expression" dxfId="816" priority="22" stopIfTrue="1">
      <formula>MOD(ROW(),2)&lt;&gt;0</formula>
    </cfRule>
  </conditionalFormatting>
  <conditionalFormatting sqref="B26:C85">
    <cfRule type="expression" dxfId="815" priority="5" stopIfTrue="1">
      <formula>MOD(ROW(),2)=0</formula>
    </cfRule>
    <cfRule type="expression" dxfId="814" priority="6" stopIfTrue="1">
      <formula>MOD(ROW(),2)&lt;&gt;0</formula>
    </cfRule>
  </conditionalFormatting>
  <hyperlinks>
    <hyperlink ref="B24" location="Assumptions!A1" display="Assumptions" xr:uid="{9ADA5557-2DED-4CD5-A907-9D5BFE9AD3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7"/>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x-209</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114</v>
      </c>
      <c r="C10" s="102"/>
    </row>
    <row r="11" spans="1:7" x14ac:dyDescent="0.25">
      <c r="A11" s="72" t="s">
        <v>81</v>
      </c>
      <c r="B11" s="102" t="s">
        <v>100</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209</v>
      </c>
      <c r="C14" s="102"/>
    </row>
    <row r="15" spans="1:7" x14ac:dyDescent="0.25">
      <c r="A15" s="72" t="s">
        <v>345</v>
      </c>
      <c r="B15" s="102" t="s">
        <v>117</v>
      </c>
      <c r="C15" s="102"/>
    </row>
    <row r="16" spans="1:7" x14ac:dyDescent="0.25">
      <c r="A16" s="72" t="s">
        <v>86</v>
      </c>
      <c r="B16" s="102" t="s">
        <v>118</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8.4</v>
      </c>
      <c r="C27" s="87">
        <v>2.2000000000000002</v>
      </c>
    </row>
    <row r="28" spans="1:3" x14ac:dyDescent="0.25">
      <c r="A28" s="86">
        <v>17</v>
      </c>
      <c r="B28" s="87">
        <v>8.52</v>
      </c>
      <c r="C28" s="87">
        <v>2.37</v>
      </c>
    </row>
    <row r="29" spans="1:3" x14ac:dyDescent="0.25">
      <c r="A29" s="86">
        <v>18</v>
      </c>
      <c r="B29" s="87">
        <v>8.64</v>
      </c>
      <c r="C29" s="87">
        <v>2.56</v>
      </c>
    </row>
    <row r="30" spans="1:3" x14ac:dyDescent="0.25">
      <c r="A30" s="86">
        <v>19</v>
      </c>
      <c r="B30" s="87">
        <v>8.76</v>
      </c>
      <c r="C30" s="87">
        <v>2.68</v>
      </c>
    </row>
    <row r="31" spans="1:3" x14ac:dyDescent="0.25">
      <c r="A31" s="86">
        <v>20</v>
      </c>
      <c r="B31" s="87">
        <v>8.8800000000000008</v>
      </c>
      <c r="C31" s="87">
        <v>2.72</v>
      </c>
    </row>
    <row r="32" spans="1:3" x14ac:dyDescent="0.25">
      <c r="A32" s="86">
        <v>21</v>
      </c>
      <c r="B32" s="87">
        <v>9</v>
      </c>
      <c r="C32" s="87">
        <v>2.77</v>
      </c>
    </row>
    <row r="33" spans="1:3" x14ac:dyDescent="0.25">
      <c r="A33" s="86">
        <v>22</v>
      </c>
      <c r="B33" s="87">
        <v>9.1300000000000008</v>
      </c>
      <c r="C33" s="87">
        <v>2.81</v>
      </c>
    </row>
    <row r="34" spans="1:3" x14ac:dyDescent="0.25">
      <c r="A34" s="86">
        <v>23</v>
      </c>
      <c r="B34" s="87">
        <v>9.25</v>
      </c>
      <c r="C34" s="87">
        <v>2.86</v>
      </c>
    </row>
    <row r="35" spans="1:3" x14ac:dyDescent="0.25">
      <c r="A35" s="86">
        <v>24</v>
      </c>
      <c r="B35" s="87">
        <v>9.3800000000000008</v>
      </c>
      <c r="C35" s="87">
        <v>2.91</v>
      </c>
    </row>
    <row r="36" spans="1:3" x14ac:dyDescent="0.25">
      <c r="A36" s="86">
        <v>25</v>
      </c>
      <c r="B36" s="87">
        <v>9.51</v>
      </c>
      <c r="C36" s="87">
        <v>2.95</v>
      </c>
    </row>
    <row r="37" spans="1:3" x14ac:dyDescent="0.25">
      <c r="A37" s="86">
        <v>26</v>
      </c>
      <c r="B37" s="87">
        <v>9.65</v>
      </c>
      <c r="C37" s="87">
        <v>3</v>
      </c>
    </row>
    <row r="38" spans="1:3" x14ac:dyDescent="0.25">
      <c r="A38" s="86">
        <v>27</v>
      </c>
      <c r="B38" s="87">
        <v>9.7799999999999994</v>
      </c>
      <c r="C38" s="87">
        <v>3.05</v>
      </c>
    </row>
    <row r="39" spans="1:3" x14ac:dyDescent="0.25">
      <c r="A39" s="86">
        <v>28</v>
      </c>
      <c r="B39" s="87">
        <v>9.92</v>
      </c>
      <c r="C39" s="87">
        <v>3.1</v>
      </c>
    </row>
    <row r="40" spans="1:3" x14ac:dyDescent="0.25">
      <c r="A40" s="86">
        <v>29</v>
      </c>
      <c r="B40" s="87">
        <v>10.050000000000001</v>
      </c>
      <c r="C40" s="87">
        <v>3.14</v>
      </c>
    </row>
    <row r="41" spans="1:3" x14ac:dyDescent="0.25">
      <c r="A41" s="86">
        <v>30</v>
      </c>
      <c r="B41" s="87">
        <v>10.199999999999999</v>
      </c>
      <c r="C41" s="87">
        <v>3.19</v>
      </c>
    </row>
    <row r="42" spans="1:3" x14ac:dyDescent="0.25">
      <c r="A42" s="86">
        <v>31</v>
      </c>
      <c r="B42" s="87">
        <v>10.34</v>
      </c>
      <c r="C42" s="87">
        <v>3.24</v>
      </c>
    </row>
    <row r="43" spans="1:3" x14ac:dyDescent="0.25">
      <c r="A43" s="86">
        <v>32</v>
      </c>
      <c r="B43" s="87">
        <v>10.49</v>
      </c>
      <c r="C43" s="87">
        <v>3.28</v>
      </c>
    </row>
    <row r="44" spans="1:3" x14ac:dyDescent="0.25">
      <c r="A44" s="86">
        <v>33</v>
      </c>
      <c r="B44" s="87">
        <v>10.63</v>
      </c>
      <c r="C44" s="87">
        <v>3.33</v>
      </c>
    </row>
    <row r="45" spans="1:3" x14ac:dyDescent="0.25">
      <c r="A45" s="86">
        <v>34</v>
      </c>
      <c r="B45" s="87">
        <v>10.78</v>
      </c>
      <c r="C45" s="87">
        <v>3.38</v>
      </c>
    </row>
    <row r="46" spans="1:3" x14ac:dyDescent="0.25">
      <c r="A46" s="86">
        <v>35</v>
      </c>
      <c r="B46" s="87">
        <v>10.94</v>
      </c>
      <c r="C46" s="87">
        <v>3.42</v>
      </c>
    </row>
    <row r="47" spans="1:3" x14ac:dyDescent="0.25">
      <c r="A47" s="86">
        <v>36</v>
      </c>
      <c r="B47" s="87">
        <v>11.09</v>
      </c>
      <c r="C47" s="87">
        <v>3.47</v>
      </c>
    </row>
    <row r="48" spans="1:3" x14ac:dyDescent="0.25">
      <c r="A48" s="86">
        <v>37</v>
      </c>
      <c r="B48" s="87">
        <v>11.25</v>
      </c>
      <c r="C48" s="87">
        <v>3.51</v>
      </c>
    </row>
    <row r="49" spans="1:3" x14ac:dyDescent="0.25">
      <c r="A49" s="86">
        <v>38</v>
      </c>
      <c r="B49" s="87">
        <v>11.42</v>
      </c>
      <c r="C49" s="87">
        <v>3.55</v>
      </c>
    </row>
    <row r="50" spans="1:3" x14ac:dyDescent="0.25">
      <c r="A50" s="86">
        <v>39</v>
      </c>
      <c r="B50" s="87">
        <v>11.58</v>
      </c>
      <c r="C50" s="87">
        <v>3.6</v>
      </c>
    </row>
    <row r="51" spans="1:3" x14ac:dyDescent="0.25">
      <c r="A51" s="86">
        <v>40</v>
      </c>
      <c r="B51" s="87">
        <v>11.75</v>
      </c>
      <c r="C51" s="87">
        <v>3.64</v>
      </c>
    </row>
    <row r="52" spans="1:3" x14ac:dyDescent="0.25">
      <c r="A52" s="86">
        <v>41</v>
      </c>
      <c r="B52" s="87">
        <v>11.92</v>
      </c>
      <c r="C52" s="87">
        <v>3.68</v>
      </c>
    </row>
    <row r="53" spans="1:3" x14ac:dyDescent="0.25">
      <c r="A53" s="86">
        <v>42</v>
      </c>
      <c r="B53" s="87">
        <v>12.09</v>
      </c>
      <c r="C53" s="87">
        <v>3.72</v>
      </c>
    </row>
    <row r="54" spans="1:3" x14ac:dyDescent="0.25">
      <c r="A54" s="86">
        <v>43</v>
      </c>
      <c r="B54" s="87">
        <v>12.27</v>
      </c>
      <c r="C54" s="87">
        <v>3.76</v>
      </c>
    </row>
    <row r="55" spans="1:3" x14ac:dyDescent="0.25">
      <c r="A55" s="86">
        <v>44</v>
      </c>
      <c r="B55" s="87">
        <v>12.46</v>
      </c>
      <c r="C55" s="87">
        <v>3.8</v>
      </c>
    </row>
    <row r="56" spans="1:3" x14ac:dyDescent="0.25">
      <c r="A56" s="86">
        <v>45</v>
      </c>
      <c r="B56" s="87">
        <v>12.64</v>
      </c>
      <c r="C56" s="87">
        <v>3.84</v>
      </c>
    </row>
    <row r="57" spans="1:3" x14ac:dyDescent="0.25">
      <c r="A57" s="86">
        <v>46</v>
      </c>
      <c r="B57" s="87">
        <v>12.83</v>
      </c>
      <c r="C57" s="87">
        <v>3.87</v>
      </c>
    </row>
    <row r="58" spans="1:3" x14ac:dyDescent="0.25">
      <c r="A58" s="86">
        <v>47</v>
      </c>
      <c r="B58" s="87">
        <v>13.03</v>
      </c>
      <c r="C58" s="87">
        <v>3.9</v>
      </c>
    </row>
    <row r="59" spans="1:3" x14ac:dyDescent="0.25">
      <c r="A59" s="86">
        <v>48</v>
      </c>
      <c r="B59" s="87">
        <v>13.23</v>
      </c>
      <c r="C59" s="87">
        <v>3.94</v>
      </c>
    </row>
    <row r="60" spans="1:3" x14ac:dyDescent="0.25">
      <c r="A60" s="86">
        <v>49</v>
      </c>
      <c r="B60" s="87">
        <v>13.44</v>
      </c>
      <c r="C60" s="87">
        <v>3.97</v>
      </c>
    </row>
    <row r="61" spans="1:3" x14ac:dyDescent="0.25">
      <c r="A61" s="86">
        <v>50</v>
      </c>
      <c r="B61" s="87">
        <v>13.65</v>
      </c>
      <c r="C61" s="87">
        <v>4</v>
      </c>
    </row>
    <row r="62" spans="1:3" x14ac:dyDescent="0.25">
      <c r="A62" s="86">
        <v>51</v>
      </c>
      <c r="B62" s="87">
        <v>13.86</v>
      </c>
      <c r="C62" s="87">
        <v>4.0199999999999996</v>
      </c>
    </row>
    <row r="63" spans="1:3" x14ac:dyDescent="0.25">
      <c r="A63" s="86">
        <v>52</v>
      </c>
      <c r="B63" s="87">
        <v>14.08</v>
      </c>
      <c r="C63" s="87">
        <v>4.05</v>
      </c>
    </row>
    <row r="64" spans="1:3" x14ac:dyDescent="0.25">
      <c r="A64" s="86">
        <v>53</v>
      </c>
      <c r="B64" s="87">
        <v>14.31</v>
      </c>
      <c r="C64" s="87">
        <v>4.07</v>
      </c>
    </row>
    <row r="65" spans="1:3" x14ac:dyDescent="0.25">
      <c r="A65" s="86">
        <v>54</v>
      </c>
      <c r="B65" s="87">
        <v>14.55</v>
      </c>
      <c r="C65" s="87">
        <v>4.0999999999999996</v>
      </c>
    </row>
    <row r="66" spans="1:3" x14ac:dyDescent="0.25">
      <c r="A66" s="86">
        <v>55</v>
      </c>
      <c r="B66" s="87">
        <v>14.79</v>
      </c>
      <c r="C66" s="87">
        <v>4.12</v>
      </c>
    </row>
    <row r="67" spans="1:3" x14ac:dyDescent="0.25">
      <c r="A67" s="86">
        <v>56</v>
      </c>
      <c r="B67" s="87">
        <v>15.04</v>
      </c>
      <c r="C67" s="87">
        <v>4.13</v>
      </c>
    </row>
    <row r="68" spans="1:3" x14ac:dyDescent="0.25">
      <c r="A68" s="86">
        <v>57</v>
      </c>
      <c r="B68" s="87">
        <v>15.3</v>
      </c>
      <c r="C68" s="87">
        <v>4.1500000000000004</v>
      </c>
    </row>
    <row r="69" spans="1:3" x14ac:dyDescent="0.25">
      <c r="A69" s="86">
        <v>58</v>
      </c>
      <c r="B69" s="87">
        <v>15.56</v>
      </c>
      <c r="C69" s="87">
        <v>4.16</v>
      </c>
    </row>
    <row r="70" spans="1:3" x14ac:dyDescent="0.25">
      <c r="A70" s="86">
        <v>59</v>
      </c>
      <c r="B70" s="87">
        <v>15.84</v>
      </c>
      <c r="C70" s="87">
        <v>4.17</v>
      </c>
    </row>
    <row r="71" spans="1:3" x14ac:dyDescent="0.25">
      <c r="A71" s="86">
        <v>60</v>
      </c>
      <c r="B71" s="87">
        <v>16.13</v>
      </c>
      <c r="C71" s="87">
        <v>4.18</v>
      </c>
    </row>
    <row r="72" spans="1:3" x14ac:dyDescent="0.25">
      <c r="A72" s="86">
        <v>61</v>
      </c>
      <c r="B72" s="87">
        <v>16.43</v>
      </c>
      <c r="C72" s="87">
        <v>4.18</v>
      </c>
    </row>
    <row r="73" spans="1:3" x14ac:dyDescent="0.25">
      <c r="A73" s="86">
        <v>62</v>
      </c>
      <c r="B73" s="87">
        <v>16.75</v>
      </c>
      <c r="C73" s="87">
        <v>4.18</v>
      </c>
    </row>
    <row r="74" spans="1:3" x14ac:dyDescent="0.25">
      <c r="A74" s="86">
        <v>63</v>
      </c>
      <c r="B74" s="87">
        <v>17.079999999999998</v>
      </c>
      <c r="C74" s="87">
        <v>4.17</v>
      </c>
    </row>
    <row r="75" spans="1:3" x14ac:dyDescent="0.25">
      <c r="A75" s="86">
        <v>64</v>
      </c>
      <c r="B75" s="87">
        <v>17.43</v>
      </c>
      <c r="C75" s="87">
        <v>4.16</v>
      </c>
    </row>
    <row r="76" spans="1:3" x14ac:dyDescent="0.25">
      <c r="A76" s="86">
        <v>65</v>
      </c>
      <c r="B76" s="87">
        <v>17.29</v>
      </c>
      <c r="C76" s="87">
        <v>4.1500000000000004</v>
      </c>
    </row>
    <row r="77" spans="1:3" x14ac:dyDescent="0.25">
      <c r="A77" s="86">
        <v>66</v>
      </c>
      <c r="B77" s="87">
        <v>16.63</v>
      </c>
      <c r="C77" s="87">
        <v>4.1500000000000004</v>
      </c>
    </row>
    <row r="78" spans="1:3" x14ac:dyDescent="0.25">
      <c r="A78" s="86">
        <v>67</v>
      </c>
      <c r="B78" s="87">
        <v>15.97</v>
      </c>
      <c r="C78" s="87">
        <v>4.1500000000000004</v>
      </c>
    </row>
    <row r="79" spans="1:3" x14ac:dyDescent="0.25">
      <c r="A79" s="86">
        <v>68</v>
      </c>
      <c r="B79" s="87">
        <v>15.32</v>
      </c>
      <c r="C79" s="87">
        <v>4.1399999999999997</v>
      </c>
    </row>
    <row r="80" spans="1:3" x14ac:dyDescent="0.25">
      <c r="A80" s="86">
        <v>69</v>
      </c>
      <c r="B80" s="87">
        <v>14.68</v>
      </c>
      <c r="C80" s="87">
        <v>4.07</v>
      </c>
    </row>
    <row r="81" spans="1:3" x14ac:dyDescent="0.25">
      <c r="A81" s="86">
        <v>70</v>
      </c>
      <c r="B81" s="87">
        <v>14.04</v>
      </c>
      <c r="C81" s="87">
        <v>4</v>
      </c>
    </row>
    <row r="82" spans="1:3" x14ac:dyDescent="0.25">
      <c r="A82" s="86">
        <v>71</v>
      </c>
      <c r="B82" s="87">
        <v>13.42</v>
      </c>
      <c r="C82" s="87">
        <v>3.97</v>
      </c>
    </row>
    <row r="83" spans="1:3" x14ac:dyDescent="0.25">
      <c r="A83" s="86">
        <v>72</v>
      </c>
      <c r="B83" s="87">
        <v>12.79</v>
      </c>
      <c r="C83" s="87">
        <v>3.94</v>
      </c>
    </row>
    <row r="84" spans="1:3" x14ac:dyDescent="0.25">
      <c r="A84" s="86">
        <v>73</v>
      </c>
      <c r="B84" s="87">
        <v>12.17</v>
      </c>
      <c r="C84" s="87">
        <v>3.9</v>
      </c>
    </row>
    <row r="85" spans="1:3" x14ac:dyDescent="0.25">
      <c r="A85" s="86">
        <v>74</v>
      </c>
      <c r="B85" s="87">
        <v>11.56</v>
      </c>
      <c r="C85" s="87">
        <v>3.74</v>
      </c>
    </row>
  </sheetData>
  <sheetProtection algorithmName="SHA-512" hashValue="aHM99nV9jKzHloz8a9+9I7bWn8/KjZmBtJGBC05UT5fif/5gtfXBf4kNBktjHULGKhoDHKOliWKP+uG6Wcf/2A==" saltValue="CWpGsVNQx5wcaQ+T+nSrrA==" spinCount="100000" sheet="1" objects="1" scenarios="1"/>
  <conditionalFormatting sqref="A6:A21">
    <cfRule type="expression" dxfId="813" priority="1" stopIfTrue="1">
      <formula>MOD(ROW(),2)=0</formula>
    </cfRule>
    <cfRule type="expression" dxfId="812" priority="2" stopIfTrue="1">
      <formula>MOD(ROW(),2)&lt;&gt;0</formula>
    </cfRule>
  </conditionalFormatting>
  <conditionalFormatting sqref="A26:A85">
    <cfRule type="expression" dxfId="811" priority="3" stopIfTrue="1">
      <formula>MOD(ROW(),2)=0</formula>
    </cfRule>
    <cfRule type="expression" dxfId="810" priority="4" stopIfTrue="1">
      <formula>MOD(ROW(),2)&lt;&gt;0</formula>
    </cfRule>
  </conditionalFormatting>
  <conditionalFormatting sqref="B17:B21">
    <cfRule type="expression" dxfId="809" priority="7" stopIfTrue="1">
      <formula>MOD(ROW(),2)=0</formula>
    </cfRule>
    <cfRule type="expression" dxfId="808" priority="8" stopIfTrue="1">
      <formula>MOD(ROW(),2)&lt;&gt;0</formula>
    </cfRule>
  </conditionalFormatting>
  <conditionalFormatting sqref="B6:C21">
    <cfRule type="expression" dxfId="807" priority="25" stopIfTrue="1">
      <formula>MOD(ROW(),2)=0</formula>
    </cfRule>
    <cfRule type="expression" dxfId="806" priority="26" stopIfTrue="1">
      <formula>MOD(ROW(),2)&lt;&gt;0</formula>
    </cfRule>
  </conditionalFormatting>
  <conditionalFormatting sqref="B26:C85">
    <cfRule type="expression" dxfId="805" priority="5" stopIfTrue="1">
      <formula>MOD(ROW(),2)=0</formula>
    </cfRule>
    <cfRule type="expression" dxfId="804" priority="6" stopIfTrue="1">
      <formula>MOD(ROW(),2)&lt;&gt;0</formula>
    </cfRule>
  </conditionalFormatting>
  <hyperlinks>
    <hyperlink ref="B24" location="Assumptions!A1" display="Assumptions" xr:uid="{95B03935-808D-4228-9DA9-25458394BB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2.5546875" style="27" customWidth="1"/>
    <col min="3" max="3" width="24"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x-210</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119</v>
      </c>
      <c r="C10" s="102"/>
    </row>
    <row r="11" spans="1:7" x14ac:dyDescent="0.25">
      <c r="A11" s="72" t="s">
        <v>81</v>
      </c>
      <c r="B11" s="102" t="s">
        <v>94</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210</v>
      </c>
      <c r="C14" s="102"/>
    </row>
    <row r="15" spans="1:7" x14ac:dyDescent="0.25">
      <c r="A15" s="72" t="s">
        <v>345</v>
      </c>
      <c r="B15" s="102" t="s">
        <v>120</v>
      </c>
      <c r="C15" s="102"/>
    </row>
    <row r="16" spans="1:7" x14ac:dyDescent="0.25">
      <c r="A16" s="72" t="s">
        <v>86</v>
      </c>
      <c r="B16" s="102" t="s">
        <v>121</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7.99</v>
      </c>
      <c r="C27" s="87">
        <v>2.2000000000000002</v>
      </c>
    </row>
    <row r="28" spans="1:3" x14ac:dyDescent="0.25">
      <c r="A28" s="86">
        <v>17</v>
      </c>
      <c r="B28" s="87">
        <v>8.1</v>
      </c>
      <c r="C28" s="87">
        <v>2.38</v>
      </c>
    </row>
    <row r="29" spans="1:3" x14ac:dyDescent="0.25">
      <c r="A29" s="86">
        <v>18</v>
      </c>
      <c r="B29" s="87">
        <v>8.2100000000000009</v>
      </c>
      <c r="C29" s="87">
        <v>2.57</v>
      </c>
    </row>
    <row r="30" spans="1:3" x14ac:dyDescent="0.25">
      <c r="A30" s="86">
        <v>19</v>
      </c>
      <c r="B30" s="87">
        <v>8.33</v>
      </c>
      <c r="C30" s="87">
        <v>2.69</v>
      </c>
    </row>
    <row r="31" spans="1:3" x14ac:dyDescent="0.25">
      <c r="A31" s="86">
        <v>20</v>
      </c>
      <c r="B31" s="87">
        <v>8.44</v>
      </c>
      <c r="C31" s="87">
        <v>2.73</v>
      </c>
    </row>
    <row r="32" spans="1:3" x14ac:dyDescent="0.25">
      <c r="A32" s="86">
        <v>21</v>
      </c>
      <c r="B32" s="87">
        <v>8.56</v>
      </c>
      <c r="C32" s="87">
        <v>2.78</v>
      </c>
    </row>
    <row r="33" spans="1:3" x14ac:dyDescent="0.25">
      <c r="A33" s="86">
        <v>22</v>
      </c>
      <c r="B33" s="87">
        <v>8.68</v>
      </c>
      <c r="C33" s="87">
        <v>2.82</v>
      </c>
    </row>
    <row r="34" spans="1:3" x14ac:dyDescent="0.25">
      <c r="A34" s="86">
        <v>23</v>
      </c>
      <c r="B34" s="87">
        <v>8.8000000000000007</v>
      </c>
      <c r="C34" s="87">
        <v>2.87</v>
      </c>
    </row>
    <row r="35" spans="1:3" x14ac:dyDescent="0.25">
      <c r="A35" s="86">
        <v>24</v>
      </c>
      <c r="B35" s="87">
        <v>8.92</v>
      </c>
      <c r="C35" s="87">
        <v>2.92</v>
      </c>
    </row>
    <row r="36" spans="1:3" x14ac:dyDescent="0.25">
      <c r="A36" s="86">
        <v>25</v>
      </c>
      <c r="B36" s="87">
        <v>9.0399999999999991</v>
      </c>
      <c r="C36" s="87">
        <v>2.96</v>
      </c>
    </row>
    <row r="37" spans="1:3" x14ac:dyDescent="0.25">
      <c r="A37" s="86">
        <v>26</v>
      </c>
      <c r="B37" s="87">
        <v>9.16</v>
      </c>
      <c r="C37" s="87">
        <v>3.01</v>
      </c>
    </row>
    <row r="38" spans="1:3" x14ac:dyDescent="0.25">
      <c r="A38" s="86">
        <v>27</v>
      </c>
      <c r="B38" s="87">
        <v>9.2899999999999991</v>
      </c>
      <c r="C38" s="87">
        <v>3.06</v>
      </c>
    </row>
    <row r="39" spans="1:3" x14ac:dyDescent="0.25">
      <c r="A39" s="86">
        <v>28</v>
      </c>
      <c r="B39" s="87">
        <v>9.42</v>
      </c>
      <c r="C39" s="87">
        <v>3.11</v>
      </c>
    </row>
    <row r="40" spans="1:3" x14ac:dyDescent="0.25">
      <c r="A40" s="86">
        <v>29</v>
      </c>
      <c r="B40" s="87">
        <v>9.5500000000000007</v>
      </c>
      <c r="C40" s="87">
        <v>3.16</v>
      </c>
    </row>
    <row r="41" spans="1:3" x14ac:dyDescent="0.25">
      <c r="A41" s="86">
        <v>30</v>
      </c>
      <c r="B41" s="87">
        <v>9.68</v>
      </c>
      <c r="C41" s="87">
        <v>3.2</v>
      </c>
    </row>
    <row r="42" spans="1:3" x14ac:dyDescent="0.25">
      <c r="A42" s="86">
        <v>31</v>
      </c>
      <c r="B42" s="87">
        <v>9.82</v>
      </c>
      <c r="C42" s="87">
        <v>3.25</v>
      </c>
    </row>
    <row r="43" spans="1:3" x14ac:dyDescent="0.25">
      <c r="A43" s="86">
        <v>32</v>
      </c>
      <c r="B43" s="87">
        <v>9.9499999999999993</v>
      </c>
      <c r="C43" s="87">
        <v>3.3</v>
      </c>
    </row>
    <row r="44" spans="1:3" x14ac:dyDescent="0.25">
      <c r="A44" s="86">
        <v>33</v>
      </c>
      <c r="B44" s="87">
        <v>10.09</v>
      </c>
      <c r="C44" s="87">
        <v>3.34</v>
      </c>
    </row>
    <row r="45" spans="1:3" x14ac:dyDescent="0.25">
      <c r="A45" s="86">
        <v>34</v>
      </c>
      <c r="B45" s="87">
        <v>10.24</v>
      </c>
      <c r="C45" s="87">
        <v>3.39</v>
      </c>
    </row>
    <row r="46" spans="1:3" x14ac:dyDescent="0.25">
      <c r="A46" s="86">
        <v>35</v>
      </c>
      <c r="B46" s="87">
        <v>10.38</v>
      </c>
      <c r="C46" s="87">
        <v>3.43</v>
      </c>
    </row>
    <row r="47" spans="1:3" x14ac:dyDescent="0.25">
      <c r="A47" s="86">
        <v>36</v>
      </c>
      <c r="B47" s="87">
        <v>10.53</v>
      </c>
      <c r="C47" s="87">
        <v>3.48</v>
      </c>
    </row>
    <row r="48" spans="1:3" x14ac:dyDescent="0.25">
      <c r="A48" s="86">
        <v>37</v>
      </c>
      <c r="B48" s="87">
        <v>10.68</v>
      </c>
      <c r="C48" s="87">
        <v>3.52</v>
      </c>
    </row>
    <row r="49" spans="1:3" x14ac:dyDescent="0.25">
      <c r="A49" s="86">
        <v>38</v>
      </c>
      <c r="B49" s="87">
        <v>10.83</v>
      </c>
      <c r="C49" s="87">
        <v>3.57</v>
      </c>
    </row>
    <row r="50" spans="1:3" x14ac:dyDescent="0.25">
      <c r="A50" s="86">
        <v>39</v>
      </c>
      <c r="B50" s="87">
        <v>10.98</v>
      </c>
      <c r="C50" s="87">
        <v>3.61</v>
      </c>
    </row>
    <row r="51" spans="1:3" x14ac:dyDescent="0.25">
      <c r="A51" s="86">
        <v>40</v>
      </c>
      <c r="B51" s="87">
        <v>11.14</v>
      </c>
      <c r="C51" s="87">
        <v>3.66</v>
      </c>
    </row>
    <row r="52" spans="1:3" x14ac:dyDescent="0.25">
      <c r="A52" s="86">
        <v>41</v>
      </c>
      <c r="B52" s="87">
        <v>11.3</v>
      </c>
      <c r="C52" s="87">
        <v>3.7</v>
      </c>
    </row>
    <row r="53" spans="1:3" x14ac:dyDescent="0.25">
      <c r="A53" s="86">
        <v>42</v>
      </c>
      <c r="B53" s="87">
        <v>11.46</v>
      </c>
      <c r="C53" s="87">
        <v>3.74</v>
      </c>
    </row>
    <row r="54" spans="1:3" x14ac:dyDescent="0.25">
      <c r="A54" s="86">
        <v>43</v>
      </c>
      <c r="B54" s="87">
        <v>11.63</v>
      </c>
      <c r="C54" s="87">
        <v>3.78</v>
      </c>
    </row>
    <row r="55" spans="1:3" x14ac:dyDescent="0.25">
      <c r="A55" s="86">
        <v>44</v>
      </c>
      <c r="B55" s="87">
        <v>11.8</v>
      </c>
      <c r="C55" s="87">
        <v>3.82</v>
      </c>
    </row>
    <row r="56" spans="1:3" x14ac:dyDescent="0.25">
      <c r="A56" s="86">
        <v>45</v>
      </c>
      <c r="B56" s="87">
        <v>11.98</v>
      </c>
      <c r="C56" s="87">
        <v>3.85</v>
      </c>
    </row>
    <row r="57" spans="1:3" x14ac:dyDescent="0.25">
      <c r="A57" s="86">
        <v>46</v>
      </c>
      <c r="B57" s="87">
        <v>12.16</v>
      </c>
      <c r="C57" s="87">
        <v>3.89</v>
      </c>
    </row>
    <row r="58" spans="1:3" x14ac:dyDescent="0.25">
      <c r="A58" s="86">
        <v>47</v>
      </c>
      <c r="B58" s="87">
        <v>12.34</v>
      </c>
      <c r="C58" s="87">
        <v>3.92</v>
      </c>
    </row>
    <row r="59" spans="1:3" x14ac:dyDescent="0.25">
      <c r="A59" s="86">
        <v>48</v>
      </c>
      <c r="B59" s="87">
        <v>12.53</v>
      </c>
      <c r="C59" s="87">
        <v>3.96</v>
      </c>
    </row>
    <row r="60" spans="1:3" x14ac:dyDescent="0.25">
      <c r="A60" s="86">
        <v>49</v>
      </c>
      <c r="B60" s="87">
        <v>12.72</v>
      </c>
      <c r="C60" s="87">
        <v>3.99</v>
      </c>
    </row>
    <row r="61" spans="1:3" x14ac:dyDescent="0.25">
      <c r="A61" s="86">
        <v>50</v>
      </c>
      <c r="B61" s="87">
        <v>12.92</v>
      </c>
      <c r="C61" s="87">
        <v>4.0199999999999996</v>
      </c>
    </row>
    <row r="62" spans="1:3" x14ac:dyDescent="0.25">
      <c r="A62" s="86">
        <v>51</v>
      </c>
      <c r="B62" s="87">
        <v>13.12</v>
      </c>
      <c r="C62" s="87">
        <v>4.04</v>
      </c>
    </row>
    <row r="63" spans="1:3" x14ac:dyDescent="0.25">
      <c r="A63" s="86">
        <v>52</v>
      </c>
      <c r="B63" s="87">
        <v>13.33</v>
      </c>
      <c r="C63" s="87">
        <v>4.07</v>
      </c>
    </row>
    <row r="64" spans="1:3" x14ac:dyDescent="0.25">
      <c r="A64" s="86">
        <v>53</v>
      </c>
      <c r="B64" s="87">
        <v>13.54</v>
      </c>
      <c r="C64" s="87">
        <v>4.09</v>
      </c>
    </row>
    <row r="65" spans="1:3" x14ac:dyDescent="0.25">
      <c r="A65" s="86">
        <v>54</v>
      </c>
      <c r="B65" s="87">
        <v>13.76</v>
      </c>
      <c r="C65" s="87">
        <v>4.12</v>
      </c>
    </row>
    <row r="66" spans="1:3" x14ac:dyDescent="0.25">
      <c r="A66" s="86">
        <v>55</v>
      </c>
      <c r="B66" s="87">
        <v>13.99</v>
      </c>
      <c r="C66" s="87">
        <v>4.1399999999999997</v>
      </c>
    </row>
    <row r="67" spans="1:3" x14ac:dyDescent="0.25">
      <c r="A67" s="86">
        <v>56</v>
      </c>
      <c r="B67" s="87">
        <v>14.22</v>
      </c>
      <c r="C67" s="87">
        <v>4.16</v>
      </c>
    </row>
    <row r="68" spans="1:3" x14ac:dyDescent="0.25">
      <c r="A68" s="86">
        <v>57</v>
      </c>
      <c r="B68" s="87">
        <v>14.46</v>
      </c>
      <c r="C68" s="87">
        <v>4.17</v>
      </c>
    </row>
    <row r="69" spans="1:3" x14ac:dyDescent="0.25">
      <c r="A69" s="86">
        <v>58</v>
      </c>
      <c r="B69" s="87">
        <v>14.71</v>
      </c>
      <c r="C69" s="87">
        <v>4.1900000000000004</v>
      </c>
    </row>
    <row r="70" spans="1:3" x14ac:dyDescent="0.25">
      <c r="A70" s="86">
        <v>59</v>
      </c>
      <c r="B70" s="87">
        <v>14.97</v>
      </c>
      <c r="C70" s="87">
        <v>4.2</v>
      </c>
    </row>
    <row r="71" spans="1:3" x14ac:dyDescent="0.25">
      <c r="A71" s="86">
        <v>60</v>
      </c>
      <c r="B71" s="87">
        <v>15.24</v>
      </c>
      <c r="C71" s="87">
        <v>4.2</v>
      </c>
    </row>
    <row r="72" spans="1:3" x14ac:dyDescent="0.25">
      <c r="A72" s="86">
        <v>61</v>
      </c>
      <c r="B72" s="87">
        <v>15.53</v>
      </c>
      <c r="C72" s="87">
        <v>4.2</v>
      </c>
    </row>
    <row r="73" spans="1:3" x14ac:dyDescent="0.25">
      <c r="A73" s="86">
        <v>62</v>
      </c>
      <c r="B73" s="87">
        <v>15.82</v>
      </c>
      <c r="C73" s="87">
        <v>4.2</v>
      </c>
    </row>
    <row r="74" spans="1:3" x14ac:dyDescent="0.25">
      <c r="A74" s="86">
        <v>63</v>
      </c>
      <c r="B74" s="87">
        <v>16.13</v>
      </c>
      <c r="C74" s="87">
        <v>4.2</v>
      </c>
    </row>
    <row r="75" spans="1:3" x14ac:dyDescent="0.25">
      <c r="A75" s="86">
        <v>64</v>
      </c>
      <c r="B75" s="87">
        <v>16.46</v>
      </c>
      <c r="C75" s="87">
        <v>4.18</v>
      </c>
    </row>
    <row r="76" spans="1:3" x14ac:dyDescent="0.25">
      <c r="A76" s="86">
        <v>65</v>
      </c>
      <c r="B76" s="87">
        <v>16.82</v>
      </c>
      <c r="C76" s="87">
        <v>4.16</v>
      </c>
    </row>
    <row r="77" spans="1:3" x14ac:dyDescent="0.25">
      <c r="A77" s="86">
        <v>66</v>
      </c>
      <c r="B77" s="87">
        <v>16.66</v>
      </c>
      <c r="C77" s="87">
        <v>4.1500000000000004</v>
      </c>
    </row>
    <row r="78" spans="1:3" x14ac:dyDescent="0.25">
      <c r="A78" s="86">
        <v>67</v>
      </c>
      <c r="B78" s="87">
        <v>16</v>
      </c>
      <c r="C78" s="87">
        <v>4.1500000000000004</v>
      </c>
    </row>
    <row r="79" spans="1:3" x14ac:dyDescent="0.25">
      <c r="A79" s="86">
        <v>68</v>
      </c>
      <c r="B79" s="87">
        <v>15.34</v>
      </c>
      <c r="C79" s="87">
        <v>4.1399999999999997</v>
      </c>
    </row>
    <row r="80" spans="1:3" x14ac:dyDescent="0.25">
      <c r="A80" s="86">
        <v>69</v>
      </c>
      <c r="B80" s="87">
        <v>14.69</v>
      </c>
      <c r="C80" s="87">
        <v>4.07</v>
      </c>
    </row>
    <row r="81" spans="1:3" x14ac:dyDescent="0.25">
      <c r="A81" s="86">
        <v>70</v>
      </c>
      <c r="B81" s="87">
        <v>14.05</v>
      </c>
      <c r="C81" s="87">
        <v>4</v>
      </c>
    </row>
    <row r="82" spans="1:3" x14ac:dyDescent="0.25">
      <c r="A82" s="86">
        <v>71</v>
      </c>
      <c r="B82" s="87">
        <v>13.42</v>
      </c>
      <c r="C82" s="87">
        <v>3.97</v>
      </c>
    </row>
    <row r="83" spans="1:3" x14ac:dyDescent="0.25">
      <c r="A83" s="86">
        <v>72</v>
      </c>
      <c r="B83" s="87">
        <v>12.79</v>
      </c>
      <c r="C83" s="87">
        <v>3.94</v>
      </c>
    </row>
    <row r="84" spans="1:3" x14ac:dyDescent="0.25">
      <c r="A84" s="86">
        <v>73</v>
      </c>
      <c r="B84" s="87">
        <v>12.17</v>
      </c>
      <c r="C84" s="87">
        <v>3.9</v>
      </c>
    </row>
    <row r="85" spans="1:3" x14ac:dyDescent="0.25">
      <c r="A85" s="86">
        <v>74</v>
      </c>
      <c r="B85" s="87">
        <v>11.56</v>
      </c>
      <c r="C85" s="87">
        <v>3.74</v>
      </c>
    </row>
  </sheetData>
  <sheetProtection algorithmName="SHA-512" hashValue="7YOkq7ez08WBVFncYCc5BxCOuskB/iRiS3cf/GaRXRup3DUvHK+L6cJm0jnCj/QyGBCKqfCp6MLwhUukQ8OWvA==" saltValue="RM2u+Jc6soyK6CRtG1IP6Q==" spinCount="100000" sheet="1" objects="1" scenarios="1"/>
  <conditionalFormatting sqref="A6:A21">
    <cfRule type="expression" dxfId="803" priority="1" stopIfTrue="1">
      <formula>MOD(ROW(),2)=0</formula>
    </cfRule>
    <cfRule type="expression" dxfId="802" priority="2" stopIfTrue="1">
      <formula>MOD(ROW(),2)&lt;&gt;0</formula>
    </cfRule>
  </conditionalFormatting>
  <conditionalFormatting sqref="A26:A85">
    <cfRule type="expression" dxfId="801" priority="3" stopIfTrue="1">
      <formula>MOD(ROW(),2)=0</formula>
    </cfRule>
    <cfRule type="expression" dxfId="800" priority="4" stopIfTrue="1">
      <formula>MOD(ROW(),2)&lt;&gt;0</formula>
    </cfRule>
  </conditionalFormatting>
  <conditionalFormatting sqref="B17:B21">
    <cfRule type="expression" dxfId="799" priority="7" stopIfTrue="1">
      <formula>MOD(ROW(),2)=0</formula>
    </cfRule>
    <cfRule type="expression" dxfId="798" priority="8" stopIfTrue="1">
      <formula>MOD(ROW(),2)&lt;&gt;0</formula>
    </cfRule>
  </conditionalFormatting>
  <conditionalFormatting sqref="B6:C21">
    <cfRule type="expression" dxfId="797" priority="25" stopIfTrue="1">
      <formula>MOD(ROW(),2)=0</formula>
    </cfRule>
    <cfRule type="expression" dxfId="796" priority="26" stopIfTrue="1">
      <formula>MOD(ROW(),2)&lt;&gt;0</formula>
    </cfRule>
  </conditionalFormatting>
  <conditionalFormatting sqref="B26:C85">
    <cfRule type="expression" dxfId="795" priority="5" stopIfTrue="1">
      <formula>MOD(ROW(),2)=0</formula>
    </cfRule>
    <cfRule type="expression" dxfId="794" priority="6" stopIfTrue="1">
      <formula>MOD(ROW(),2)&lt;&gt;0</formula>
    </cfRule>
  </conditionalFormatting>
  <hyperlinks>
    <hyperlink ref="B24" location="Assumptions!A1" display="Assumptions" xr:uid="{5013FE93-12B1-4E43-80D3-E2170A171A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x-211</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119</v>
      </c>
      <c r="C10" s="102"/>
    </row>
    <row r="11" spans="1:7" x14ac:dyDescent="0.25">
      <c r="A11" s="72" t="s">
        <v>81</v>
      </c>
      <c r="B11" s="102" t="s">
        <v>100</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211</v>
      </c>
      <c r="C14" s="102"/>
    </row>
    <row r="15" spans="1:7" x14ac:dyDescent="0.25">
      <c r="A15" s="72" t="s">
        <v>345</v>
      </c>
      <c r="B15" s="102" t="s">
        <v>122</v>
      </c>
      <c r="C15" s="102"/>
    </row>
    <row r="16" spans="1:7" x14ac:dyDescent="0.25">
      <c r="A16" s="72" t="s">
        <v>86</v>
      </c>
      <c r="B16" s="102" t="s">
        <v>123</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7.99</v>
      </c>
      <c r="C27" s="87">
        <v>2.2000000000000002</v>
      </c>
    </row>
    <row r="28" spans="1:3" x14ac:dyDescent="0.25">
      <c r="A28" s="86">
        <v>17</v>
      </c>
      <c r="B28" s="87">
        <v>8.1</v>
      </c>
      <c r="C28" s="87">
        <v>2.38</v>
      </c>
    </row>
    <row r="29" spans="1:3" x14ac:dyDescent="0.25">
      <c r="A29" s="86">
        <v>18</v>
      </c>
      <c r="B29" s="87">
        <v>8.2100000000000009</v>
      </c>
      <c r="C29" s="87">
        <v>2.57</v>
      </c>
    </row>
    <row r="30" spans="1:3" x14ac:dyDescent="0.25">
      <c r="A30" s="86">
        <v>19</v>
      </c>
      <c r="B30" s="87">
        <v>8.33</v>
      </c>
      <c r="C30" s="87">
        <v>2.69</v>
      </c>
    </row>
    <row r="31" spans="1:3" x14ac:dyDescent="0.25">
      <c r="A31" s="86">
        <v>20</v>
      </c>
      <c r="B31" s="87">
        <v>8.44</v>
      </c>
      <c r="C31" s="87">
        <v>2.73</v>
      </c>
    </row>
    <row r="32" spans="1:3" x14ac:dyDescent="0.25">
      <c r="A32" s="86">
        <v>21</v>
      </c>
      <c r="B32" s="87">
        <v>8.56</v>
      </c>
      <c r="C32" s="87">
        <v>2.78</v>
      </c>
    </row>
    <row r="33" spans="1:3" x14ac:dyDescent="0.25">
      <c r="A33" s="86">
        <v>22</v>
      </c>
      <c r="B33" s="87">
        <v>8.68</v>
      </c>
      <c r="C33" s="87">
        <v>2.82</v>
      </c>
    </row>
    <row r="34" spans="1:3" x14ac:dyDescent="0.25">
      <c r="A34" s="86">
        <v>23</v>
      </c>
      <c r="B34" s="87">
        <v>8.8000000000000007</v>
      </c>
      <c r="C34" s="87">
        <v>2.87</v>
      </c>
    </row>
    <row r="35" spans="1:3" x14ac:dyDescent="0.25">
      <c r="A35" s="86">
        <v>24</v>
      </c>
      <c r="B35" s="87">
        <v>8.92</v>
      </c>
      <c r="C35" s="87">
        <v>2.92</v>
      </c>
    </row>
    <row r="36" spans="1:3" x14ac:dyDescent="0.25">
      <c r="A36" s="86">
        <v>25</v>
      </c>
      <c r="B36" s="87">
        <v>9.0399999999999991</v>
      </c>
      <c r="C36" s="87">
        <v>2.96</v>
      </c>
    </row>
    <row r="37" spans="1:3" x14ac:dyDescent="0.25">
      <c r="A37" s="86">
        <v>26</v>
      </c>
      <c r="B37" s="87">
        <v>9.16</v>
      </c>
      <c r="C37" s="87">
        <v>3.01</v>
      </c>
    </row>
    <row r="38" spans="1:3" x14ac:dyDescent="0.25">
      <c r="A38" s="86">
        <v>27</v>
      </c>
      <c r="B38" s="87">
        <v>9.2899999999999991</v>
      </c>
      <c r="C38" s="87">
        <v>3.06</v>
      </c>
    </row>
    <row r="39" spans="1:3" x14ac:dyDescent="0.25">
      <c r="A39" s="86">
        <v>28</v>
      </c>
      <c r="B39" s="87">
        <v>9.42</v>
      </c>
      <c r="C39" s="87">
        <v>3.11</v>
      </c>
    </row>
    <row r="40" spans="1:3" x14ac:dyDescent="0.25">
      <c r="A40" s="86">
        <v>29</v>
      </c>
      <c r="B40" s="87">
        <v>9.5500000000000007</v>
      </c>
      <c r="C40" s="87">
        <v>3.16</v>
      </c>
    </row>
    <row r="41" spans="1:3" x14ac:dyDescent="0.25">
      <c r="A41" s="86">
        <v>30</v>
      </c>
      <c r="B41" s="87">
        <v>9.68</v>
      </c>
      <c r="C41" s="87">
        <v>3.2</v>
      </c>
    </row>
    <row r="42" spans="1:3" x14ac:dyDescent="0.25">
      <c r="A42" s="86">
        <v>31</v>
      </c>
      <c r="B42" s="87">
        <v>9.82</v>
      </c>
      <c r="C42" s="87">
        <v>3.25</v>
      </c>
    </row>
    <row r="43" spans="1:3" x14ac:dyDescent="0.25">
      <c r="A43" s="86">
        <v>32</v>
      </c>
      <c r="B43" s="87">
        <v>9.9499999999999993</v>
      </c>
      <c r="C43" s="87">
        <v>3.3</v>
      </c>
    </row>
    <row r="44" spans="1:3" x14ac:dyDescent="0.25">
      <c r="A44" s="86">
        <v>33</v>
      </c>
      <c r="B44" s="87">
        <v>10.09</v>
      </c>
      <c r="C44" s="87">
        <v>3.34</v>
      </c>
    </row>
    <row r="45" spans="1:3" x14ac:dyDescent="0.25">
      <c r="A45" s="86">
        <v>34</v>
      </c>
      <c r="B45" s="87">
        <v>10.24</v>
      </c>
      <c r="C45" s="87">
        <v>3.39</v>
      </c>
    </row>
    <row r="46" spans="1:3" x14ac:dyDescent="0.25">
      <c r="A46" s="86">
        <v>35</v>
      </c>
      <c r="B46" s="87">
        <v>10.38</v>
      </c>
      <c r="C46" s="87">
        <v>3.43</v>
      </c>
    </row>
    <row r="47" spans="1:3" x14ac:dyDescent="0.25">
      <c r="A47" s="86">
        <v>36</v>
      </c>
      <c r="B47" s="87">
        <v>10.53</v>
      </c>
      <c r="C47" s="87">
        <v>3.48</v>
      </c>
    </row>
    <row r="48" spans="1:3" x14ac:dyDescent="0.25">
      <c r="A48" s="86">
        <v>37</v>
      </c>
      <c r="B48" s="87">
        <v>10.68</v>
      </c>
      <c r="C48" s="87">
        <v>3.52</v>
      </c>
    </row>
    <row r="49" spans="1:3" x14ac:dyDescent="0.25">
      <c r="A49" s="86">
        <v>38</v>
      </c>
      <c r="B49" s="87">
        <v>10.83</v>
      </c>
      <c r="C49" s="87">
        <v>3.57</v>
      </c>
    </row>
    <row r="50" spans="1:3" x14ac:dyDescent="0.25">
      <c r="A50" s="86">
        <v>39</v>
      </c>
      <c r="B50" s="87">
        <v>10.98</v>
      </c>
      <c r="C50" s="87">
        <v>3.61</v>
      </c>
    </row>
    <row r="51" spans="1:3" x14ac:dyDescent="0.25">
      <c r="A51" s="86">
        <v>40</v>
      </c>
      <c r="B51" s="87">
        <v>11.14</v>
      </c>
      <c r="C51" s="87">
        <v>3.66</v>
      </c>
    </row>
    <row r="52" spans="1:3" x14ac:dyDescent="0.25">
      <c r="A52" s="86">
        <v>41</v>
      </c>
      <c r="B52" s="87">
        <v>11.3</v>
      </c>
      <c r="C52" s="87">
        <v>3.7</v>
      </c>
    </row>
    <row r="53" spans="1:3" x14ac:dyDescent="0.25">
      <c r="A53" s="86">
        <v>42</v>
      </c>
      <c r="B53" s="87">
        <v>11.46</v>
      </c>
      <c r="C53" s="87">
        <v>3.74</v>
      </c>
    </row>
    <row r="54" spans="1:3" x14ac:dyDescent="0.25">
      <c r="A54" s="86">
        <v>43</v>
      </c>
      <c r="B54" s="87">
        <v>11.63</v>
      </c>
      <c r="C54" s="87">
        <v>3.78</v>
      </c>
    </row>
    <row r="55" spans="1:3" x14ac:dyDescent="0.25">
      <c r="A55" s="86">
        <v>44</v>
      </c>
      <c r="B55" s="87">
        <v>11.8</v>
      </c>
      <c r="C55" s="87">
        <v>3.82</v>
      </c>
    </row>
    <row r="56" spans="1:3" x14ac:dyDescent="0.25">
      <c r="A56" s="86">
        <v>45</v>
      </c>
      <c r="B56" s="87">
        <v>11.98</v>
      </c>
      <c r="C56" s="87">
        <v>3.85</v>
      </c>
    </row>
    <row r="57" spans="1:3" x14ac:dyDescent="0.25">
      <c r="A57" s="86">
        <v>46</v>
      </c>
      <c r="B57" s="87">
        <v>12.16</v>
      </c>
      <c r="C57" s="87">
        <v>3.89</v>
      </c>
    </row>
    <row r="58" spans="1:3" x14ac:dyDescent="0.25">
      <c r="A58" s="86">
        <v>47</v>
      </c>
      <c r="B58" s="87">
        <v>12.34</v>
      </c>
      <c r="C58" s="87">
        <v>3.92</v>
      </c>
    </row>
    <row r="59" spans="1:3" x14ac:dyDescent="0.25">
      <c r="A59" s="86">
        <v>48</v>
      </c>
      <c r="B59" s="87">
        <v>12.53</v>
      </c>
      <c r="C59" s="87">
        <v>3.96</v>
      </c>
    </row>
    <row r="60" spans="1:3" x14ac:dyDescent="0.25">
      <c r="A60" s="86">
        <v>49</v>
      </c>
      <c r="B60" s="87">
        <v>12.72</v>
      </c>
      <c r="C60" s="87">
        <v>3.99</v>
      </c>
    </row>
    <row r="61" spans="1:3" x14ac:dyDescent="0.25">
      <c r="A61" s="86">
        <v>50</v>
      </c>
      <c r="B61" s="87">
        <v>12.92</v>
      </c>
      <c r="C61" s="87">
        <v>4.0199999999999996</v>
      </c>
    </row>
    <row r="62" spans="1:3" x14ac:dyDescent="0.25">
      <c r="A62" s="86">
        <v>51</v>
      </c>
      <c r="B62" s="87">
        <v>13.12</v>
      </c>
      <c r="C62" s="87">
        <v>4.04</v>
      </c>
    </row>
    <row r="63" spans="1:3" x14ac:dyDescent="0.25">
      <c r="A63" s="86">
        <v>52</v>
      </c>
      <c r="B63" s="87">
        <v>13.33</v>
      </c>
      <c r="C63" s="87">
        <v>4.07</v>
      </c>
    </row>
    <row r="64" spans="1:3" x14ac:dyDescent="0.25">
      <c r="A64" s="86">
        <v>53</v>
      </c>
      <c r="B64" s="87">
        <v>13.54</v>
      </c>
      <c r="C64" s="87">
        <v>4.09</v>
      </c>
    </row>
    <row r="65" spans="1:3" x14ac:dyDescent="0.25">
      <c r="A65" s="86">
        <v>54</v>
      </c>
      <c r="B65" s="87">
        <v>13.76</v>
      </c>
      <c r="C65" s="87">
        <v>4.12</v>
      </c>
    </row>
    <row r="66" spans="1:3" x14ac:dyDescent="0.25">
      <c r="A66" s="86">
        <v>55</v>
      </c>
      <c r="B66" s="87">
        <v>13.99</v>
      </c>
      <c r="C66" s="87">
        <v>4.1399999999999997</v>
      </c>
    </row>
    <row r="67" spans="1:3" x14ac:dyDescent="0.25">
      <c r="A67" s="86">
        <v>56</v>
      </c>
      <c r="B67" s="87">
        <v>14.22</v>
      </c>
      <c r="C67" s="87">
        <v>4.16</v>
      </c>
    </row>
    <row r="68" spans="1:3" x14ac:dyDescent="0.25">
      <c r="A68" s="86">
        <v>57</v>
      </c>
      <c r="B68" s="87">
        <v>14.46</v>
      </c>
      <c r="C68" s="87">
        <v>4.17</v>
      </c>
    </row>
    <row r="69" spans="1:3" x14ac:dyDescent="0.25">
      <c r="A69" s="86">
        <v>58</v>
      </c>
      <c r="B69" s="87">
        <v>14.71</v>
      </c>
      <c r="C69" s="87">
        <v>4.1900000000000004</v>
      </c>
    </row>
    <row r="70" spans="1:3" x14ac:dyDescent="0.25">
      <c r="A70" s="86">
        <v>59</v>
      </c>
      <c r="B70" s="87">
        <v>14.97</v>
      </c>
      <c r="C70" s="87">
        <v>4.2</v>
      </c>
    </row>
    <row r="71" spans="1:3" x14ac:dyDescent="0.25">
      <c r="A71" s="86">
        <v>60</v>
      </c>
      <c r="B71" s="87">
        <v>15.24</v>
      </c>
      <c r="C71" s="87">
        <v>4.2</v>
      </c>
    </row>
    <row r="72" spans="1:3" x14ac:dyDescent="0.25">
      <c r="A72" s="86">
        <v>61</v>
      </c>
      <c r="B72" s="87">
        <v>15.53</v>
      </c>
      <c r="C72" s="87">
        <v>4.2</v>
      </c>
    </row>
    <row r="73" spans="1:3" x14ac:dyDescent="0.25">
      <c r="A73" s="86">
        <v>62</v>
      </c>
      <c r="B73" s="87">
        <v>15.82</v>
      </c>
      <c r="C73" s="87">
        <v>4.2</v>
      </c>
    </row>
    <row r="74" spans="1:3" x14ac:dyDescent="0.25">
      <c r="A74" s="86">
        <v>63</v>
      </c>
      <c r="B74" s="87">
        <v>16.13</v>
      </c>
      <c r="C74" s="87">
        <v>4.2</v>
      </c>
    </row>
    <row r="75" spans="1:3" x14ac:dyDescent="0.25">
      <c r="A75" s="86">
        <v>64</v>
      </c>
      <c r="B75" s="87">
        <v>16.46</v>
      </c>
      <c r="C75" s="87">
        <v>4.18</v>
      </c>
    </row>
    <row r="76" spans="1:3" x14ac:dyDescent="0.25">
      <c r="A76" s="86">
        <v>65</v>
      </c>
      <c r="B76" s="87">
        <v>16.82</v>
      </c>
      <c r="C76" s="87">
        <v>4.16</v>
      </c>
    </row>
    <row r="77" spans="1:3" x14ac:dyDescent="0.25">
      <c r="A77" s="86">
        <v>66</v>
      </c>
      <c r="B77" s="87">
        <v>16.66</v>
      </c>
      <c r="C77" s="87">
        <v>4.1500000000000004</v>
      </c>
    </row>
    <row r="78" spans="1:3" x14ac:dyDescent="0.25">
      <c r="A78" s="86">
        <v>67</v>
      </c>
      <c r="B78" s="87">
        <v>16</v>
      </c>
      <c r="C78" s="87">
        <v>4.1500000000000004</v>
      </c>
    </row>
    <row r="79" spans="1:3" x14ac:dyDescent="0.25">
      <c r="A79" s="86">
        <v>68</v>
      </c>
      <c r="B79" s="87">
        <v>15.34</v>
      </c>
      <c r="C79" s="87">
        <v>4.1399999999999997</v>
      </c>
    </row>
    <row r="80" spans="1:3" x14ac:dyDescent="0.25">
      <c r="A80" s="86">
        <v>69</v>
      </c>
      <c r="B80" s="87">
        <v>14.69</v>
      </c>
      <c r="C80" s="87">
        <v>4.07</v>
      </c>
    </row>
    <row r="81" spans="1:3" x14ac:dyDescent="0.25">
      <c r="A81" s="86">
        <v>70</v>
      </c>
      <c r="B81" s="87">
        <v>14.05</v>
      </c>
      <c r="C81" s="87">
        <v>4</v>
      </c>
    </row>
    <row r="82" spans="1:3" x14ac:dyDescent="0.25">
      <c r="A82" s="86">
        <v>71</v>
      </c>
      <c r="B82" s="87">
        <v>13.42</v>
      </c>
      <c r="C82" s="87">
        <v>3.97</v>
      </c>
    </row>
    <row r="83" spans="1:3" x14ac:dyDescent="0.25">
      <c r="A83" s="86">
        <v>72</v>
      </c>
      <c r="B83" s="87">
        <v>12.79</v>
      </c>
      <c r="C83" s="87">
        <v>3.94</v>
      </c>
    </row>
    <row r="84" spans="1:3" x14ac:dyDescent="0.25">
      <c r="A84" s="86">
        <v>73</v>
      </c>
      <c r="B84" s="87">
        <v>12.17</v>
      </c>
      <c r="C84" s="87">
        <v>3.9</v>
      </c>
    </row>
    <row r="85" spans="1:3" x14ac:dyDescent="0.25">
      <c r="A85" s="86">
        <v>74</v>
      </c>
      <c r="B85" s="87">
        <v>11.56</v>
      </c>
      <c r="C85" s="87">
        <v>3.74</v>
      </c>
    </row>
  </sheetData>
  <sheetProtection algorithmName="SHA-512" hashValue="WADWrWfiWQirHh5ebdfRiTZuuqM76RNhQF0ZFnh31NhedziZZCJUVe0S/J+5TGkHzeFHkRtSAkudiEU3h6uNUA==" saltValue="NoSIK5rUCIioq99XeN0HbA==" spinCount="100000" sheet="1" objects="1" scenarios="1"/>
  <conditionalFormatting sqref="A6:A21">
    <cfRule type="expression" dxfId="793" priority="1" stopIfTrue="1">
      <formula>MOD(ROW(),2)=0</formula>
    </cfRule>
    <cfRule type="expression" dxfId="792" priority="2" stopIfTrue="1">
      <formula>MOD(ROW(),2)&lt;&gt;0</formula>
    </cfRule>
  </conditionalFormatting>
  <conditionalFormatting sqref="A26:A85">
    <cfRule type="expression" dxfId="791" priority="3" stopIfTrue="1">
      <formula>MOD(ROW(),2)=0</formula>
    </cfRule>
    <cfRule type="expression" dxfId="790" priority="4" stopIfTrue="1">
      <formula>MOD(ROW(),2)&lt;&gt;0</formula>
    </cfRule>
  </conditionalFormatting>
  <conditionalFormatting sqref="B17:B19">
    <cfRule type="expression" dxfId="789" priority="7" stopIfTrue="1">
      <formula>MOD(ROW(),2)=0</formula>
    </cfRule>
    <cfRule type="expression" dxfId="788" priority="8" stopIfTrue="1">
      <formula>MOD(ROW(),2)&lt;&gt;0</formula>
    </cfRule>
  </conditionalFormatting>
  <conditionalFormatting sqref="B6:C21">
    <cfRule type="expression" dxfId="787" priority="23" stopIfTrue="1">
      <formula>MOD(ROW(),2)=0</formula>
    </cfRule>
    <cfRule type="expression" dxfId="786" priority="24" stopIfTrue="1">
      <formula>MOD(ROW(),2)&lt;&gt;0</formula>
    </cfRule>
  </conditionalFormatting>
  <conditionalFormatting sqref="B26:C85">
    <cfRule type="expression" dxfId="785" priority="5" stopIfTrue="1">
      <formula>MOD(ROW(),2)=0</formula>
    </cfRule>
    <cfRule type="expression" dxfId="784" priority="6" stopIfTrue="1">
      <formula>MOD(ROW(),2)&lt;&gt;0</formula>
    </cfRule>
  </conditionalFormatting>
  <hyperlinks>
    <hyperlink ref="B24" location="Assumptions!A1" display="Assumptions" xr:uid="{5AFDBE2E-CBE4-432E-B4D9-C4AAD1C4592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5" style="27" customWidth="1"/>
    <col min="3"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x-212</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124</v>
      </c>
      <c r="C10" s="102"/>
    </row>
    <row r="11" spans="1:7" x14ac:dyDescent="0.25">
      <c r="A11" s="72" t="s">
        <v>81</v>
      </c>
      <c r="B11" s="102" t="s">
        <v>94</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212</v>
      </c>
      <c r="C14" s="102"/>
    </row>
    <row r="15" spans="1:7" x14ac:dyDescent="0.25">
      <c r="A15" s="72" t="s">
        <v>345</v>
      </c>
      <c r="B15" s="102" t="s">
        <v>125</v>
      </c>
      <c r="C15" s="102"/>
    </row>
    <row r="16" spans="1:7" x14ac:dyDescent="0.25">
      <c r="A16" s="72" t="s">
        <v>86</v>
      </c>
      <c r="B16" s="102" t="s">
        <v>126</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7.6</v>
      </c>
      <c r="C27" s="87">
        <v>2.21</v>
      </c>
    </row>
    <row r="28" spans="1:3" x14ac:dyDescent="0.25">
      <c r="A28" s="86">
        <v>17</v>
      </c>
      <c r="B28" s="87">
        <v>7.7</v>
      </c>
      <c r="C28" s="87">
        <v>2.39</v>
      </c>
    </row>
    <row r="29" spans="1:3" x14ac:dyDescent="0.25">
      <c r="A29" s="86">
        <v>18</v>
      </c>
      <c r="B29" s="87">
        <v>7.8</v>
      </c>
      <c r="C29" s="87">
        <v>2.58</v>
      </c>
    </row>
    <row r="30" spans="1:3" x14ac:dyDescent="0.25">
      <c r="A30" s="86">
        <v>19</v>
      </c>
      <c r="B30" s="87">
        <v>7.91</v>
      </c>
      <c r="C30" s="87">
        <v>2.7</v>
      </c>
    </row>
    <row r="31" spans="1:3" x14ac:dyDescent="0.25">
      <c r="A31" s="86">
        <v>20</v>
      </c>
      <c r="B31" s="87">
        <v>8.02</v>
      </c>
      <c r="C31" s="87">
        <v>2.74</v>
      </c>
    </row>
    <row r="32" spans="1:3" x14ac:dyDescent="0.25">
      <c r="A32" s="86">
        <v>21</v>
      </c>
      <c r="B32" s="87">
        <v>8.1199999999999992</v>
      </c>
      <c r="C32" s="87">
        <v>2.79</v>
      </c>
    </row>
    <row r="33" spans="1:3" x14ac:dyDescent="0.25">
      <c r="A33" s="86">
        <v>22</v>
      </c>
      <c r="B33" s="87">
        <v>8.24</v>
      </c>
      <c r="C33" s="87">
        <v>2.83</v>
      </c>
    </row>
    <row r="34" spans="1:3" x14ac:dyDescent="0.25">
      <c r="A34" s="86">
        <v>23</v>
      </c>
      <c r="B34" s="87">
        <v>8.35</v>
      </c>
      <c r="C34" s="87">
        <v>2.88</v>
      </c>
    </row>
    <row r="35" spans="1:3" x14ac:dyDescent="0.25">
      <c r="A35" s="86">
        <v>24</v>
      </c>
      <c r="B35" s="87">
        <v>8.4600000000000009</v>
      </c>
      <c r="C35" s="87">
        <v>2.93</v>
      </c>
    </row>
    <row r="36" spans="1:3" x14ac:dyDescent="0.25">
      <c r="A36" s="86">
        <v>25</v>
      </c>
      <c r="B36" s="87">
        <v>8.58</v>
      </c>
      <c r="C36" s="87">
        <v>2.98</v>
      </c>
    </row>
    <row r="37" spans="1:3" x14ac:dyDescent="0.25">
      <c r="A37" s="86">
        <v>26</v>
      </c>
      <c r="B37" s="87">
        <v>8.69</v>
      </c>
      <c r="C37" s="87">
        <v>3.02</v>
      </c>
    </row>
    <row r="38" spans="1:3" x14ac:dyDescent="0.25">
      <c r="A38" s="86">
        <v>27</v>
      </c>
      <c r="B38" s="87">
        <v>8.81</v>
      </c>
      <c r="C38" s="87">
        <v>3.07</v>
      </c>
    </row>
    <row r="39" spans="1:3" x14ac:dyDescent="0.25">
      <c r="A39" s="86">
        <v>28</v>
      </c>
      <c r="B39" s="87">
        <v>8.93</v>
      </c>
      <c r="C39" s="87">
        <v>3.12</v>
      </c>
    </row>
    <row r="40" spans="1:3" x14ac:dyDescent="0.25">
      <c r="A40" s="86">
        <v>29</v>
      </c>
      <c r="B40" s="87">
        <v>9.06</v>
      </c>
      <c r="C40" s="87">
        <v>3.17</v>
      </c>
    </row>
    <row r="41" spans="1:3" x14ac:dyDescent="0.25">
      <c r="A41" s="86">
        <v>30</v>
      </c>
      <c r="B41" s="87">
        <v>9.18</v>
      </c>
      <c r="C41" s="87">
        <v>3.22</v>
      </c>
    </row>
    <row r="42" spans="1:3" x14ac:dyDescent="0.25">
      <c r="A42" s="86">
        <v>31</v>
      </c>
      <c r="B42" s="87">
        <v>9.31</v>
      </c>
      <c r="C42" s="87">
        <v>3.26</v>
      </c>
    </row>
    <row r="43" spans="1:3" x14ac:dyDescent="0.25">
      <c r="A43" s="86">
        <v>32</v>
      </c>
      <c r="B43" s="87">
        <v>9.43</v>
      </c>
      <c r="C43" s="87">
        <v>3.31</v>
      </c>
    </row>
    <row r="44" spans="1:3" x14ac:dyDescent="0.25">
      <c r="A44" s="86">
        <v>33</v>
      </c>
      <c r="B44" s="87">
        <v>9.57</v>
      </c>
      <c r="C44" s="87">
        <v>3.36</v>
      </c>
    </row>
    <row r="45" spans="1:3" x14ac:dyDescent="0.25">
      <c r="A45" s="86">
        <v>34</v>
      </c>
      <c r="B45" s="87">
        <v>9.6999999999999993</v>
      </c>
      <c r="C45" s="87">
        <v>3.4</v>
      </c>
    </row>
    <row r="46" spans="1:3" x14ac:dyDescent="0.25">
      <c r="A46" s="86">
        <v>35</v>
      </c>
      <c r="B46" s="87">
        <v>9.83</v>
      </c>
      <c r="C46" s="87">
        <v>3.45</v>
      </c>
    </row>
    <row r="47" spans="1:3" x14ac:dyDescent="0.25">
      <c r="A47" s="86">
        <v>36</v>
      </c>
      <c r="B47" s="87">
        <v>9.9700000000000006</v>
      </c>
      <c r="C47" s="87">
        <v>3.5</v>
      </c>
    </row>
    <row r="48" spans="1:3" x14ac:dyDescent="0.25">
      <c r="A48" s="86">
        <v>37</v>
      </c>
      <c r="B48" s="87">
        <v>10.11</v>
      </c>
      <c r="C48" s="87">
        <v>3.54</v>
      </c>
    </row>
    <row r="49" spans="1:3" x14ac:dyDescent="0.25">
      <c r="A49" s="86">
        <v>38</v>
      </c>
      <c r="B49" s="87">
        <v>10.25</v>
      </c>
      <c r="C49" s="87">
        <v>3.59</v>
      </c>
    </row>
    <row r="50" spans="1:3" x14ac:dyDescent="0.25">
      <c r="A50" s="86">
        <v>39</v>
      </c>
      <c r="B50" s="87">
        <v>10.4</v>
      </c>
      <c r="C50" s="87">
        <v>3.63</v>
      </c>
    </row>
    <row r="51" spans="1:3" x14ac:dyDescent="0.25">
      <c r="A51" s="86">
        <v>40</v>
      </c>
      <c r="B51" s="87">
        <v>10.54</v>
      </c>
      <c r="C51" s="87">
        <v>3.67</v>
      </c>
    </row>
    <row r="52" spans="1:3" x14ac:dyDescent="0.25">
      <c r="A52" s="86">
        <v>41</v>
      </c>
      <c r="B52" s="87">
        <v>10.7</v>
      </c>
      <c r="C52" s="87">
        <v>3.72</v>
      </c>
    </row>
    <row r="53" spans="1:3" x14ac:dyDescent="0.25">
      <c r="A53" s="86">
        <v>42</v>
      </c>
      <c r="B53" s="87">
        <v>10.85</v>
      </c>
      <c r="C53" s="87">
        <v>3.76</v>
      </c>
    </row>
    <row r="54" spans="1:3" x14ac:dyDescent="0.25">
      <c r="A54" s="86">
        <v>43</v>
      </c>
      <c r="B54" s="87">
        <v>11.01</v>
      </c>
      <c r="C54" s="87">
        <v>3.8</v>
      </c>
    </row>
    <row r="55" spans="1:3" x14ac:dyDescent="0.25">
      <c r="A55" s="86">
        <v>44</v>
      </c>
      <c r="B55" s="87">
        <v>11.17</v>
      </c>
      <c r="C55" s="87">
        <v>3.84</v>
      </c>
    </row>
    <row r="56" spans="1:3" x14ac:dyDescent="0.25">
      <c r="A56" s="86">
        <v>45</v>
      </c>
      <c r="B56" s="87">
        <v>11.33</v>
      </c>
      <c r="C56" s="87">
        <v>3.87</v>
      </c>
    </row>
    <row r="57" spans="1:3" x14ac:dyDescent="0.25">
      <c r="A57" s="86">
        <v>46</v>
      </c>
      <c r="B57" s="87">
        <v>11.5</v>
      </c>
      <c r="C57" s="87">
        <v>3.91</v>
      </c>
    </row>
    <row r="58" spans="1:3" x14ac:dyDescent="0.25">
      <c r="A58" s="86">
        <v>47</v>
      </c>
      <c r="B58" s="87">
        <v>11.67</v>
      </c>
      <c r="C58" s="87">
        <v>3.94</v>
      </c>
    </row>
    <row r="59" spans="1:3" x14ac:dyDescent="0.25">
      <c r="A59" s="86">
        <v>48</v>
      </c>
      <c r="B59" s="87">
        <v>11.84</v>
      </c>
      <c r="C59" s="87">
        <v>3.98</v>
      </c>
    </row>
    <row r="60" spans="1:3" x14ac:dyDescent="0.25">
      <c r="A60" s="86">
        <v>49</v>
      </c>
      <c r="B60" s="87">
        <v>12.02</v>
      </c>
      <c r="C60" s="87">
        <v>4.01</v>
      </c>
    </row>
    <row r="61" spans="1:3" x14ac:dyDescent="0.25">
      <c r="A61" s="86">
        <v>50</v>
      </c>
      <c r="B61" s="87">
        <v>12.21</v>
      </c>
      <c r="C61" s="87">
        <v>4.04</v>
      </c>
    </row>
    <row r="62" spans="1:3" x14ac:dyDescent="0.25">
      <c r="A62" s="86">
        <v>51</v>
      </c>
      <c r="B62" s="87">
        <v>12.4</v>
      </c>
      <c r="C62" s="87">
        <v>4.0599999999999996</v>
      </c>
    </row>
    <row r="63" spans="1:3" x14ac:dyDescent="0.25">
      <c r="A63" s="86">
        <v>52</v>
      </c>
      <c r="B63" s="87">
        <v>12.59</v>
      </c>
      <c r="C63" s="87">
        <v>4.09</v>
      </c>
    </row>
    <row r="64" spans="1:3" x14ac:dyDescent="0.25">
      <c r="A64" s="86">
        <v>53</v>
      </c>
      <c r="B64" s="87">
        <v>12.79</v>
      </c>
      <c r="C64" s="87">
        <v>4.12</v>
      </c>
    </row>
    <row r="65" spans="1:3" x14ac:dyDescent="0.25">
      <c r="A65" s="86">
        <v>54</v>
      </c>
      <c r="B65" s="87">
        <v>13</v>
      </c>
      <c r="C65" s="87">
        <v>4.1399999999999997</v>
      </c>
    </row>
    <row r="66" spans="1:3" x14ac:dyDescent="0.25">
      <c r="A66" s="86">
        <v>55</v>
      </c>
      <c r="B66" s="87">
        <v>13.21</v>
      </c>
      <c r="C66" s="87">
        <v>4.16</v>
      </c>
    </row>
    <row r="67" spans="1:3" x14ac:dyDescent="0.25">
      <c r="A67" s="86">
        <v>56</v>
      </c>
      <c r="B67" s="87">
        <v>13.42</v>
      </c>
      <c r="C67" s="87">
        <v>4.18</v>
      </c>
    </row>
    <row r="68" spans="1:3" x14ac:dyDescent="0.25">
      <c r="A68" s="86">
        <v>57</v>
      </c>
      <c r="B68" s="87">
        <v>13.65</v>
      </c>
      <c r="C68" s="87">
        <v>4.2</v>
      </c>
    </row>
    <row r="69" spans="1:3" x14ac:dyDescent="0.25">
      <c r="A69" s="86">
        <v>58</v>
      </c>
      <c r="B69" s="87">
        <v>13.88</v>
      </c>
      <c r="C69" s="87">
        <v>4.21</v>
      </c>
    </row>
    <row r="70" spans="1:3" x14ac:dyDescent="0.25">
      <c r="A70" s="86">
        <v>59</v>
      </c>
      <c r="B70" s="87">
        <v>14.13</v>
      </c>
      <c r="C70" s="87">
        <v>4.22</v>
      </c>
    </row>
    <row r="71" spans="1:3" x14ac:dyDescent="0.25">
      <c r="A71" s="86">
        <v>60</v>
      </c>
      <c r="B71" s="87">
        <v>14.38</v>
      </c>
      <c r="C71" s="87">
        <v>4.2300000000000004</v>
      </c>
    </row>
    <row r="72" spans="1:3" x14ac:dyDescent="0.25">
      <c r="A72" s="86">
        <v>61</v>
      </c>
      <c r="B72" s="87">
        <v>14.64</v>
      </c>
      <c r="C72" s="87">
        <v>4.2300000000000004</v>
      </c>
    </row>
    <row r="73" spans="1:3" x14ac:dyDescent="0.25">
      <c r="A73" s="86">
        <v>62</v>
      </c>
      <c r="B73" s="87">
        <v>14.92</v>
      </c>
      <c r="C73" s="87">
        <v>4.2300000000000004</v>
      </c>
    </row>
    <row r="74" spans="1:3" x14ac:dyDescent="0.25">
      <c r="A74" s="86">
        <v>63</v>
      </c>
      <c r="B74" s="87">
        <v>15.21</v>
      </c>
      <c r="C74" s="87">
        <v>4.22</v>
      </c>
    </row>
    <row r="75" spans="1:3" x14ac:dyDescent="0.25">
      <c r="A75" s="86">
        <v>64</v>
      </c>
      <c r="B75" s="87">
        <v>15.52</v>
      </c>
      <c r="C75" s="87">
        <v>4.21</v>
      </c>
    </row>
    <row r="76" spans="1:3" x14ac:dyDescent="0.25">
      <c r="A76" s="86">
        <v>65</v>
      </c>
      <c r="B76" s="87">
        <v>15.85</v>
      </c>
      <c r="C76" s="87">
        <v>4.1900000000000004</v>
      </c>
    </row>
    <row r="77" spans="1:3" x14ac:dyDescent="0.25">
      <c r="A77" s="86">
        <v>66</v>
      </c>
      <c r="B77" s="87">
        <v>16.2</v>
      </c>
      <c r="C77" s="87">
        <v>4.16</v>
      </c>
    </row>
    <row r="78" spans="1:3" x14ac:dyDescent="0.25">
      <c r="A78" s="86">
        <v>67</v>
      </c>
      <c r="B78" s="87">
        <v>16.04</v>
      </c>
      <c r="C78" s="87">
        <v>4.1500000000000004</v>
      </c>
    </row>
    <row r="79" spans="1:3" x14ac:dyDescent="0.25">
      <c r="A79" s="86">
        <v>68</v>
      </c>
      <c r="B79" s="87">
        <v>15.38</v>
      </c>
      <c r="C79" s="87">
        <v>4.1399999999999997</v>
      </c>
    </row>
    <row r="80" spans="1:3" x14ac:dyDescent="0.25">
      <c r="A80" s="86">
        <v>69</v>
      </c>
      <c r="B80" s="87">
        <v>14.71</v>
      </c>
      <c r="C80" s="87">
        <v>4.07</v>
      </c>
    </row>
    <row r="81" spans="1:3" x14ac:dyDescent="0.25">
      <c r="A81" s="86">
        <v>70</v>
      </c>
      <c r="B81" s="87">
        <v>14.06</v>
      </c>
      <c r="C81" s="87">
        <v>4</v>
      </c>
    </row>
    <row r="82" spans="1:3" x14ac:dyDescent="0.25">
      <c r="A82" s="86">
        <v>71</v>
      </c>
      <c r="B82" s="87">
        <v>13.42</v>
      </c>
      <c r="C82" s="87">
        <v>3.97</v>
      </c>
    </row>
    <row r="83" spans="1:3" x14ac:dyDescent="0.25">
      <c r="A83" s="86">
        <v>72</v>
      </c>
      <c r="B83" s="87">
        <v>12.79</v>
      </c>
      <c r="C83" s="87">
        <v>3.94</v>
      </c>
    </row>
    <row r="84" spans="1:3" x14ac:dyDescent="0.25">
      <c r="A84" s="86">
        <v>73</v>
      </c>
      <c r="B84" s="87">
        <v>12.17</v>
      </c>
      <c r="C84" s="87">
        <v>3.9</v>
      </c>
    </row>
    <row r="85" spans="1:3" x14ac:dyDescent="0.25">
      <c r="A85" s="86">
        <v>74</v>
      </c>
      <c r="B85" s="87">
        <v>11.56</v>
      </c>
      <c r="C85" s="87">
        <v>3.74</v>
      </c>
    </row>
  </sheetData>
  <sheetProtection algorithmName="SHA-512" hashValue="4HnbVldrMfsLA++ww2LbmJ+AVO4roWUV1FDvUr/F99XslRwTBcFzaErQOuWetvNb1sd76cLN/rQQqfXEk4zMlg==" saltValue="D6ebkd6Gwg3888H+8c8ndg==" spinCount="100000" sheet="1" objects="1" scenarios="1"/>
  <conditionalFormatting sqref="A6:A21">
    <cfRule type="expression" dxfId="783" priority="1" stopIfTrue="1">
      <formula>MOD(ROW(),2)=0</formula>
    </cfRule>
    <cfRule type="expression" dxfId="782" priority="2" stopIfTrue="1">
      <formula>MOD(ROW(),2)&lt;&gt;0</formula>
    </cfRule>
  </conditionalFormatting>
  <conditionalFormatting sqref="A26:A85">
    <cfRule type="expression" dxfId="781" priority="3" stopIfTrue="1">
      <formula>MOD(ROW(),2)=0</formula>
    </cfRule>
    <cfRule type="expression" dxfId="780" priority="4" stopIfTrue="1">
      <formula>MOD(ROW(),2)&lt;&gt;0</formula>
    </cfRule>
  </conditionalFormatting>
  <conditionalFormatting sqref="B17:B19">
    <cfRule type="expression" dxfId="779" priority="7" stopIfTrue="1">
      <formula>MOD(ROW(),2)=0</formula>
    </cfRule>
    <cfRule type="expression" dxfId="778" priority="8" stopIfTrue="1">
      <formula>MOD(ROW(),2)&lt;&gt;0</formula>
    </cfRule>
  </conditionalFormatting>
  <conditionalFormatting sqref="B6:C21">
    <cfRule type="expression" dxfId="777" priority="23" stopIfTrue="1">
      <formula>MOD(ROW(),2)=0</formula>
    </cfRule>
    <cfRule type="expression" dxfId="776" priority="24" stopIfTrue="1">
      <formula>MOD(ROW(),2)&lt;&gt;0</formula>
    </cfRule>
  </conditionalFormatting>
  <conditionalFormatting sqref="B26:C85">
    <cfRule type="expression" dxfId="775" priority="5" stopIfTrue="1">
      <formula>MOD(ROW(),2)=0</formula>
    </cfRule>
    <cfRule type="expression" dxfId="774" priority="6" stopIfTrue="1">
      <formula>MOD(ROW(),2)&lt;&gt;0</formula>
    </cfRule>
  </conditionalFormatting>
  <hyperlinks>
    <hyperlink ref="B24" location="Assumptions!A1" display="Assumptions" xr:uid="{9A685AB1-8454-488C-A752-C1653A5712F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9"/>
  <sheetViews>
    <sheetView showGridLines="0" workbookViewId="0">
      <selection activeCell="A3" sqref="A3"/>
    </sheetView>
  </sheetViews>
  <sheetFormatPr defaultRowHeight="13.2" x14ac:dyDescent="0.25"/>
  <sheetData>
    <row r="1" spans="1:13" ht="21" x14ac:dyDescent="0.4">
      <c r="A1" s="4" t="s">
        <v>0</v>
      </c>
      <c r="B1" s="4"/>
      <c r="C1" s="4"/>
      <c r="D1" s="4"/>
      <c r="E1" s="4"/>
      <c r="F1" s="4"/>
      <c r="G1" s="4"/>
      <c r="H1" s="4"/>
      <c r="I1" s="4"/>
      <c r="J1" s="4"/>
      <c r="K1" s="4"/>
      <c r="L1" s="4"/>
    </row>
    <row r="2" spans="1:13" ht="15.6" x14ac:dyDescent="0.3">
      <c r="A2" s="5" t="str">
        <f>IF(title="&gt; Enter workbook title here","Enter workbook title in Cover sheet",title)</f>
        <v>Fire England - Consolidated Factor Spreadsheet</v>
      </c>
      <c r="B2" s="5"/>
      <c r="C2" s="5"/>
      <c r="D2" s="5"/>
      <c r="E2" s="5"/>
      <c r="F2" s="5"/>
      <c r="G2" s="5"/>
      <c r="H2" s="5"/>
      <c r="I2" s="5"/>
      <c r="J2" s="5"/>
      <c r="K2" s="5"/>
      <c r="L2" s="5"/>
    </row>
    <row r="3" spans="1:13" ht="15.6" x14ac:dyDescent="0.3">
      <c r="A3" s="6" t="s">
        <v>31</v>
      </c>
      <c r="B3" s="6"/>
      <c r="C3" s="6"/>
      <c r="D3" s="6"/>
      <c r="E3" s="6"/>
      <c r="F3" s="6"/>
      <c r="G3" s="6"/>
      <c r="H3" s="6"/>
      <c r="I3" s="6"/>
      <c r="J3" s="6"/>
      <c r="K3" s="6"/>
      <c r="L3" s="6"/>
    </row>
    <row r="4" spans="1:13" x14ac:dyDescent="0.25">
      <c r="A4" s="7" t="str">
        <f ca="1">CELL("filename",A1)</f>
        <v>https://tris42.sharepoint.com/sites/gad_wrkgrp_actuarial/pspsactuarialwork/Central/Factors &amp; Guidance/2024 Guidance Review/4. Online portal/3. Import data/3. Factor tables/0_client_friendly/Ready to be uploaded/2025-03/[Fire E Consolidated Factors 2025-02.xlsx]Purpose of spreadsheet</v>
      </c>
      <c r="B4" s="7"/>
    </row>
    <row r="5" spans="1:13" x14ac:dyDescent="0.25">
      <c r="E5" s="8"/>
      <c r="F5" s="8"/>
      <c r="G5" s="8"/>
    </row>
    <row r="7" spans="1:13" x14ac:dyDescent="0.25">
      <c r="A7" s="158" t="s">
        <v>32</v>
      </c>
      <c r="B7" s="159"/>
      <c r="C7" s="159"/>
      <c r="D7" s="159"/>
      <c r="E7" s="159"/>
      <c r="F7" s="159"/>
      <c r="G7" s="159"/>
      <c r="H7" s="159"/>
      <c r="I7" s="159"/>
      <c r="J7" s="159"/>
      <c r="K7" s="159"/>
      <c r="L7" s="159"/>
      <c r="M7" s="160"/>
    </row>
    <row r="8" spans="1:13" x14ac:dyDescent="0.25">
      <c r="A8" s="28"/>
      <c r="M8" s="18"/>
    </row>
    <row r="9" spans="1:13" ht="12.6" customHeight="1" x14ac:dyDescent="0.25">
      <c r="A9" s="161" t="s">
        <v>33</v>
      </c>
      <c r="B9" s="162"/>
      <c r="C9" s="162"/>
      <c r="D9" s="162"/>
      <c r="E9" s="162"/>
      <c r="F9" s="162"/>
      <c r="G9" s="162"/>
      <c r="H9" s="162"/>
      <c r="I9" s="162"/>
      <c r="J9" s="162"/>
      <c r="K9" s="162"/>
      <c r="L9" s="162"/>
      <c r="M9" s="163"/>
    </row>
    <row r="10" spans="1:13" ht="22.5" customHeight="1" x14ac:dyDescent="0.25">
      <c r="A10" s="164"/>
      <c r="B10" s="162"/>
      <c r="C10" s="162"/>
      <c r="D10" s="162"/>
      <c r="E10" s="162"/>
      <c r="F10" s="162"/>
      <c r="G10" s="162"/>
      <c r="H10" s="162"/>
      <c r="I10" s="162"/>
      <c r="J10" s="162"/>
      <c r="K10" s="162"/>
      <c r="L10" s="162"/>
      <c r="M10" s="163"/>
    </row>
    <row r="11" spans="1:13" ht="31.5" customHeight="1" x14ac:dyDescent="0.25">
      <c r="A11" s="164"/>
      <c r="B11" s="162"/>
      <c r="C11" s="162"/>
      <c r="D11" s="162"/>
      <c r="E11" s="162"/>
      <c r="F11" s="162"/>
      <c r="G11" s="162"/>
      <c r="H11" s="162"/>
      <c r="I11" s="162"/>
      <c r="J11" s="162"/>
      <c r="K11" s="162"/>
      <c r="L11" s="162"/>
      <c r="M11" s="163"/>
    </row>
    <row r="12" spans="1:13" ht="124.5" customHeight="1" x14ac:dyDescent="0.25">
      <c r="A12" s="165"/>
      <c r="B12" s="166"/>
      <c r="C12" s="166"/>
      <c r="D12" s="166"/>
      <c r="E12" s="166"/>
      <c r="F12" s="166"/>
      <c r="G12" s="166"/>
      <c r="H12" s="166"/>
      <c r="I12" s="166"/>
      <c r="J12" s="166"/>
      <c r="K12" s="166"/>
      <c r="L12" s="166"/>
      <c r="M12" s="167"/>
    </row>
    <row r="19" spans="2:2" x14ac:dyDescent="0.25">
      <c r="B19" s="8"/>
    </row>
  </sheetData>
  <sheetProtection algorithmName="SHA-512" hashValue="3gvaH4ynvBWnfuA1PbhmG47wVYaBHTyTQ2CSFrPpdiaYtIoF6OEyQ4Eq2+POh9gkvtAuMKgl2WRNm6bN/jRKtA==" saltValue="qZ73740k20ekjxRCY9Sz9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1"/>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4.5546875" style="27" customWidth="1"/>
    <col min="3"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x-213</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124</v>
      </c>
      <c r="C10" s="102"/>
    </row>
    <row r="11" spans="1:7" x14ac:dyDescent="0.25">
      <c r="A11" s="72" t="s">
        <v>81</v>
      </c>
      <c r="B11" s="102" t="s">
        <v>100</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213</v>
      </c>
      <c r="C14" s="102"/>
    </row>
    <row r="15" spans="1:7" x14ac:dyDescent="0.25">
      <c r="A15" s="72" t="s">
        <v>345</v>
      </c>
      <c r="B15" s="102" t="s">
        <v>127</v>
      </c>
      <c r="C15" s="102"/>
    </row>
    <row r="16" spans="1:7" x14ac:dyDescent="0.25">
      <c r="A16" s="72" t="s">
        <v>86</v>
      </c>
      <c r="B16" s="102" t="s">
        <v>128</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7.6</v>
      </c>
      <c r="C27" s="87">
        <v>2.21</v>
      </c>
    </row>
    <row r="28" spans="1:3" x14ac:dyDescent="0.25">
      <c r="A28" s="86">
        <v>17</v>
      </c>
      <c r="B28" s="87">
        <v>7.7</v>
      </c>
      <c r="C28" s="87">
        <v>2.39</v>
      </c>
    </row>
    <row r="29" spans="1:3" x14ac:dyDescent="0.25">
      <c r="A29" s="86">
        <v>18</v>
      </c>
      <c r="B29" s="87">
        <v>7.8</v>
      </c>
      <c r="C29" s="87">
        <v>2.58</v>
      </c>
    </row>
    <row r="30" spans="1:3" x14ac:dyDescent="0.25">
      <c r="A30" s="86">
        <v>19</v>
      </c>
      <c r="B30" s="87">
        <v>7.91</v>
      </c>
      <c r="C30" s="87">
        <v>2.7</v>
      </c>
    </row>
    <row r="31" spans="1:3" x14ac:dyDescent="0.25">
      <c r="A31" s="86">
        <v>20</v>
      </c>
      <c r="B31" s="87">
        <v>8.02</v>
      </c>
      <c r="C31" s="87">
        <v>2.74</v>
      </c>
    </row>
    <row r="32" spans="1:3" x14ac:dyDescent="0.25">
      <c r="A32" s="86">
        <v>21</v>
      </c>
      <c r="B32" s="87">
        <v>8.1199999999999992</v>
      </c>
      <c r="C32" s="87">
        <v>2.79</v>
      </c>
    </row>
    <row r="33" spans="1:3" x14ac:dyDescent="0.25">
      <c r="A33" s="86">
        <v>22</v>
      </c>
      <c r="B33" s="87">
        <v>8.24</v>
      </c>
      <c r="C33" s="87">
        <v>2.83</v>
      </c>
    </row>
    <row r="34" spans="1:3" x14ac:dyDescent="0.25">
      <c r="A34" s="86">
        <v>23</v>
      </c>
      <c r="B34" s="87">
        <v>8.35</v>
      </c>
      <c r="C34" s="87">
        <v>2.88</v>
      </c>
    </row>
    <row r="35" spans="1:3" x14ac:dyDescent="0.25">
      <c r="A35" s="86">
        <v>24</v>
      </c>
      <c r="B35" s="87">
        <v>8.4600000000000009</v>
      </c>
      <c r="C35" s="87">
        <v>2.93</v>
      </c>
    </row>
    <row r="36" spans="1:3" x14ac:dyDescent="0.25">
      <c r="A36" s="86">
        <v>25</v>
      </c>
      <c r="B36" s="87">
        <v>8.58</v>
      </c>
      <c r="C36" s="87">
        <v>2.98</v>
      </c>
    </row>
    <row r="37" spans="1:3" x14ac:dyDescent="0.25">
      <c r="A37" s="86">
        <v>26</v>
      </c>
      <c r="B37" s="87">
        <v>8.69</v>
      </c>
      <c r="C37" s="87">
        <v>3.02</v>
      </c>
    </row>
    <row r="38" spans="1:3" x14ac:dyDescent="0.25">
      <c r="A38" s="86">
        <v>27</v>
      </c>
      <c r="B38" s="87">
        <v>8.81</v>
      </c>
      <c r="C38" s="87">
        <v>3.07</v>
      </c>
    </row>
    <row r="39" spans="1:3" x14ac:dyDescent="0.25">
      <c r="A39" s="86">
        <v>28</v>
      </c>
      <c r="B39" s="87">
        <v>8.93</v>
      </c>
      <c r="C39" s="87">
        <v>3.12</v>
      </c>
    </row>
    <row r="40" spans="1:3" x14ac:dyDescent="0.25">
      <c r="A40" s="86">
        <v>29</v>
      </c>
      <c r="B40" s="87">
        <v>9.06</v>
      </c>
      <c r="C40" s="87">
        <v>3.17</v>
      </c>
    </row>
    <row r="41" spans="1:3" x14ac:dyDescent="0.25">
      <c r="A41" s="86">
        <v>30</v>
      </c>
      <c r="B41" s="87">
        <v>9.18</v>
      </c>
      <c r="C41" s="87">
        <v>3.22</v>
      </c>
    </row>
    <row r="42" spans="1:3" x14ac:dyDescent="0.25">
      <c r="A42" s="86">
        <v>31</v>
      </c>
      <c r="B42" s="87">
        <v>9.31</v>
      </c>
      <c r="C42" s="87">
        <v>3.26</v>
      </c>
    </row>
    <row r="43" spans="1:3" x14ac:dyDescent="0.25">
      <c r="A43" s="86">
        <v>32</v>
      </c>
      <c r="B43" s="87">
        <v>9.43</v>
      </c>
      <c r="C43" s="87">
        <v>3.31</v>
      </c>
    </row>
    <row r="44" spans="1:3" x14ac:dyDescent="0.25">
      <c r="A44" s="86">
        <v>33</v>
      </c>
      <c r="B44" s="87">
        <v>9.57</v>
      </c>
      <c r="C44" s="87">
        <v>3.36</v>
      </c>
    </row>
    <row r="45" spans="1:3" x14ac:dyDescent="0.25">
      <c r="A45" s="86">
        <v>34</v>
      </c>
      <c r="B45" s="87">
        <v>9.6999999999999993</v>
      </c>
      <c r="C45" s="87">
        <v>3.4</v>
      </c>
    </row>
    <row r="46" spans="1:3" x14ac:dyDescent="0.25">
      <c r="A46" s="86">
        <v>35</v>
      </c>
      <c r="B46" s="87">
        <v>9.83</v>
      </c>
      <c r="C46" s="87">
        <v>3.45</v>
      </c>
    </row>
    <row r="47" spans="1:3" x14ac:dyDescent="0.25">
      <c r="A47" s="86">
        <v>36</v>
      </c>
      <c r="B47" s="87">
        <v>9.9700000000000006</v>
      </c>
      <c r="C47" s="87">
        <v>3.5</v>
      </c>
    </row>
    <row r="48" spans="1:3" x14ac:dyDescent="0.25">
      <c r="A48" s="86">
        <v>37</v>
      </c>
      <c r="B48" s="87">
        <v>10.11</v>
      </c>
      <c r="C48" s="87">
        <v>3.54</v>
      </c>
    </row>
    <row r="49" spans="1:3" x14ac:dyDescent="0.25">
      <c r="A49" s="86">
        <v>38</v>
      </c>
      <c r="B49" s="87">
        <v>10.25</v>
      </c>
      <c r="C49" s="87">
        <v>3.59</v>
      </c>
    </row>
    <row r="50" spans="1:3" x14ac:dyDescent="0.25">
      <c r="A50" s="86">
        <v>39</v>
      </c>
      <c r="B50" s="87">
        <v>10.4</v>
      </c>
      <c r="C50" s="87">
        <v>3.63</v>
      </c>
    </row>
    <row r="51" spans="1:3" x14ac:dyDescent="0.25">
      <c r="A51" s="86">
        <v>40</v>
      </c>
      <c r="B51" s="87">
        <v>10.54</v>
      </c>
      <c r="C51" s="87">
        <v>3.67</v>
      </c>
    </row>
    <row r="52" spans="1:3" x14ac:dyDescent="0.25">
      <c r="A52" s="86">
        <v>41</v>
      </c>
      <c r="B52" s="87">
        <v>10.7</v>
      </c>
      <c r="C52" s="87">
        <v>3.72</v>
      </c>
    </row>
    <row r="53" spans="1:3" x14ac:dyDescent="0.25">
      <c r="A53" s="86">
        <v>42</v>
      </c>
      <c r="B53" s="87">
        <v>10.85</v>
      </c>
      <c r="C53" s="87">
        <v>3.76</v>
      </c>
    </row>
    <row r="54" spans="1:3" x14ac:dyDescent="0.25">
      <c r="A54" s="86">
        <v>43</v>
      </c>
      <c r="B54" s="87">
        <v>11.01</v>
      </c>
      <c r="C54" s="87">
        <v>3.8</v>
      </c>
    </row>
    <row r="55" spans="1:3" x14ac:dyDescent="0.25">
      <c r="A55" s="86">
        <v>44</v>
      </c>
      <c r="B55" s="87">
        <v>11.17</v>
      </c>
      <c r="C55" s="87">
        <v>3.84</v>
      </c>
    </row>
    <row r="56" spans="1:3" x14ac:dyDescent="0.25">
      <c r="A56" s="86">
        <v>45</v>
      </c>
      <c r="B56" s="87">
        <v>11.33</v>
      </c>
      <c r="C56" s="87">
        <v>3.87</v>
      </c>
    </row>
    <row r="57" spans="1:3" x14ac:dyDescent="0.25">
      <c r="A57" s="86">
        <v>46</v>
      </c>
      <c r="B57" s="87">
        <v>11.5</v>
      </c>
      <c r="C57" s="87">
        <v>3.91</v>
      </c>
    </row>
    <row r="58" spans="1:3" x14ac:dyDescent="0.25">
      <c r="A58" s="86">
        <v>47</v>
      </c>
      <c r="B58" s="87">
        <v>11.67</v>
      </c>
      <c r="C58" s="87">
        <v>3.94</v>
      </c>
    </row>
    <row r="59" spans="1:3" x14ac:dyDescent="0.25">
      <c r="A59" s="86">
        <v>48</v>
      </c>
      <c r="B59" s="87">
        <v>11.84</v>
      </c>
      <c r="C59" s="87">
        <v>3.98</v>
      </c>
    </row>
    <row r="60" spans="1:3" x14ac:dyDescent="0.25">
      <c r="A60" s="86">
        <v>49</v>
      </c>
      <c r="B60" s="87">
        <v>12.02</v>
      </c>
      <c r="C60" s="87">
        <v>4.01</v>
      </c>
    </row>
    <row r="61" spans="1:3" x14ac:dyDescent="0.25">
      <c r="A61" s="86">
        <v>50</v>
      </c>
      <c r="B61" s="87">
        <v>12.21</v>
      </c>
      <c r="C61" s="87">
        <v>4.04</v>
      </c>
    </row>
    <row r="62" spans="1:3" x14ac:dyDescent="0.25">
      <c r="A62" s="86">
        <v>51</v>
      </c>
      <c r="B62" s="87">
        <v>12.4</v>
      </c>
      <c r="C62" s="87">
        <v>4.0599999999999996</v>
      </c>
    </row>
    <row r="63" spans="1:3" x14ac:dyDescent="0.25">
      <c r="A63" s="86">
        <v>52</v>
      </c>
      <c r="B63" s="87">
        <v>12.59</v>
      </c>
      <c r="C63" s="87">
        <v>4.09</v>
      </c>
    </row>
    <row r="64" spans="1:3" x14ac:dyDescent="0.25">
      <c r="A64" s="86">
        <v>53</v>
      </c>
      <c r="B64" s="87">
        <v>12.79</v>
      </c>
      <c r="C64" s="87">
        <v>4.12</v>
      </c>
    </row>
    <row r="65" spans="1:3" x14ac:dyDescent="0.25">
      <c r="A65" s="86">
        <v>54</v>
      </c>
      <c r="B65" s="87">
        <v>13</v>
      </c>
      <c r="C65" s="87">
        <v>4.1399999999999997</v>
      </c>
    </row>
    <row r="66" spans="1:3" x14ac:dyDescent="0.25">
      <c r="A66" s="86">
        <v>55</v>
      </c>
      <c r="B66" s="87">
        <v>13.21</v>
      </c>
      <c r="C66" s="87">
        <v>4.16</v>
      </c>
    </row>
    <row r="67" spans="1:3" x14ac:dyDescent="0.25">
      <c r="A67" s="86">
        <v>56</v>
      </c>
      <c r="B67" s="87">
        <v>13.42</v>
      </c>
      <c r="C67" s="87">
        <v>4.18</v>
      </c>
    </row>
    <row r="68" spans="1:3" x14ac:dyDescent="0.25">
      <c r="A68" s="86">
        <v>57</v>
      </c>
      <c r="B68" s="87">
        <v>13.65</v>
      </c>
      <c r="C68" s="87">
        <v>4.2</v>
      </c>
    </row>
    <row r="69" spans="1:3" x14ac:dyDescent="0.25">
      <c r="A69" s="86">
        <v>58</v>
      </c>
      <c r="B69" s="87">
        <v>13.88</v>
      </c>
      <c r="C69" s="87">
        <v>4.21</v>
      </c>
    </row>
    <row r="70" spans="1:3" x14ac:dyDescent="0.25">
      <c r="A70" s="86">
        <v>59</v>
      </c>
      <c r="B70" s="87">
        <v>14.13</v>
      </c>
      <c r="C70" s="87">
        <v>4.22</v>
      </c>
    </row>
    <row r="71" spans="1:3" x14ac:dyDescent="0.25">
      <c r="A71" s="86">
        <v>60</v>
      </c>
      <c r="B71" s="87">
        <v>14.38</v>
      </c>
      <c r="C71" s="87">
        <v>4.2300000000000004</v>
      </c>
    </row>
    <row r="72" spans="1:3" x14ac:dyDescent="0.25">
      <c r="A72" s="86">
        <v>61</v>
      </c>
      <c r="B72" s="87">
        <v>14.64</v>
      </c>
      <c r="C72" s="87">
        <v>4.2300000000000004</v>
      </c>
    </row>
    <row r="73" spans="1:3" x14ac:dyDescent="0.25">
      <c r="A73" s="86">
        <v>62</v>
      </c>
      <c r="B73" s="87">
        <v>14.92</v>
      </c>
      <c r="C73" s="87">
        <v>4.2300000000000004</v>
      </c>
    </row>
    <row r="74" spans="1:3" x14ac:dyDescent="0.25">
      <c r="A74" s="86">
        <v>63</v>
      </c>
      <c r="B74" s="87">
        <v>15.21</v>
      </c>
      <c r="C74" s="87">
        <v>4.22</v>
      </c>
    </row>
    <row r="75" spans="1:3" x14ac:dyDescent="0.25">
      <c r="A75" s="86">
        <v>64</v>
      </c>
      <c r="B75" s="87">
        <v>15.52</v>
      </c>
      <c r="C75" s="87">
        <v>4.21</v>
      </c>
    </row>
    <row r="76" spans="1:3" x14ac:dyDescent="0.25">
      <c r="A76" s="86">
        <v>65</v>
      </c>
      <c r="B76" s="87">
        <v>15.85</v>
      </c>
      <c r="C76" s="87">
        <v>4.1900000000000004</v>
      </c>
    </row>
    <row r="77" spans="1:3" x14ac:dyDescent="0.25">
      <c r="A77" s="86">
        <v>66</v>
      </c>
      <c r="B77" s="87">
        <v>16.2</v>
      </c>
      <c r="C77" s="87">
        <v>4.16</v>
      </c>
    </row>
    <row r="78" spans="1:3" x14ac:dyDescent="0.25">
      <c r="A78" s="86">
        <v>67</v>
      </c>
      <c r="B78" s="87">
        <v>16.04</v>
      </c>
      <c r="C78" s="87">
        <v>4.1500000000000004</v>
      </c>
    </row>
    <row r="79" spans="1:3" x14ac:dyDescent="0.25">
      <c r="A79" s="86">
        <v>68</v>
      </c>
      <c r="B79" s="87">
        <v>15.38</v>
      </c>
      <c r="C79" s="87">
        <v>4.1399999999999997</v>
      </c>
    </row>
    <row r="80" spans="1:3" x14ac:dyDescent="0.25">
      <c r="A80" s="86">
        <v>69</v>
      </c>
      <c r="B80" s="87">
        <v>14.71</v>
      </c>
      <c r="C80" s="87">
        <v>4.07</v>
      </c>
    </row>
    <row r="81" spans="1:3" x14ac:dyDescent="0.25">
      <c r="A81" s="86">
        <v>70</v>
      </c>
      <c r="B81" s="87">
        <v>14.06</v>
      </c>
      <c r="C81" s="87">
        <v>4</v>
      </c>
    </row>
    <row r="82" spans="1:3" x14ac:dyDescent="0.25">
      <c r="A82" s="86">
        <v>71</v>
      </c>
      <c r="B82" s="87">
        <v>13.42</v>
      </c>
      <c r="C82" s="87">
        <v>3.97</v>
      </c>
    </row>
    <row r="83" spans="1:3" x14ac:dyDescent="0.25">
      <c r="A83" s="86">
        <v>72</v>
      </c>
      <c r="B83" s="87">
        <v>12.79</v>
      </c>
      <c r="C83" s="87">
        <v>3.94</v>
      </c>
    </row>
    <row r="84" spans="1:3" x14ac:dyDescent="0.25">
      <c r="A84" s="86">
        <v>73</v>
      </c>
      <c r="B84" s="87">
        <v>12.17</v>
      </c>
      <c r="C84" s="87">
        <v>3.9</v>
      </c>
    </row>
    <row r="85" spans="1:3" x14ac:dyDescent="0.25">
      <c r="A85" s="86">
        <v>74</v>
      </c>
      <c r="B85" s="87">
        <v>11.56</v>
      </c>
      <c r="C85" s="87">
        <v>3.74</v>
      </c>
    </row>
  </sheetData>
  <sheetProtection algorithmName="SHA-512" hashValue="GjnSYA/BsLiF+/QskJyrVqHWIMoIGG3/kbuSr1cdNm3Ypp++4NcG+9moylqEGMqCkaM5Q6IIEZzMfwW0EWVurQ==" saltValue="ogmuLTfpSZVeCyO8qazv5g==" spinCount="100000" sheet="1" objects="1" scenarios="1"/>
  <conditionalFormatting sqref="A6:A21">
    <cfRule type="expression" dxfId="773" priority="1" stopIfTrue="1">
      <formula>MOD(ROW(),2)=0</formula>
    </cfRule>
    <cfRule type="expression" dxfId="772" priority="2" stopIfTrue="1">
      <formula>MOD(ROW(),2)&lt;&gt;0</formula>
    </cfRule>
  </conditionalFormatting>
  <conditionalFormatting sqref="A26:A85">
    <cfRule type="expression" dxfId="771" priority="3" stopIfTrue="1">
      <formula>MOD(ROW(),2)=0</formula>
    </cfRule>
    <cfRule type="expression" dxfId="770" priority="4" stopIfTrue="1">
      <formula>MOD(ROW(),2)&lt;&gt;0</formula>
    </cfRule>
  </conditionalFormatting>
  <conditionalFormatting sqref="B17:B19">
    <cfRule type="expression" dxfId="769" priority="7" stopIfTrue="1">
      <formula>MOD(ROW(),2)=0</formula>
    </cfRule>
    <cfRule type="expression" dxfId="768" priority="8" stopIfTrue="1">
      <formula>MOD(ROW(),2)&lt;&gt;0</formula>
    </cfRule>
  </conditionalFormatting>
  <conditionalFormatting sqref="B6:C21">
    <cfRule type="expression" dxfId="767" priority="23" stopIfTrue="1">
      <formula>MOD(ROW(),2)=0</formula>
    </cfRule>
    <cfRule type="expression" dxfId="766" priority="24" stopIfTrue="1">
      <formula>MOD(ROW(),2)&lt;&gt;0</formula>
    </cfRule>
  </conditionalFormatting>
  <conditionalFormatting sqref="B26:C85">
    <cfRule type="expression" dxfId="765" priority="5" stopIfTrue="1">
      <formula>MOD(ROW(),2)=0</formula>
    </cfRule>
    <cfRule type="expression" dxfId="764" priority="6" stopIfTrue="1">
      <formula>MOD(ROW(),2)&lt;&gt;0</formula>
    </cfRule>
  </conditionalFormatting>
  <hyperlinks>
    <hyperlink ref="B24" location="Assumptions!A1" display="Assumptions" xr:uid="{DE14A5A2-63E9-420D-876C-D49F9A4A22E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2"/>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x-214</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129</v>
      </c>
      <c r="C10" s="102"/>
    </row>
    <row r="11" spans="1:7" x14ac:dyDescent="0.25">
      <c r="A11" s="72" t="s">
        <v>81</v>
      </c>
      <c r="B11" s="102" t="s">
        <v>94</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214</v>
      </c>
      <c r="C14" s="102"/>
    </row>
    <row r="15" spans="1:7" x14ac:dyDescent="0.25">
      <c r="A15" s="72" t="s">
        <v>345</v>
      </c>
      <c r="B15" s="102" t="s">
        <v>130</v>
      </c>
      <c r="C15" s="102"/>
    </row>
    <row r="16" spans="1:7" x14ac:dyDescent="0.25">
      <c r="A16" s="72" t="s">
        <v>86</v>
      </c>
      <c r="B16" s="102" t="s">
        <v>131</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7.2</v>
      </c>
      <c r="C27" s="87">
        <v>2.2200000000000002</v>
      </c>
    </row>
    <row r="28" spans="1:3" x14ac:dyDescent="0.25">
      <c r="A28" s="86">
        <v>17</v>
      </c>
      <c r="B28" s="87">
        <v>7.3</v>
      </c>
      <c r="C28" s="87">
        <v>2.4</v>
      </c>
    </row>
    <row r="29" spans="1:3" x14ac:dyDescent="0.25">
      <c r="A29" s="86">
        <v>18</v>
      </c>
      <c r="B29" s="87">
        <v>7.4</v>
      </c>
      <c r="C29" s="87">
        <v>2.59</v>
      </c>
    </row>
    <row r="30" spans="1:3" x14ac:dyDescent="0.25">
      <c r="A30" s="86">
        <v>19</v>
      </c>
      <c r="B30" s="87">
        <v>7.5</v>
      </c>
      <c r="C30" s="87">
        <v>2.71</v>
      </c>
    </row>
    <row r="31" spans="1:3" x14ac:dyDescent="0.25">
      <c r="A31" s="86">
        <v>20</v>
      </c>
      <c r="B31" s="87">
        <v>7.6</v>
      </c>
      <c r="C31" s="87">
        <v>2.75</v>
      </c>
    </row>
    <row r="32" spans="1:3" x14ac:dyDescent="0.25">
      <c r="A32" s="86">
        <v>21</v>
      </c>
      <c r="B32" s="87">
        <v>7.7</v>
      </c>
      <c r="C32" s="87">
        <v>2.8</v>
      </c>
    </row>
    <row r="33" spans="1:3" x14ac:dyDescent="0.25">
      <c r="A33" s="86">
        <v>22</v>
      </c>
      <c r="B33" s="87">
        <v>7.81</v>
      </c>
      <c r="C33" s="87">
        <v>2.85</v>
      </c>
    </row>
    <row r="34" spans="1:3" x14ac:dyDescent="0.25">
      <c r="A34" s="86">
        <v>23</v>
      </c>
      <c r="B34" s="87">
        <v>7.91</v>
      </c>
      <c r="C34" s="87">
        <v>2.89</v>
      </c>
    </row>
    <row r="35" spans="1:3" x14ac:dyDescent="0.25">
      <c r="A35" s="86">
        <v>24</v>
      </c>
      <c r="B35" s="87">
        <v>8.02</v>
      </c>
      <c r="C35" s="87">
        <v>2.94</v>
      </c>
    </row>
    <row r="36" spans="1:3" x14ac:dyDescent="0.25">
      <c r="A36" s="86">
        <v>25</v>
      </c>
      <c r="B36" s="87">
        <v>8.1199999999999992</v>
      </c>
      <c r="C36" s="87">
        <v>2.99</v>
      </c>
    </row>
    <row r="37" spans="1:3" x14ac:dyDescent="0.25">
      <c r="A37" s="86">
        <v>26</v>
      </c>
      <c r="B37" s="87">
        <v>8.23</v>
      </c>
      <c r="C37" s="87">
        <v>3.04</v>
      </c>
    </row>
    <row r="38" spans="1:3" x14ac:dyDescent="0.25">
      <c r="A38" s="86">
        <v>27</v>
      </c>
      <c r="B38" s="87">
        <v>8.35</v>
      </c>
      <c r="C38" s="87">
        <v>3.09</v>
      </c>
    </row>
    <row r="39" spans="1:3" x14ac:dyDescent="0.25">
      <c r="A39" s="86">
        <v>28</v>
      </c>
      <c r="B39" s="87">
        <v>8.4600000000000009</v>
      </c>
      <c r="C39" s="87">
        <v>3.13</v>
      </c>
    </row>
    <row r="40" spans="1:3" x14ac:dyDescent="0.25">
      <c r="A40" s="86">
        <v>29</v>
      </c>
      <c r="B40" s="87">
        <v>8.57</v>
      </c>
      <c r="C40" s="87">
        <v>3.18</v>
      </c>
    </row>
    <row r="41" spans="1:3" x14ac:dyDescent="0.25">
      <c r="A41" s="86">
        <v>30</v>
      </c>
      <c r="B41" s="87">
        <v>8.69</v>
      </c>
      <c r="C41" s="87">
        <v>3.23</v>
      </c>
    </row>
    <row r="42" spans="1:3" x14ac:dyDescent="0.25">
      <c r="A42" s="86">
        <v>31</v>
      </c>
      <c r="B42" s="87">
        <v>8.81</v>
      </c>
      <c r="C42" s="87">
        <v>3.28</v>
      </c>
    </row>
    <row r="43" spans="1:3" x14ac:dyDescent="0.25">
      <c r="A43" s="86">
        <v>32</v>
      </c>
      <c r="B43" s="87">
        <v>8.93</v>
      </c>
      <c r="C43" s="87">
        <v>3.33</v>
      </c>
    </row>
    <row r="44" spans="1:3" x14ac:dyDescent="0.25">
      <c r="A44" s="86">
        <v>33</v>
      </c>
      <c r="B44" s="87">
        <v>9.0500000000000007</v>
      </c>
      <c r="C44" s="87">
        <v>3.37</v>
      </c>
    </row>
    <row r="45" spans="1:3" x14ac:dyDescent="0.25">
      <c r="A45" s="86">
        <v>34</v>
      </c>
      <c r="B45" s="87">
        <v>9.17</v>
      </c>
      <c r="C45" s="87">
        <v>3.42</v>
      </c>
    </row>
    <row r="46" spans="1:3" x14ac:dyDescent="0.25">
      <c r="A46" s="86">
        <v>35</v>
      </c>
      <c r="B46" s="87">
        <v>9.3000000000000007</v>
      </c>
      <c r="C46" s="87">
        <v>3.47</v>
      </c>
    </row>
    <row r="47" spans="1:3" x14ac:dyDescent="0.25">
      <c r="A47" s="86">
        <v>36</v>
      </c>
      <c r="B47" s="87">
        <v>9.43</v>
      </c>
      <c r="C47" s="87">
        <v>3.51</v>
      </c>
    </row>
    <row r="48" spans="1:3" x14ac:dyDescent="0.25">
      <c r="A48" s="86">
        <v>37</v>
      </c>
      <c r="B48" s="87">
        <v>9.56</v>
      </c>
      <c r="C48" s="87">
        <v>3.56</v>
      </c>
    </row>
    <row r="49" spans="1:3" x14ac:dyDescent="0.25">
      <c r="A49" s="86">
        <v>38</v>
      </c>
      <c r="B49" s="87">
        <v>9.69</v>
      </c>
      <c r="C49" s="87">
        <v>3.6</v>
      </c>
    </row>
    <row r="50" spans="1:3" x14ac:dyDescent="0.25">
      <c r="A50" s="86">
        <v>39</v>
      </c>
      <c r="B50" s="87">
        <v>9.83</v>
      </c>
      <c r="C50" s="87">
        <v>3.65</v>
      </c>
    </row>
    <row r="51" spans="1:3" x14ac:dyDescent="0.25">
      <c r="A51" s="86">
        <v>40</v>
      </c>
      <c r="B51" s="87">
        <v>9.9600000000000009</v>
      </c>
      <c r="C51" s="87">
        <v>3.69</v>
      </c>
    </row>
    <row r="52" spans="1:3" x14ac:dyDescent="0.25">
      <c r="A52" s="86">
        <v>41</v>
      </c>
      <c r="B52" s="87">
        <v>10.1</v>
      </c>
      <c r="C52" s="87">
        <v>3.73</v>
      </c>
    </row>
    <row r="53" spans="1:3" x14ac:dyDescent="0.25">
      <c r="A53" s="86">
        <v>42</v>
      </c>
      <c r="B53" s="87">
        <v>10.25</v>
      </c>
      <c r="C53" s="87">
        <v>3.78</v>
      </c>
    </row>
    <row r="54" spans="1:3" x14ac:dyDescent="0.25">
      <c r="A54" s="86">
        <v>43</v>
      </c>
      <c r="B54" s="87">
        <v>10.39</v>
      </c>
      <c r="C54" s="87">
        <v>3.82</v>
      </c>
    </row>
    <row r="55" spans="1:3" x14ac:dyDescent="0.25">
      <c r="A55" s="86">
        <v>44</v>
      </c>
      <c r="B55" s="87">
        <v>10.54</v>
      </c>
      <c r="C55" s="87">
        <v>3.86</v>
      </c>
    </row>
    <row r="56" spans="1:3" x14ac:dyDescent="0.25">
      <c r="A56" s="86">
        <v>45</v>
      </c>
      <c r="B56" s="87">
        <v>10.7</v>
      </c>
      <c r="C56" s="87">
        <v>3.89</v>
      </c>
    </row>
    <row r="57" spans="1:3" x14ac:dyDescent="0.25">
      <c r="A57" s="86">
        <v>46</v>
      </c>
      <c r="B57" s="87">
        <v>10.85</v>
      </c>
      <c r="C57" s="87">
        <v>3.93</v>
      </c>
    </row>
    <row r="58" spans="1:3" x14ac:dyDescent="0.25">
      <c r="A58" s="86">
        <v>47</v>
      </c>
      <c r="B58" s="87">
        <v>11.01</v>
      </c>
      <c r="C58" s="87">
        <v>3.96</v>
      </c>
    </row>
    <row r="59" spans="1:3" x14ac:dyDescent="0.25">
      <c r="A59" s="86">
        <v>48</v>
      </c>
      <c r="B59" s="87">
        <v>11.18</v>
      </c>
      <c r="C59" s="87">
        <v>4</v>
      </c>
    </row>
    <row r="60" spans="1:3" x14ac:dyDescent="0.25">
      <c r="A60" s="86">
        <v>49</v>
      </c>
      <c r="B60" s="87">
        <v>11.34</v>
      </c>
      <c r="C60" s="87">
        <v>4.03</v>
      </c>
    </row>
    <row r="61" spans="1:3" x14ac:dyDescent="0.25">
      <c r="A61" s="86">
        <v>50</v>
      </c>
      <c r="B61" s="87">
        <v>11.52</v>
      </c>
      <c r="C61" s="87">
        <v>4.0599999999999996</v>
      </c>
    </row>
    <row r="62" spans="1:3" x14ac:dyDescent="0.25">
      <c r="A62" s="86">
        <v>51</v>
      </c>
      <c r="B62" s="87">
        <v>11.69</v>
      </c>
      <c r="C62" s="87">
        <v>4.09</v>
      </c>
    </row>
    <row r="63" spans="1:3" x14ac:dyDescent="0.25">
      <c r="A63" s="86">
        <v>52</v>
      </c>
      <c r="B63" s="87">
        <v>11.87</v>
      </c>
      <c r="C63" s="87">
        <v>4.1100000000000003</v>
      </c>
    </row>
    <row r="64" spans="1:3" x14ac:dyDescent="0.25">
      <c r="A64" s="86">
        <v>53</v>
      </c>
      <c r="B64" s="87">
        <v>12.06</v>
      </c>
      <c r="C64" s="87">
        <v>4.1399999999999997</v>
      </c>
    </row>
    <row r="65" spans="1:3" x14ac:dyDescent="0.25">
      <c r="A65" s="86">
        <v>54</v>
      </c>
      <c r="B65" s="87">
        <v>12.25</v>
      </c>
      <c r="C65" s="87">
        <v>4.16</v>
      </c>
    </row>
    <row r="66" spans="1:3" x14ac:dyDescent="0.25">
      <c r="A66" s="86">
        <v>55</v>
      </c>
      <c r="B66" s="87">
        <v>12.45</v>
      </c>
      <c r="C66" s="87">
        <v>4.1900000000000004</v>
      </c>
    </row>
    <row r="67" spans="1:3" x14ac:dyDescent="0.25">
      <c r="A67" s="86">
        <v>56</v>
      </c>
      <c r="B67" s="87">
        <v>12.65</v>
      </c>
      <c r="C67" s="87">
        <v>4.2</v>
      </c>
    </row>
    <row r="68" spans="1:3" x14ac:dyDescent="0.25">
      <c r="A68" s="86">
        <v>57</v>
      </c>
      <c r="B68" s="87">
        <v>12.86</v>
      </c>
      <c r="C68" s="87">
        <v>4.22</v>
      </c>
    </row>
    <row r="69" spans="1:3" x14ac:dyDescent="0.25">
      <c r="A69" s="86">
        <v>58</v>
      </c>
      <c r="B69" s="87">
        <v>13.08</v>
      </c>
      <c r="C69" s="87">
        <v>4.24</v>
      </c>
    </row>
    <row r="70" spans="1:3" x14ac:dyDescent="0.25">
      <c r="A70" s="86">
        <v>59</v>
      </c>
      <c r="B70" s="87">
        <v>13.3</v>
      </c>
      <c r="C70" s="87">
        <v>4.25</v>
      </c>
    </row>
    <row r="71" spans="1:3" x14ac:dyDescent="0.25">
      <c r="A71" s="86">
        <v>60</v>
      </c>
      <c r="B71" s="87">
        <v>13.54</v>
      </c>
      <c r="C71" s="87">
        <v>4.25</v>
      </c>
    </row>
    <row r="72" spans="1:3" x14ac:dyDescent="0.25">
      <c r="A72" s="86">
        <v>61</v>
      </c>
      <c r="B72" s="87">
        <v>13.78</v>
      </c>
      <c r="C72" s="87">
        <v>4.26</v>
      </c>
    </row>
    <row r="73" spans="1:3" x14ac:dyDescent="0.25">
      <c r="A73" s="86">
        <v>62</v>
      </c>
      <c r="B73" s="87">
        <v>14.04</v>
      </c>
      <c r="C73" s="87">
        <v>4.26</v>
      </c>
    </row>
    <row r="74" spans="1:3" x14ac:dyDescent="0.25">
      <c r="A74" s="86">
        <v>63</v>
      </c>
      <c r="B74" s="87">
        <v>14.31</v>
      </c>
      <c r="C74" s="87">
        <v>4.25</v>
      </c>
    </row>
    <row r="75" spans="1:3" x14ac:dyDescent="0.25">
      <c r="A75" s="86">
        <v>64</v>
      </c>
      <c r="B75" s="87">
        <v>14.6</v>
      </c>
      <c r="C75" s="87">
        <v>4.24</v>
      </c>
    </row>
    <row r="76" spans="1:3" x14ac:dyDescent="0.25">
      <c r="A76" s="86">
        <v>65</v>
      </c>
      <c r="B76" s="87">
        <v>14.9</v>
      </c>
      <c r="C76" s="87">
        <v>4.22</v>
      </c>
    </row>
    <row r="77" spans="1:3" x14ac:dyDescent="0.25">
      <c r="A77" s="86">
        <v>66</v>
      </c>
      <c r="B77" s="87">
        <v>15.23</v>
      </c>
      <c r="C77" s="87">
        <v>4.1900000000000004</v>
      </c>
    </row>
    <row r="78" spans="1:3" x14ac:dyDescent="0.25">
      <c r="A78" s="86">
        <v>67</v>
      </c>
      <c r="B78" s="87">
        <v>15.58</v>
      </c>
      <c r="C78" s="87">
        <v>4.16</v>
      </c>
    </row>
    <row r="79" spans="1:3" x14ac:dyDescent="0.25">
      <c r="A79" s="86">
        <v>68</v>
      </c>
      <c r="B79" s="87">
        <v>15.42</v>
      </c>
      <c r="C79" s="87">
        <v>4.1399999999999997</v>
      </c>
    </row>
    <row r="80" spans="1:3" x14ac:dyDescent="0.25">
      <c r="A80" s="86">
        <v>69</v>
      </c>
      <c r="B80" s="87">
        <v>14.75</v>
      </c>
      <c r="C80" s="87">
        <v>4.07</v>
      </c>
    </row>
    <row r="81" spans="1:3" x14ac:dyDescent="0.25">
      <c r="A81" s="86">
        <v>70</v>
      </c>
      <c r="B81" s="87">
        <v>14.09</v>
      </c>
      <c r="C81" s="87">
        <v>4</v>
      </c>
    </row>
    <row r="82" spans="1:3" x14ac:dyDescent="0.25">
      <c r="A82" s="86">
        <v>71</v>
      </c>
      <c r="B82" s="87">
        <v>13.43</v>
      </c>
      <c r="C82" s="87">
        <v>3.97</v>
      </c>
    </row>
    <row r="83" spans="1:3" x14ac:dyDescent="0.25">
      <c r="A83" s="86">
        <v>72</v>
      </c>
      <c r="B83" s="87">
        <v>12.8</v>
      </c>
      <c r="C83" s="87">
        <v>3.94</v>
      </c>
    </row>
    <row r="84" spans="1:3" x14ac:dyDescent="0.25">
      <c r="A84" s="86">
        <v>73</v>
      </c>
      <c r="B84" s="87">
        <v>12.17</v>
      </c>
      <c r="C84" s="87">
        <v>3.9</v>
      </c>
    </row>
    <row r="85" spans="1:3" x14ac:dyDescent="0.25">
      <c r="A85" s="86">
        <v>74</v>
      </c>
      <c r="B85" s="87">
        <v>11.56</v>
      </c>
      <c r="C85" s="87">
        <v>3.74</v>
      </c>
    </row>
  </sheetData>
  <sheetProtection algorithmName="SHA-512" hashValue="KHaqwlirqu688a4pehrIq6c3et4+qznFDMPXdz9o5re5p9BqMOIo+P4kScGLZShF+5FrwqpZGd8FRyQDuaQEPQ==" saltValue="vurcLbMJo6SbIuADD53NLg==" spinCount="100000" sheet="1" objects="1" scenarios="1"/>
  <conditionalFormatting sqref="A6:A21">
    <cfRule type="expression" dxfId="763" priority="1" stopIfTrue="1">
      <formula>MOD(ROW(),2)=0</formula>
    </cfRule>
    <cfRule type="expression" dxfId="762" priority="2" stopIfTrue="1">
      <formula>MOD(ROW(),2)&lt;&gt;0</formula>
    </cfRule>
  </conditionalFormatting>
  <conditionalFormatting sqref="A26:A85">
    <cfRule type="expression" dxfId="761" priority="3" stopIfTrue="1">
      <formula>MOD(ROW(),2)=0</formula>
    </cfRule>
    <cfRule type="expression" dxfId="760" priority="4" stopIfTrue="1">
      <formula>MOD(ROW(),2)&lt;&gt;0</formula>
    </cfRule>
  </conditionalFormatting>
  <conditionalFormatting sqref="B17:B19">
    <cfRule type="expression" dxfId="759" priority="7" stopIfTrue="1">
      <formula>MOD(ROW(),2)=0</formula>
    </cfRule>
    <cfRule type="expression" dxfId="758" priority="8" stopIfTrue="1">
      <formula>MOD(ROW(),2)&lt;&gt;0</formula>
    </cfRule>
  </conditionalFormatting>
  <conditionalFormatting sqref="B6:C21">
    <cfRule type="expression" dxfId="757" priority="23" stopIfTrue="1">
      <formula>MOD(ROW(),2)=0</formula>
    </cfRule>
    <cfRule type="expression" dxfId="756" priority="24" stopIfTrue="1">
      <formula>MOD(ROW(),2)&lt;&gt;0</formula>
    </cfRule>
  </conditionalFormatting>
  <conditionalFormatting sqref="B26:C85">
    <cfRule type="expression" dxfId="755" priority="5" stopIfTrue="1">
      <formula>MOD(ROW(),2)=0</formula>
    </cfRule>
    <cfRule type="expression" dxfId="754" priority="6" stopIfTrue="1">
      <formula>MOD(ROW(),2)&lt;&gt;0</formula>
    </cfRule>
  </conditionalFormatting>
  <hyperlinks>
    <hyperlink ref="B24" location="Assumptions!A1" display="Assumptions" xr:uid="{972BF17C-DB3D-4955-AAC5-93AF957FAB9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3"/>
  <dimension ref="A1:G85"/>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4.5546875" style="27" customWidth="1"/>
    <col min="3" max="3" width="25.4414062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x-215</v>
      </c>
      <c r="B3" s="42"/>
      <c r="C3" s="42"/>
      <c r="D3" s="42"/>
      <c r="E3" s="42"/>
      <c r="F3" s="42"/>
      <c r="G3" s="42"/>
    </row>
    <row r="4" spans="1:7" x14ac:dyDescent="0.25">
      <c r="A4" s="44"/>
    </row>
    <row r="6" spans="1:7" x14ac:dyDescent="0.25">
      <c r="A6" s="146" t="s">
        <v>334</v>
      </c>
      <c r="B6" s="102" t="s">
        <v>335</v>
      </c>
      <c r="C6" s="102"/>
    </row>
    <row r="7" spans="1:7" x14ac:dyDescent="0.25">
      <c r="A7" s="72" t="s">
        <v>78</v>
      </c>
      <c r="B7" s="102" t="s">
        <v>67</v>
      </c>
      <c r="C7" s="102"/>
    </row>
    <row r="8" spans="1:7" x14ac:dyDescent="0.25">
      <c r="A8" s="72" t="s">
        <v>79</v>
      </c>
      <c r="B8" s="102">
        <v>2015</v>
      </c>
      <c r="C8" s="102"/>
    </row>
    <row r="9" spans="1:7" x14ac:dyDescent="0.25">
      <c r="A9" s="72" t="s">
        <v>80</v>
      </c>
      <c r="B9" s="102" t="s">
        <v>92</v>
      </c>
      <c r="C9" s="102"/>
    </row>
    <row r="10" spans="1:7" x14ac:dyDescent="0.25">
      <c r="A10" s="72" t="s">
        <v>6</v>
      </c>
      <c r="B10" s="102" t="s">
        <v>129</v>
      </c>
      <c r="C10" s="102"/>
    </row>
    <row r="11" spans="1:7" x14ac:dyDescent="0.25">
      <c r="A11" s="72" t="s">
        <v>81</v>
      </c>
      <c r="B11" s="102" t="s">
        <v>100</v>
      </c>
      <c r="C11" s="102"/>
    </row>
    <row r="12" spans="1:7" x14ac:dyDescent="0.25">
      <c r="A12" s="72" t="s">
        <v>82</v>
      </c>
      <c r="B12" s="102" t="s">
        <v>95</v>
      </c>
      <c r="C12" s="102"/>
    </row>
    <row r="13" spans="1:7" hidden="1" x14ac:dyDescent="0.25">
      <c r="A13" s="72" t="s">
        <v>342</v>
      </c>
      <c r="B13" s="102">
        <v>0</v>
      </c>
      <c r="C13" s="102"/>
    </row>
    <row r="14" spans="1:7" hidden="1" x14ac:dyDescent="0.25">
      <c r="A14" s="72" t="s">
        <v>84</v>
      </c>
      <c r="B14" s="102">
        <v>215</v>
      </c>
      <c r="C14" s="102"/>
    </row>
    <row r="15" spans="1:7" x14ac:dyDescent="0.25">
      <c r="A15" s="72" t="s">
        <v>345</v>
      </c>
      <c r="B15" s="102" t="s">
        <v>132</v>
      </c>
      <c r="C15" s="102"/>
    </row>
    <row r="16" spans="1:7" x14ac:dyDescent="0.25">
      <c r="A16" s="72" t="s">
        <v>86</v>
      </c>
      <c r="B16" s="102" t="s">
        <v>133</v>
      </c>
      <c r="C16" s="102"/>
    </row>
    <row r="17" spans="1:3" x14ac:dyDescent="0.25">
      <c r="A17" s="72" t="s">
        <v>414</v>
      </c>
      <c r="B17" s="102"/>
      <c r="C17" s="102"/>
    </row>
    <row r="18" spans="1:3" x14ac:dyDescent="0.25">
      <c r="A18" s="72" t="s">
        <v>88</v>
      </c>
      <c r="B18" s="150">
        <v>45070</v>
      </c>
      <c r="C18" s="102"/>
    </row>
    <row r="19" spans="1:3" x14ac:dyDescent="0.25">
      <c r="A19" s="72" t="s">
        <v>89</v>
      </c>
      <c r="B19" s="150">
        <v>45014</v>
      </c>
      <c r="C19" s="102"/>
    </row>
    <row r="20" spans="1:3" x14ac:dyDescent="0.25">
      <c r="A20" s="72" t="s">
        <v>90</v>
      </c>
      <c r="B20" s="102" t="s">
        <v>98</v>
      </c>
      <c r="C20" s="102"/>
    </row>
    <row r="21" spans="1:3" x14ac:dyDescent="0.25">
      <c r="A21" s="72" t="s">
        <v>91</v>
      </c>
      <c r="B21" s="102" t="s">
        <v>99</v>
      </c>
      <c r="C21" s="102"/>
    </row>
    <row r="23" spans="1:3" x14ac:dyDescent="0.25">
      <c r="B23" s="89" t="str">
        <f>HYPERLINK("#'Factor List'!A1","Back to Factor List")</f>
        <v>Back to Factor List</v>
      </c>
    </row>
    <row r="24" spans="1:3" x14ac:dyDescent="0.25">
      <c r="B24" s="89" t="s">
        <v>13</v>
      </c>
    </row>
    <row r="26" spans="1:3" ht="26.4" x14ac:dyDescent="0.25">
      <c r="A26" s="85" t="s">
        <v>415</v>
      </c>
      <c r="B26" s="85" t="s">
        <v>421</v>
      </c>
      <c r="C26" s="85" t="s">
        <v>422</v>
      </c>
    </row>
    <row r="27" spans="1:3" x14ac:dyDescent="0.25">
      <c r="A27" s="86">
        <v>16</v>
      </c>
      <c r="B27" s="87">
        <v>7.2</v>
      </c>
      <c r="C27" s="87">
        <v>2.2200000000000002</v>
      </c>
    </row>
    <row r="28" spans="1:3" x14ac:dyDescent="0.25">
      <c r="A28" s="86">
        <v>17</v>
      </c>
      <c r="B28" s="87">
        <v>7.3</v>
      </c>
      <c r="C28" s="87">
        <v>2.4</v>
      </c>
    </row>
    <row r="29" spans="1:3" x14ac:dyDescent="0.25">
      <c r="A29" s="86">
        <v>18</v>
      </c>
      <c r="B29" s="87">
        <v>7.4</v>
      </c>
      <c r="C29" s="87">
        <v>2.59</v>
      </c>
    </row>
    <row r="30" spans="1:3" x14ac:dyDescent="0.25">
      <c r="A30" s="86">
        <v>19</v>
      </c>
      <c r="B30" s="87">
        <v>7.5</v>
      </c>
      <c r="C30" s="87">
        <v>2.71</v>
      </c>
    </row>
    <row r="31" spans="1:3" x14ac:dyDescent="0.25">
      <c r="A31" s="86">
        <v>20</v>
      </c>
      <c r="B31" s="87">
        <v>7.6</v>
      </c>
      <c r="C31" s="87">
        <v>2.75</v>
      </c>
    </row>
    <row r="32" spans="1:3" x14ac:dyDescent="0.25">
      <c r="A32" s="86">
        <v>21</v>
      </c>
      <c r="B32" s="87">
        <v>7.7</v>
      </c>
      <c r="C32" s="87">
        <v>2.8</v>
      </c>
    </row>
    <row r="33" spans="1:3" x14ac:dyDescent="0.25">
      <c r="A33" s="86">
        <v>22</v>
      </c>
      <c r="B33" s="87">
        <v>7.81</v>
      </c>
      <c r="C33" s="87">
        <v>2.85</v>
      </c>
    </row>
    <row r="34" spans="1:3" x14ac:dyDescent="0.25">
      <c r="A34" s="86">
        <v>23</v>
      </c>
      <c r="B34" s="87">
        <v>7.91</v>
      </c>
      <c r="C34" s="87">
        <v>2.89</v>
      </c>
    </row>
    <row r="35" spans="1:3" x14ac:dyDescent="0.25">
      <c r="A35" s="86">
        <v>24</v>
      </c>
      <c r="B35" s="87">
        <v>8.02</v>
      </c>
      <c r="C35" s="87">
        <v>2.94</v>
      </c>
    </row>
    <row r="36" spans="1:3" x14ac:dyDescent="0.25">
      <c r="A36" s="86">
        <v>25</v>
      </c>
      <c r="B36" s="87">
        <v>8.1199999999999992</v>
      </c>
      <c r="C36" s="87">
        <v>2.99</v>
      </c>
    </row>
    <row r="37" spans="1:3" x14ac:dyDescent="0.25">
      <c r="A37" s="86">
        <v>26</v>
      </c>
      <c r="B37" s="87">
        <v>8.23</v>
      </c>
      <c r="C37" s="87">
        <v>3.04</v>
      </c>
    </row>
    <row r="38" spans="1:3" x14ac:dyDescent="0.25">
      <c r="A38" s="86">
        <v>27</v>
      </c>
      <c r="B38" s="87">
        <v>8.35</v>
      </c>
      <c r="C38" s="87">
        <v>3.09</v>
      </c>
    </row>
    <row r="39" spans="1:3" x14ac:dyDescent="0.25">
      <c r="A39" s="86">
        <v>28</v>
      </c>
      <c r="B39" s="87">
        <v>8.4600000000000009</v>
      </c>
      <c r="C39" s="87">
        <v>3.13</v>
      </c>
    </row>
    <row r="40" spans="1:3" x14ac:dyDescent="0.25">
      <c r="A40" s="86">
        <v>29</v>
      </c>
      <c r="B40" s="87">
        <v>8.57</v>
      </c>
      <c r="C40" s="87">
        <v>3.18</v>
      </c>
    </row>
    <row r="41" spans="1:3" x14ac:dyDescent="0.25">
      <c r="A41" s="86">
        <v>30</v>
      </c>
      <c r="B41" s="87">
        <v>8.69</v>
      </c>
      <c r="C41" s="87">
        <v>3.23</v>
      </c>
    </row>
    <row r="42" spans="1:3" x14ac:dyDescent="0.25">
      <c r="A42" s="86">
        <v>31</v>
      </c>
      <c r="B42" s="87">
        <v>8.81</v>
      </c>
      <c r="C42" s="87">
        <v>3.28</v>
      </c>
    </row>
    <row r="43" spans="1:3" x14ac:dyDescent="0.25">
      <c r="A43" s="86">
        <v>32</v>
      </c>
      <c r="B43" s="87">
        <v>8.93</v>
      </c>
      <c r="C43" s="87">
        <v>3.33</v>
      </c>
    </row>
    <row r="44" spans="1:3" x14ac:dyDescent="0.25">
      <c r="A44" s="86">
        <v>33</v>
      </c>
      <c r="B44" s="87">
        <v>9.0500000000000007</v>
      </c>
      <c r="C44" s="87">
        <v>3.37</v>
      </c>
    </row>
    <row r="45" spans="1:3" x14ac:dyDescent="0.25">
      <c r="A45" s="86">
        <v>34</v>
      </c>
      <c r="B45" s="87">
        <v>9.17</v>
      </c>
      <c r="C45" s="87">
        <v>3.42</v>
      </c>
    </row>
    <row r="46" spans="1:3" x14ac:dyDescent="0.25">
      <c r="A46" s="86">
        <v>35</v>
      </c>
      <c r="B46" s="87">
        <v>9.3000000000000007</v>
      </c>
      <c r="C46" s="87">
        <v>3.47</v>
      </c>
    </row>
    <row r="47" spans="1:3" x14ac:dyDescent="0.25">
      <c r="A47" s="86">
        <v>36</v>
      </c>
      <c r="B47" s="87">
        <v>9.43</v>
      </c>
      <c r="C47" s="87">
        <v>3.51</v>
      </c>
    </row>
    <row r="48" spans="1:3" x14ac:dyDescent="0.25">
      <c r="A48" s="86">
        <v>37</v>
      </c>
      <c r="B48" s="87">
        <v>9.56</v>
      </c>
      <c r="C48" s="87">
        <v>3.56</v>
      </c>
    </row>
    <row r="49" spans="1:3" x14ac:dyDescent="0.25">
      <c r="A49" s="86">
        <v>38</v>
      </c>
      <c r="B49" s="87">
        <v>9.69</v>
      </c>
      <c r="C49" s="87">
        <v>3.6</v>
      </c>
    </row>
    <row r="50" spans="1:3" x14ac:dyDescent="0.25">
      <c r="A50" s="86">
        <v>39</v>
      </c>
      <c r="B50" s="87">
        <v>9.83</v>
      </c>
      <c r="C50" s="87">
        <v>3.65</v>
      </c>
    </row>
    <row r="51" spans="1:3" x14ac:dyDescent="0.25">
      <c r="A51" s="86">
        <v>40</v>
      </c>
      <c r="B51" s="87">
        <v>9.9600000000000009</v>
      </c>
      <c r="C51" s="87">
        <v>3.69</v>
      </c>
    </row>
    <row r="52" spans="1:3" x14ac:dyDescent="0.25">
      <c r="A52" s="86">
        <v>41</v>
      </c>
      <c r="B52" s="87">
        <v>10.1</v>
      </c>
      <c r="C52" s="87">
        <v>3.73</v>
      </c>
    </row>
    <row r="53" spans="1:3" x14ac:dyDescent="0.25">
      <c r="A53" s="86">
        <v>42</v>
      </c>
      <c r="B53" s="87">
        <v>10.25</v>
      </c>
      <c r="C53" s="87">
        <v>3.78</v>
      </c>
    </row>
    <row r="54" spans="1:3" x14ac:dyDescent="0.25">
      <c r="A54" s="86">
        <v>43</v>
      </c>
      <c r="B54" s="87">
        <v>10.39</v>
      </c>
      <c r="C54" s="87">
        <v>3.82</v>
      </c>
    </row>
    <row r="55" spans="1:3" x14ac:dyDescent="0.25">
      <c r="A55" s="86">
        <v>44</v>
      </c>
      <c r="B55" s="87">
        <v>10.54</v>
      </c>
      <c r="C55" s="87">
        <v>3.86</v>
      </c>
    </row>
    <row r="56" spans="1:3" x14ac:dyDescent="0.25">
      <c r="A56" s="86">
        <v>45</v>
      </c>
      <c r="B56" s="87">
        <v>10.7</v>
      </c>
      <c r="C56" s="87">
        <v>3.89</v>
      </c>
    </row>
    <row r="57" spans="1:3" x14ac:dyDescent="0.25">
      <c r="A57" s="86">
        <v>46</v>
      </c>
      <c r="B57" s="87">
        <v>10.85</v>
      </c>
      <c r="C57" s="87">
        <v>3.93</v>
      </c>
    </row>
    <row r="58" spans="1:3" x14ac:dyDescent="0.25">
      <c r="A58" s="86">
        <v>47</v>
      </c>
      <c r="B58" s="87">
        <v>11.01</v>
      </c>
      <c r="C58" s="87">
        <v>3.96</v>
      </c>
    </row>
    <row r="59" spans="1:3" x14ac:dyDescent="0.25">
      <c r="A59" s="86">
        <v>48</v>
      </c>
      <c r="B59" s="87">
        <v>11.18</v>
      </c>
      <c r="C59" s="87">
        <v>4</v>
      </c>
    </row>
    <row r="60" spans="1:3" x14ac:dyDescent="0.25">
      <c r="A60" s="86">
        <v>49</v>
      </c>
      <c r="B60" s="87">
        <v>11.34</v>
      </c>
      <c r="C60" s="87">
        <v>4.03</v>
      </c>
    </row>
    <row r="61" spans="1:3" x14ac:dyDescent="0.25">
      <c r="A61" s="86">
        <v>50</v>
      </c>
      <c r="B61" s="87">
        <v>11.52</v>
      </c>
      <c r="C61" s="87">
        <v>4.0599999999999996</v>
      </c>
    </row>
    <row r="62" spans="1:3" x14ac:dyDescent="0.25">
      <c r="A62" s="86">
        <v>51</v>
      </c>
      <c r="B62" s="87">
        <v>11.69</v>
      </c>
      <c r="C62" s="87">
        <v>4.09</v>
      </c>
    </row>
    <row r="63" spans="1:3" x14ac:dyDescent="0.25">
      <c r="A63" s="86">
        <v>52</v>
      </c>
      <c r="B63" s="87">
        <v>11.87</v>
      </c>
      <c r="C63" s="87">
        <v>4.1100000000000003</v>
      </c>
    </row>
    <row r="64" spans="1:3" x14ac:dyDescent="0.25">
      <c r="A64" s="86">
        <v>53</v>
      </c>
      <c r="B64" s="87">
        <v>12.06</v>
      </c>
      <c r="C64" s="87">
        <v>4.1399999999999997</v>
      </c>
    </row>
    <row r="65" spans="1:3" x14ac:dyDescent="0.25">
      <c r="A65" s="86">
        <v>54</v>
      </c>
      <c r="B65" s="87">
        <v>12.25</v>
      </c>
      <c r="C65" s="87">
        <v>4.16</v>
      </c>
    </row>
    <row r="66" spans="1:3" x14ac:dyDescent="0.25">
      <c r="A66" s="86">
        <v>55</v>
      </c>
      <c r="B66" s="87">
        <v>12.45</v>
      </c>
      <c r="C66" s="87">
        <v>4.1900000000000004</v>
      </c>
    </row>
    <row r="67" spans="1:3" x14ac:dyDescent="0.25">
      <c r="A67" s="86">
        <v>56</v>
      </c>
      <c r="B67" s="87">
        <v>12.65</v>
      </c>
      <c r="C67" s="87">
        <v>4.2</v>
      </c>
    </row>
    <row r="68" spans="1:3" x14ac:dyDescent="0.25">
      <c r="A68" s="86">
        <v>57</v>
      </c>
      <c r="B68" s="87">
        <v>12.86</v>
      </c>
      <c r="C68" s="87">
        <v>4.22</v>
      </c>
    </row>
    <row r="69" spans="1:3" x14ac:dyDescent="0.25">
      <c r="A69" s="86">
        <v>58</v>
      </c>
      <c r="B69" s="87">
        <v>13.08</v>
      </c>
      <c r="C69" s="87">
        <v>4.24</v>
      </c>
    </row>
    <row r="70" spans="1:3" x14ac:dyDescent="0.25">
      <c r="A70" s="86">
        <v>59</v>
      </c>
      <c r="B70" s="87">
        <v>13.3</v>
      </c>
      <c r="C70" s="87">
        <v>4.25</v>
      </c>
    </row>
    <row r="71" spans="1:3" x14ac:dyDescent="0.25">
      <c r="A71" s="86">
        <v>60</v>
      </c>
      <c r="B71" s="87">
        <v>13.54</v>
      </c>
      <c r="C71" s="87">
        <v>4.25</v>
      </c>
    </row>
    <row r="72" spans="1:3" x14ac:dyDescent="0.25">
      <c r="A72" s="86">
        <v>61</v>
      </c>
      <c r="B72" s="87">
        <v>13.78</v>
      </c>
      <c r="C72" s="87">
        <v>4.26</v>
      </c>
    </row>
    <row r="73" spans="1:3" x14ac:dyDescent="0.25">
      <c r="A73" s="86">
        <v>62</v>
      </c>
      <c r="B73" s="87">
        <v>14.04</v>
      </c>
      <c r="C73" s="87">
        <v>4.26</v>
      </c>
    </row>
    <row r="74" spans="1:3" x14ac:dyDescent="0.25">
      <c r="A74" s="86">
        <v>63</v>
      </c>
      <c r="B74" s="87">
        <v>14.31</v>
      </c>
      <c r="C74" s="87">
        <v>4.25</v>
      </c>
    </row>
    <row r="75" spans="1:3" x14ac:dyDescent="0.25">
      <c r="A75" s="86">
        <v>64</v>
      </c>
      <c r="B75" s="87">
        <v>14.6</v>
      </c>
      <c r="C75" s="87">
        <v>4.24</v>
      </c>
    </row>
    <row r="76" spans="1:3" x14ac:dyDescent="0.25">
      <c r="A76" s="86">
        <v>65</v>
      </c>
      <c r="B76" s="87">
        <v>14.9</v>
      </c>
      <c r="C76" s="87">
        <v>4.22</v>
      </c>
    </row>
    <row r="77" spans="1:3" x14ac:dyDescent="0.25">
      <c r="A77" s="86">
        <v>66</v>
      </c>
      <c r="B77" s="87">
        <v>15.23</v>
      </c>
      <c r="C77" s="87">
        <v>4.1900000000000004</v>
      </c>
    </row>
    <row r="78" spans="1:3" x14ac:dyDescent="0.25">
      <c r="A78" s="86">
        <v>67</v>
      </c>
      <c r="B78" s="87">
        <v>15.58</v>
      </c>
      <c r="C78" s="87">
        <v>4.16</v>
      </c>
    </row>
    <row r="79" spans="1:3" x14ac:dyDescent="0.25">
      <c r="A79" s="86">
        <v>68</v>
      </c>
      <c r="B79" s="87">
        <v>15.42</v>
      </c>
      <c r="C79" s="87">
        <v>4.1399999999999997</v>
      </c>
    </row>
    <row r="80" spans="1:3" x14ac:dyDescent="0.25">
      <c r="A80" s="86">
        <v>69</v>
      </c>
      <c r="B80" s="87">
        <v>14.75</v>
      </c>
      <c r="C80" s="87">
        <v>4.07</v>
      </c>
    </row>
    <row r="81" spans="1:3" x14ac:dyDescent="0.25">
      <c r="A81" s="86">
        <v>70</v>
      </c>
      <c r="B81" s="87">
        <v>14.09</v>
      </c>
      <c r="C81" s="87">
        <v>4</v>
      </c>
    </row>
    <row r="82" spans="1:3" x14ac:dyDescent="0.25">
      <c r="A82" s="86">
        <v>71</v>
      </c>
      <c r="B82" s="87">
        <v>13.43</v>
      </c>
      <c r="C82" s="87">
        <v>3.97</v>
      </c>
    </row>
    <row r="83" spans="1:3" x14ac:dyDescent="0.25">
      <c r="A83" s="86">
        <v>72</v>
      </c>
      <c r="B83" s="87">
        <v>12.8</v>
      </c>
      <c r="C83" s="87">
        <v>3.94</v>
      </c>
    </row>
    <row r="84" spans="1:3" x14ac:dyDescent="0.25">
      <c r="A84" s="86">
        <v>73</v>
      </c>
      <c r="B84" s="87">
        <v>12.17</v>
      </c>
      <c r="C84" s="87">
        <v>3.9</v>
      </c>
    </row>
    <row r="85" spans="1:3" x14ac:dyDescent="0.25">
      <c r="A85" s="86">
        <v>74</v>
      </c>
      <c r="B85" s="87">
        <v>11.56</v>
      </c>
      <c r="C85" s="87">
        <v>3.74</v>
      </c>
    </row>
  </sheetData>
  <sheetProtection algorithmName="SHA-512" hashValue="kNFW+vHPOX0V2xCRFPf5D2GfnKd4+UjgHut4EwEEGay/s+oiENjvEgKiPiAEBKo2QQY3tKAS1yrwyEqVl057TQ==" saltValue="zDPO8thjd98MpuqapN9EpQ==" spinCount="100000" sheet="1" objects="1" scenarios="1"/>
  <conditionalFormatting sqref="A6:A21">
    <cfRule type="expression" dxfId="753" priority="1" stopIfTrue="1">
      <formula>MOD(ROW(),2)=0</formula>
    </cfRule>
    <cfRule type="expression" dxfId="752" priority="2" stopIfTrue="1">
      <formula>MOD(ROW(),2)&lt;&gt;0</formula>
    </cfRule>
  </conditionalFormatting>
  <conditionalFormatting sqref="A26:A85">
    <cfRule type="expression" dxfId="751" priority="3" stopIfTrue="1">
      <formula>MOD(ROW(),2)=0</formula>
    </cfRule>
    <cfRule type="expression" dxfId="750" priority="4" stopIfTrue="1">
      <formula>MOD(ROW(),2)&lt;&gt;0</formula>
    </cfRule>
  </conditionalFormatting>
  <conditionalFormatting sqref="B17:B19">
    <cfRule type="expression" dxfId="749" priority="7" stopIfTrue="1">
      <formula>MOD(ROW(),2)=0</formula>
    </cfRule>
    <cfRule type="expression" dxfId="748" priority="8" stopIfTrue="1">
      <formula>MOD(ROW(),2)&lt;&gt;0</formula>
    </cfRule>
  </conditionalFormatting>
  <conditionalFormatting sqref="B6:C21">
    <cfRule type="expression" dxfId="747" priority="23" stopIfTrue="1">
      <formula>MOD(ROW(),2)=0</formula>
    </cfRule>
    <cfRule type="expression" dxfId="746" priority="24" stopIfTrue="1">
      <formula>MOD(ROW(),2)&lt;&gt;0</formula>
    </cfRule>
  </conditionalFormatting>
  <conditionalFormatting sqref="B26:C85">
    <cfRule type="expression" dxfId="745" priority="5" stopIfTrue="1">
      <formula>MOD(ROW(),2)=0</formula>
    </cfRule>
    <cfRule type="expression" dxfId="744" priority="6" stopIfTrue="1">
      <formula>MOD(ROW(),2)&lt;&gt;0</formula>
    </cfRule>
  </conditionalFormatting>
  <hyperlinks>
    <hyperlink ref="B24" location="Assumptions!A1" display="Assumptions" xr:uid="{25B2401F-1F95-4AC4-8880-1A6E4FFC0AD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6"/>
  <dimension ref="A1:G68"/>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TV In (non-club) - x-220</v>
      </c>
      <c r="B3" s="42"/>
      <c r="C3" s="42"/>
      <c r="D3" s="42"/>
      <c r="E3" s="42"/>
      <c r="F3" s="42"/>
      <c r="G3" s="42"/>
    </row>
    <row r="4" spans="1:7" x14ac:dyDescent="0.25">
      <c r="A4" s="44"/>
    </row>
    <row r="6" spans="1:7" x14ac:dyDescent="0.25">
      <c r="A6" s="74" t="s">
        <v>334</v>
      </c>
      <c r="B6" s="148" t="s">
        <v>335</v>
      </c>
      <c r="C6" s="148"/>
    </row>
    <row r="7" spans="1:7" x14ac:dyDescent="0.25">
      <c r="A7" s="76" t="s">
        <v>78</v>
      </c>
      <c r="B7" s="148" t="s">
        <v>67</v>
      </c>
      <c r="C7" s="148"/>
    </row>
    <row r="8" spans="1:7" x14ac:dyDescent="0.25">
      <c r="A8" s="76" t="s">
        <v>79</v>
      </c>
      <c r="B8" s="148">
        <v>2015</v>
      </c>
      <c r="C8" s="148"/>
    </row>
    <row r="9" spans="1:7" x14ac:dyDescent="0.25">
      <c r="A9" s="76" t="s">
        <v>80</v>
      </c>
      <c r="B9" s="148" t="s">
        <v>134</v>
      </c>
      <c r="C9" s="148"/>
    </row>
    <row r="10" spans="1:7" x14ac:dyDescent="0.25">
      <c r="A10" s="76" t="s">
        <v>6</v>
      </c>
      <c r="B10" s="148" t="s">
        <v>135</v>
      </c>
      <c r="C10" s="148"/>
    </row>
    <row r="11" spans="1:7" x14ac:dyDescent="0.25">
      <c r="A11" s="76" t="s">
        <v>81</v>
      </c>
      <c r="B11" s="148" t="s">
        <v>94</v>
      </c>
      <c r="C11" s="148"/>
    </row>
    <row r="12" spans="1:7" x14ac:dyDescent="0.25">
      <c r="A12" s="76" t="s">
        <v>82</v>
      </c>
      <c r="B12" s="148" t="s">
        <v>95</v>
      </c>
      <c r="C12" s="148"/>
    </row>
    <row r="13" spans="1:7" hidden="1" x14ac:dyDescent="0.25">
      <c r="A13" s="76" t="s">
        <v>342</v>
      </c>
      <c r="B13" s="148">
        <v>0</v>
      </c>
      <c r="C13" s="148"/>
    </row>
    <row r="14" spans="1:7" hidden="1" x14ac:dyDescent="0.25">
      <c r="A14" s="76" t="s">
        <v>84</v>
      </c>
      <c r="B14" s="148">
        <v>220</v>
      </c>
      <c r="C14" s="148"/>
    </row>
    <row r="15" spans="1:7" x14ac:dyDescent="0.25">
      <c r="A15" s="76" t="s">
        <v>345</v>
      </c>
      <c r="B15" s="148" t="s">
        <v>136</v>
      </c>
      <c r="C15" s="148"/>
    </row>
    <row r="16" spans="1:7" x14ac:dyDescent="0.25">
      <c r="A16" s="76" t="s">
        <v>86</v>
      </c>
      <c r="B16" s="148" t="s">
        <v>137</v>
      </c>
      <c r="C16" s="148"/>
    </row>
    <row r="17" spans="1:3" ht="40.049999999999997" customHeight="1" x14ac:dyDescent="0.25">
      <c r="A17" s="151" t="s">
        <v>414</v>
      </c>
      <c r="B17" s="148"/>
      <c r="C17" s="148"/>
    </row>
    <row r="18" spans="1:3" x14ac:dyDescent="0.25">
      <c r="A18" s="76" t="s">
        <v>88</v>
      </c>
      <c r="B18" s="152">
        <v>45106</v>
      </c>
      <c r="C18" s="148"/>
    </row>
    <row r="19" spans="1:3" x14ac:dyDescent="0.25">
      <c r="A19" s="76" t="s">
        <v>89</v>
      </c>
      <c r="B19" s="152">
        <v>45014</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6" spans="1:3" ht="26.4" x14ac:dyDescent="0.25">
      <c r="A26" s="85" t="s">
        <v>415</v>
      </c>
      <c r="B26" s="85" t="s">
        <v>423</v>
      </c>
      <c r="C26" s="85" t="s">
        <v>422</v>
      </c>
    </row>
    <row r="27" spans="1:3" x14ac:dyDescent="0.25">
      <c r="A27" s="86">
        <v>18</v>
      </c>
      <c r="B27" s="87">
        <v>23.55</v>
      </c>
      <c r="C27" s="87">
        <v>4.16</v>
      </c>
    </row>
    <row r="28" spans="1:3" x14ac:dyDescent="0.25">
      <c r="A28" s="86">
        <v>19</v>
      </c>
      <c r="B28" s="87">
        <v>23.48</v>
      </c>
      <c r="C28" s="87">
        <v>4.3499999999999996</v>
      </c>
    </row>
    <row r="29" spans="1:3" x14ac:dyDescent="0.25">
      <c r="A29" s="86">
        <v>20</v>
      </c>
      <c r="B29" s="87">
        <v>23.41</v>
      </c>
      <c r="C29" s="87">
        <v>4.3499999999999996</v>
      </c>
    </row>
    <row r="30" spans="1:3" x14ac:dyDescent="0.25">
      <c r="A30" s="86">
        <v>21</v>
      </c>
      <c r="B30" s="87">
        <v>23.35</v>
      </c>
      <c r="C30" s="87">
        <v>4.3499999999999996</v>
      </c>
    </row>
    <row r="31" spans="1:3" x14ac:dyDescent="0.25">
      <c r="A31" s="86">
        <v>22</v>
      </c>
      <c r="B31" s="87">
        <v>23.28</v>
      </c>
      <c r="C31" s="87">
        <v>4.3499999999999996</v>
      </c>
    </row>
    <row r="32" spans="1:3" x14ac:dyDescent="0.25">
      <c r="A32" s="86">
        <v>23</v>
      </c>
      <c r="B32" s="87">
        <v>23.22</v>
      </c>
      <c r="C32" s="87">
        <v>4.3499999999999996</v>
      </c>
    </row>
    <row r="33" spans="1:3" x14ac:dyDescent="0.25">
      <c r="A33" s="86">
        <v>24</v>
      </c>
      <c r="B33" s="87">
        <v>23.15</v>
      </c>
      <c r="C33" s="87">
        <v>4.3499999999999996</v>
      </c>
    </row>
    <row r="34" spans="1:3" x14ac:dyDescent="0.25">
      <c r="A34" s="86">
        <v>25</v>
      </c>
      <c r="B34" s="87">
        <v>23.08</v>
      </c>
      <c r="C34" s="87">
        <v>4.3499999999999996</v>
      </c>
    </row>
    <row r="35" spans="1:3" x14ac:dyDescent="0.25">
      <c r="A35" s="86">
        <v>26</v>
      </c>
      <c r="B35" s="87">
        <v>23.02</v>
      </c>
      <c r="C35" s="87">
        <v>4.3499999999999996</v>
      </c>
    </row>
    <row r="36" spans="1:3" x14ac:dyDescent="0.25">
      <c r="A36" s="86">
        <v>27</v>
      </c>
      <c r="B36" s="87">
        <v>22.95</v>
      </c>
      <c r="C36" s="87">
        <v>4.3499999999999996</v>
      </c>
    </row>
    <row r="37" spans="1:3" x14ac:dyDescent="0.25">
      <c r="A37" s="86">
        <v>28</v>
      </c>
      <c r="B37" s="87">
        <v>22.88</v>
      </c>
      <c r="C37" s="87">
        <v>4.3499999999999996</v>
      </c>
    </row>
    <row r="38" spans="1:3" x14ac:dyDescent="0.25">
      <c r="A38" s="86">
        <v>29</v>
      </c>
      <c r="B38" s="87">
        <v>22.82</v>
      </c>
      <c r="C38" s="87">
        <v>4.3499999999999996</v>
      </c>
    </row>
    <row r="39" spans="1:3" x14ac:dyDescent="0.25">
      <c r="A39" s="86">
        <v>30</v>
      </c>
      <c r="B39" s="87">
        <v>22.75</v>
      </c>
      <c r="C39" s="87">
        <v>4.34</v>
      </c>
    </row>
    <row r="40" spans="1:3" x14ac:dyDescent="0.25">
      <c r="A40" s="86">
        <v>31</v>
      </c>
      <c r="B40" s="87">
        <v>22.68</v>
      </c>
      <c r="C40" s="87">
        <v>4.34</v>
      </c>
    </row>
    <row r="41" spans="1:3" x14ac:dyDescent="0.25">
      <c r="A41" s="86">
        <v>32</v>
      </c>
      <c r="B41" s="87">
        <v>22.61</v>
      </c>
      <c r="C41" s="87">
        <v>4.34</v>
      </c>
    </row>
    <row r="42" spans="1:3" x14ac:dyDescent="0.25">
      <c r="A42" s="86">
        <v>33</v>
      </c>
      <c r="B42" s="87">
        <v>22.54</v>
      </c>
      <c r="C42" s="87">
        <v>4.34</v>
      </c>
    </row>
    <row r="43" spans="1:3" x14ac:dyDescent="0.25">
      <c r="A43" s="86">
        <v>34</v>
      </c>
      <c r="B43" s="87">
        <v>22.47</v>
      </c>
      <c r="C43" s="87">
        <v>4.34</v>
      </c>
    </row>
    <row r="44" spans="1:3" x14ac:dyDescent="0.25">
      <c r="A44" s="86">
        <v>35</v>
      </c>
      <c r="B44" s="87">
        <v>22.41</v>
      </c>
      <c r="C44" s="87">
        <v>4.33</v>
      </c>
    </row>
    <row r="45" spans="1:3" x14ac:dyDescent="0.25">
      <c r="A45" s="86">
        <v>36</v>
      </c>
      <c r="B45" s="87">
        <v>22.34</v>
      </c>
      <c r="C45" s="87">
        <v>4.33</v>
      </c>
    </row>
    <row r="46" spans="1:3" x14ac:dyDescent="0.25">
      <c r="A46" s="86">
        <v>37</v>
      </c>
      <c r="B46" s="87">
        <v>22.27</v>
      </c>
      <c r="C46" s="87">
        <v>4.33</v>
      </c>
    </row>
    <row r="47" spans="1:3" x14ac:dyDescent="0.25">
      <c r="A47" s="86">
        <v>38</v>
      </c>
      <c r="B47" s="87">
        <v>22.19</v>
      </c>
      <c r="C47" s="87">
        <v>4.33</v>
      </c>
    </row>
    <row r="48" spans="1:3" x14ac:dyDescent="0.25">
      <c r="A48" s="86">
        <v>39</v>
      </c>
      <c r="B48" s="87">
        <v>22.12</v>
      </c>
      <c r="C48" s="87">
        <v>4.32</v>
      </c>
    </row>
    <row r="49" spans="1:3" x14ac:dyDescent="0.25">
      <c r="A49" s="86">
        <v>40</v>
      </c>
      <c r="B49" s="87">
        <v>22.05</v>
      </c>
      <c r="C49" s="87">
        <v>4.32</v>
      </c>
    </row>
    <row r="50" spans="1:3" x14ac:dyDescent="0.25">
      <c r="A50" s="86">
        <v>41</v>
      </c>
      <c r="B50" s="87">
        <v>21.98</v>
      </c>
      <c r="C50" s="87">
        <v>4.3099999999999996</v>
      </c>
    </row>
    <row r="51" spans="1:3" x14ac:dyDescent="0.25">
      <c r="A51" s="86">
        <v>42</v>
      </c>
      <c r="B51" s="87">
        <v>21.9</v>
      </c>
      <c r="C51" s="87">
        <v>4.3099999999999996</v>
      </c>
    </row>
    <row r="52" spans="1:3" x14ac:dyDescent="0.25">
      <c r="A52" s="86">
        <v>43</v>
      </c>
      <c r="B52" s="87">
        <v>21.83</v>
      </c>
      <c r="C52" s="87">
        <v>4.3</v>
      </c>
    </row>
    <row r="53" spans="1:3" x14ac:dyDescent="0.25">
      <c r="A53" s="86">
        <v>44</v>
      </c>
      <c r="B53" s="87">
        <v>21.75</v>
      </c>
      <c r="C53" s="87">
        <v>4.3</v>
      </c>
    </row>
    <row r="54" spans="1:3" x14ac:dyDescent="0.25">
      <c r="A54" s="86">
        <v>45</v>
      </c>
      <c r="B54" s="87">
        <v>21.68</v>
      </c>
      <c r="C54" s="87">
        <v>4.29</v>
      </c>
    </row>
    <row r="55" spans="1:3" x14ac:dyDescent="0.25">
      <c r="A55" s="86">
        <v>46</v>
      </c>
      <c r="B55" s="87">
        <v>21.6</v>
      </c>
      <c r="C55" s="87">
        <v>4.28</v>
      </c>
    </row>
    <row r="56" spans="1:3" x14ac:dyDescent="0.25">
      <c r="A56" s="86">
        <v>47</v>
      </c>
      <c r="B56" s="87">
        <v>21.52</v>
      </c>
      <c r="C56" s="87">
        <v>4.28</v>
      </c>
    </row>
    <row r="57" spans="1:3" x14ac:dyDescent="0.25">
      <c r="A57" s="86">
        <v>48</v>
      </c>
      <c r="B57" s="87">
        <v>21.45</v>
      </c>
      <c r="C57" s="87">
        <v>4.2699999999999996</v>
      </c>
    </row>
    <row r="58" spans="1:3" x14ac:dyDescent="0.25">
      <c r="A58" s="86">
        <v>49</v>
      </c>
      <c r="B58" s="87">
        <v>21.37</v>
      </c>
      <c r="C58" s="87">
        <v>4.26</v>
      </c>
    </row>
    <row r="59" spans="1:3" x14ac:dyDescent="0.25">
      <c r="A59" s="86">
        <v>50</v>
      </c>
      <c r="B59" s="87">
        <v>21.29</v>
      </c>
      <c r="C59" s="87">
        <v>4.25</v>
      </c>
    </row>
    <row r="60" spans="1:3" x14ac:dyDescent="0.25">
      <c r="A60" s="86">
        <v>51</v>
      </c>
      <c r="B60" s="87">
        <v>21.21</v>
      </c>
      <c r="C60" s="87">
        <v>4.24</v>
      </c>
    </row>
    <row r="61" spans="1:3" x14ac:dyDescent="0.25">
      <c r="A61" s="86">
        <v>52</v>
      </c>
      <c r="B61" s="87">
        <v>21.13</v>
      </c>
      <c r="C61" s="87">
        <v>4.2300000000000004</v>
      </c>
    </row>
    <row r="62" spans="1:3" x14ac:dyDescent="0.25">
      <c r="A62" s="86">
        <v>53</v>
      </c>
      <c r="B62" s="87">
        <v>21.06</v>
      </c>
      <c r="C62" s="87">
        <v>4.21</v>
      </c>
    </row>
    <row r="63" spans="1:3" x14ac:dyDescent="0.25">
      <c r="A63" s="86">
        <v>54</v>
      </c>
      <c r="B63" s="87">
        <v>20.98</v>
      </c>
      <c r="C63" s="87">
        <v>4.2</v>
      </c>
    </row>
    <row r="64" spans="1:3" x14ac:dyDescent="0.25">
      <c r="A64" s="86">
        <v>55</v>
      </c>
      <c r="B64" s="87">
        <v>20.91</v>
      </c>
      <c r="C64" s="87">
        <v>4.18</v>
      </c>
    </row>
    <row r="65" spans="1:3" x14ac:dyDescent="0.25">
      <c r="A65" s="86">
        <v>56</v>
      </c>
      <c r="B65" s="87">
        <v>20.85</v>
      </c>
      <c r="C65" s="87">
        <v>4.16</v>
      </c>
    </row>
    <row r="66" spans="1:3" x14ac:dyDescent="0.25">
      <c r="A66" s="86">
        <v>57</v>
      </c>
      <c r="B66" s="87">
        <v>20.79</v>
      </c>
      <c r="C66" s="87">
        <v>4.1399999999999997</v>
      </c>
    </row>
    <row r="67" spans="1:3" x14ac:dyDescent="0.25">
      <c r="A67" s="86">
        <v>58</v>
      </c>
      <c r="B67" s="87">
        <v>20.75</v>
      </c>
      <c r="C67" s="87">
        <v>4.12</v>
      </c>
    </row>
    <row r="68" spans="1:3" x14ac:dyDescent="0.25">
      <c r="A68" s="86">
        <v>59</v>
      </c>
      <c r="B68" s="87">
        <v>20.71</v>
      </c>
      <c r="C68" s="87">
        <v>4.0999999999999996</v>
      </c>
    </row>
  </sheetData>
  <sheetProtection algorithmName="SHA-512" hashValue="lo6yqId75xaXm+Iatciv1sUhIpfUd0vTL9enxEJOPFhQaYgbl/4yqZoL2xijcedLS7MjXyBBRa+FNShBWPbdrg==" saltValue="zYC7j/cIbXd6O9MCIjQERg==" spinCount="100000" sheet="1" objects="1" scenarios="1"/>
  <conditionalFormatting sqref="A6:A21">
    <cfRule type="expression" dxfId="743" priority="1" stopIfTrue="1">
      <formula>MOD(ROW(),2)=0</formula>
    </cfRule>
    <cfRule type="expression" dxfId="742" priority="2" stopIfTrue="1">
      <formula>MOD(ROW(),2)&lt;&gt;0</formula>
    </cfRule>
  </conditionalFormatting>
  <conditionalFormatting sqref="A26:A68">
    <cfRule type="expression" dxfId="741" priority="5" stopIfTrue="1">
      <formula>MOD(ROW(),2)=0</formula>
    </cfRule>
    <cfRule type="expression" dxfId="740" priority="6" stopIfTrue="1">
      <formula>MOD(ROW(),2)&lt;&gt;0</formula>
    </cfRule>
  </conditionalFormatting>
  <conditionalFormatting sqref="B19">
    <cfRule type="expression" dxfId="739" priority="13" stopIfTrue="1">
      <formula>MOD(ROW(),2)=0</formula>
    </cfRule>
    <cfRule type="expression" dxfId="738" priority="14" stopIfTrue="1">
      <formula>MOD(ROW(),2)&lt;&gt;0</formula>
    </cfRule>
  </conditionalFormatting>
  <conditionalFormatting sqref="B6:C21">
    <cfRule type="expression" dxfId="737" priority="25" stopIfTrue="1">
      <formula>MOD(ROW(),2)=0</formula>
    </cfRule>
    <cfRule type="expression" dxfId="736" priority="26" stopIfTrue="1">
      <formula>MOD(ROW(),2)&lt;&gt;0</formula>
    </cfRule>
  </conditionalFormatting>
  <conditionalFormatting sqref="B26:C68">
    <cfRule type="expression" dxfId="735" priority="7" stopIfTrue="1">
      <formula>MOD(ROW(),2)=0</formula>
    </cfRule>
    <cfRule type="expression" dxfId="734" priority="8" stopIfTrue="1">
      <formula>MOD(ROW(),2)&lt;&gt;0</formula>
    </cfRule>
  </conditionalFormatting>
  <conditionalFormatting sqref="C17">
    <cfRule type="expression" dxfId="733" priority="3" stopIfTrue="1">
      <formula>MOD(ROW(),2)=0</formula>
    </cfRule>
    <cfRule type="expression" dxfId="732" priority="4" stopIfTrue="1">
      <formula>MOD(ROW(),2)&lt;&gt;0</formula>
    </cfRule>
  </conditionalFormatting>
  <hyperlinks>
    <hyperlink ref="B24" location="Assumptions!A1" display="Assumptions" xr:uid="{3BCB476A-F4EB-4F13-91C4-F9E19A17395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7"/>
  <dimension ref="A1:G68"/>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TV In (non-club) - x-221</v>
      </c>
      <c r="B3" s="42"/>
      <c r="C3" s="42"/>
      <c r="D3" s="42"/>
      <c r="E3" s="42"/>
      <c r="F3" s="42"/>
      <c r="G3" s="42"/>
    </row>
    <row r="4" spans="1:7" x14ac:dyDescent="0.25">
      <c r="A4" s="44"/>
    </row>
    <row r="6" spans="1:7" x14ac:dyDescent="0.25">
      <c r="A6" s="74" t="s">
        <v>334</v>
      </c>
      <c r="B6" s="148" t="s">
        <v>335</v>
      </c>
      <c r="C6" s="148"/>
    </row>
    <row r="7" spans="1:7" x14ac:dyDescent="0.25">
      <c r="A7" s="76" t="s">
        <v>78</v>
      </c>
      <c r="B7" s="148" t="s">
        <v>67</v>
      </c>
      <c r="C7" s="148"/>
    </row>
    <row r="8" spans="1:7" x14ac:dyDescent="0.25">
      <c r="A8" s="76" t="s">
        <v>79</v>
      </c>
      <c r="B8" s="148">
        <v>2015</v>
      </c>
      <c r="C8" s="148"/>
    </row>
    <row r="9" spans="1:7" x14ac:dyDescent="0.25">
      <c r="A9" s="76" t="s">
        <v>80</v>
      </c>
      <c r="B9" s="148" t="s">
        <v>134</v>
      </c>
      <c r="C9" s="148"/>
    </row>
    <row r="10" spans="1:7" x14ac:dyDescent="0.25">
      <c r="A10" s="76" t="s">
        <v>6</v>
      </c>
      <c r="B10" s="148" t="s">
        <v>135</v>
      </c>
      <c r="C10" s="148"/>
    </row>
    <row r="11" spans="1:7" x14ac:dyDescent="0.25">
      <c r="A11" s="76" t="s">
        <v>81</v>
      </c>
      <c r="B11" s="148" t="s">
        <v>100</v>
      </c>
      <c r="C11" s="148"/>
    </row>
    <row r="12" spans="1:7" x14ac:dyDescent="0.25">
      <c r="A12" s="76" t="s">
        <v>82</v>
      </c>
      <c r="B12" s="148" t="s">
        <v>95</v>
      </c>
      <c r="C12" s="148"/>
    </row>
    <row r="13" spans="1:7" hidden="1" x14ac:dyDescent="0.25">
      <c r="A13" s="76" t="s">
        <v>342</v>
      </c>
      <c r="B13" s="148">
        <v>0</v>
      </c>
      <c r="C13" s="148"/>
    </row>
    <row r="14" spans="1:7" hidden="1" x14ac:dyDescent="0.25">
      <c r="A14" s="76" t="s">
        <v>84</v>
      </c>
      <c r="B14" s="148">
        <v>221</v>
      </c>
      <c r="C14" s="148"/>
    </row>
    <row r="15" spans="1:7" x14ac:dyDescent="0.25">
      <c r="A15" s="76" t="s">
        <v>345</v>
      </c>
      <c r="B15" s="148" t="s">
        <v>138</v>
      </c>
      <c r="C15" s="148"/>
    </row>
    <row r="16" spans="1:7" x14ac:dyDescent="0.25">
      <c r="A16" s="76" t="s">
        <v>86</v>
      </c>
      <c r="B16" s="148" t="s">
        <v>139</v>
      </c>
      <c r="C16" s="148"/>
    </row>
    <row r="17" spans="1:3" ht="44.55" customHeight="1" x14ac:dyDescent="0.25">
      <c r="A17" s="151" t="s">
        <v>414</v>
      </c>
      <c r="B17" s="148"/>
      <c r="C17" s="148"/>
    </row>
    <row r="18" spans="1:3" x14ac:dyDescent="0.25">
      <c r="A18" s="76" t="s">
        <v>88</v>
      </c>
      <c r="B18" s="152">
        <v>45106</v>
      </c>
      <c r="C18" s="148"/>
    </row>
    <row r="19" spans="1:3" x14ac:dyDescent="0.25">
      <c r="A19" s="76" t="s">
        <v>89</v>
      </c>
      <c r="B19" s="152">
        <v>45014</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6" spans="1:3" ht="26.4" x14ac:dyDescent="0.25">
      <c r="A26" s="85" t="s">
        <v>415</v>
      </c>
      <c r="B26" s="85" t="s">
        <v>423</v>
      </c>
      <c r="C26" s="85" t="s">
        <v>422</v>
      </c>
    </row>
    <row r="27" spans="1:3" x14ac:dyDescent="0.25">
      <c r="A27" s="86">
        <v>18</v>
      </c>
      <c r="B27" s="87">
        <v>23.55</v>
      </c>
      <c r="C27" s="87">
        <v>4.16</v>
      </c>
    </row>
    <row r="28" spans="1:3" x14ac:dyDescent="0.25">
      <c r="A28" s="86">
        <v>19</v>
      </c>
      <c r="B28" s="87">
        <v>23.48</v>
      </c>
      <c r="C28" s="87">
        <v>4.3499999999999996</v>
      </c>
    </row>
    <row r="29" spans="1:3" x14ac:dyDescent="0.25">
      <c r="A29" s="86">
        <v>20</v>
      </c>
      <c r="B29" s="87">
        <v>23.41</v>
      </c>
      <c r="C29" s="87">
        <v>4.3499999999999996</v>
      </c>
    </row>
    <row r="30" spans="1:3" x14ac:dyDescent="0.25">
      <c r="A30" s="86">
        <v>21</v>
      </c>
      <c r="B30" s="87">
        <v>23.35</v>
      </c>
      <c r="C30" s="87">
        <v>4.3499999999999996</v>
      </c>
    </row>
    <row r="31" spans="1:3" x14ac:dyDescent="0.25">
      <c r="A31" s="86">
        <v>22</v>
      </c>
      <c r="B31" s="87">
        <v>23.28</v>
      </c>
      <c r="C31" s="87">
        <v>4.3499999999999996</v>
      </c>
    </row>
    <row r="32" spans="1:3" x14ac:dyDescent="0.25">
      <c r="A32" s="86">
        <v>23</v>
      </c>
      <c r="B32" s="87">
        <v>23.22</v>
      </c>
      <c r="C32" s="87">
        <v>4.3499999999999996</v>
      </c>
    </row>
    <row r="33" spans="1:3" x14ac:dyDescent="0.25">
      <c r="A33" s="86">
        <v>24</v>
      </c>
      <c r="B33" s="87">
        <v>23.15</v>
      </c>
      <c r="C33" s="87">
        <v>4.3499999999999996</v>
      </c>
    </row>
    <row r="34" spans="1:3" x14ac:dyDescent="0.25">
      <c r="A34" s="86">
        <v>25</v>
      </c>
      <c r="B34" s="87">
        <v>23.08</v>
      </c>
      <c r="C34" s="87">
        <v>4.3499999999999996</v>
      </c>
    </row>
    <row r="35" spans="1:3" x14ac:dyDescent="0.25">
      <c r="A35" s="86">
        <v>26</v>
      </c>
      <c r="B35" s="87">
        <v>23.02</v>
      </c>
      <c r="C35" s="87">
        <v>4.3499999999999996</v>
      </c>
    </row>
    <row r="36" spans="1:3" x14ac:dyDescent="0.25">
      <c r="A36" s="86">
        <v>27</v>
      </c>
      <c r="B36" s="87">
        <v>22.95</v>
      </c>
      <c r="C36" s="87">
        <v>4.3499999999999996</v>
      </c>
    </row>
    <row r="37" spans="1:3" x14ac:dyDescent="0.25">
      <c r="A37" s="86">
        <v>28</v>
      </c>
      <c r="B37" s="87">
        <v>22.88</v>
      </c>
      <c r="C37" s="87">
        <v>4.3499999999999996</v>
      </c>
    </row>
    <row r="38" spans="1:3" x14ac:dyDescent="0.25">
      <c r="A38" s="86">
        <v>29</v>
      </c>
      <c r="B38" s="87">
        <v>22.82</v>
      </c>
      <c r="C38" s="87">
        <v>4.3499999999999996</v>
      </c>
    </row>
    <row r="39" spans="1:3" x14ac:dyDescent="0.25">
      <c r="A39" s="86">
        <v>30</v>
      </c>
      <c r="B39" s="87">
        <v>22.75</v>
      </c>
      <c r="C39" s="87">
        <v>4.34</v>
      </c>
    </row>
    <row r="40" spans="1:3" x14ac:dyDescent="0.25">
      <c r="A40" s="86">
        <v>31</v>
      </c>
      <c r="B40" s="87">
        <v>22.68</v>
      </c>
      <c r="C40" s="87">
        <v>4.34</v>
      </c>
    </row>
    <row r="41" spans="1:3" x14ac:dyDescent="0.25">
      <c r="A41" s="86">
        <v>32</v>
      </c>
      <c r="B41" s="87">
        <v>22.61</v>
      </c>
      <c r="C41" s="87">
        <v>4.34</v>
      </c>
    </row>
    <row r="42" spans="1:3" x14ac:dyDescent="0.25">
      <c r="A42" s="86">
        <v>33</v>
      </c>
      <c r="B42" s="87">
        <v>22.54</v>
      </c>
      <c r="C42" s="87">
        <v>4.34</v>
      </c>
    </row>
    <row r="43" spans="1:3" x14ac:dyDescent="0.25">
      <c r="A43" s="86">
        <v>34</v>
      </c>
      <c r="B43" s="87">
        <v>22.47</v>
      </c>
      <c r="C43" s="87">
        <v>4.34</v>
      </c>
    </row>
    <row r="44" spans="1:3" x14ac:dyDescent="0.25">
      <c r="A44" s="86">
        <v>35</v>
      </c>
      <c r="B44" s="87">
        <v>22.41</v>
      </c>
      <c r="C44" s="87">
        <v>4.33</v>
      </c>
    </row>
    <row r="45" spans="1:3" x14ac:dyDescent="0.25">
      <c r="A45" s="86">
        <v>36</v>
      </c>
      <c r="B45" s="87">
        <v>22.34</v>
      </c>
      <c r="C45" s="87">
        <v>4.33</v>
      </c>
    </row>
    <row r="46" spans="1:3" x14ac:dyDescent="0.25">
      <c r="A46" s="86">
        <v>37</v>
      </c>
      <c r="B46" s="87">
        <v>22.27</v>
      </c>
      <c r="C46" s="87">
        <v>4.33</v>
      </c>
    </row>
    <row r="47" spans="1:3" x14ac:dyDescent="0.25">
      <c r="A47" s="86">
        <v>38</v>
      </c>
      <c r="B47" s="87">
        <v>22.19</v>
      </c>
      <c r="C47" s="87">
        <v>4.33</v>
      </c>
    </row>
    <row r="48" spans="1:3" x14ac:dyDescent="0.25">
      <c r="A48" s="86">
        <v>39</v>
      </c>
      <c r="B48" s="87">
        <v>22.12</v>
      </c>
      <c r="C48" s="87">
        <v>4.32</v>
      </c>
    </row>
    <row r="49" spans="1:3" x14ac:dyDescent="0.25">
      <c r="A49" s="86">
        <v>40</v>
      </c>
      <c r="B49" s="87">
        <v>22.05</v>
      </c>
      <c r="C49" s="87">
        <v>4.32</v>
      </c>
    </row>
    <row r="50" spans="1:3" x14ac:dyDescent="0.25">
      <c r="A50" s="86">
        <v>41</v>
      </c>
      <c r="B50" s="87">
        <v>21.98</v>
      </c>
      <c r="C50" s="87">
        <v>4.3099999999999996</v>
      </c>
    </row>
    <row r="51" spans="1:3" x14ac:dyDescent="0.25">
      <c r="A51" s="86">
        <v>42</v>
      </c>
      <c r="B51" s="87">
        <v>21.9</v>
      </c>
      <c r="C51" s="87">
        <v>4.3099999999999996</v>
      </c>
    </row>
    <row r="52" spans="1:3" x14ac:dyDescent="0.25">
      <c r="A52" s="86">
        <v>43</v>
      </c>
      <c r="B52" s="87">
        <v>21.83</v>
      </c>
      <c r="C52" s="87">
        <v>4.3</v>
      </c>
    </row>
    <row r="53" spans="1:3" x14ac:dyDescent="0.25">
      <c r="A53" s="86">
        <v>44</v>
      </c>
      <c r="B53" s="87">
        <v>21.75</v>
      </c>
      <c r="C53" s="87">
        <v>4.3</v>
      </c>
    </row>
    <row r="54" spans="1:3" x14ac:dyDescent="0.25">
      <c r="A54" s="86">
        <v>45</v>
      </c>
      <c r="B54" s="87">
        <v>21.68</v>
      </c>
      <c r="C54" s="87">
        <v>4.29</v>
      </c>
    </row>
    <row r="55" spans="1:3" x14ac:dyDescent="0.25">
      <c r="A55" s="86">
        <v>46</v>
      </c>
      <c r="B55" s="87">
        <v>21.6</v>
      </c>
      <c r="C55" s="87">
        <v>4.28</v>
      </c>
    </row>
    <row r="56" spans="1:3" x14ac:dyDescent="0.25">
      <c r="A56" s="86">
        <v>47</v>
      </c>
      <c r="B56" s="87">
        <v>21.52</v>
      </c>
      <c r="C56" s="87">
        <v>4.28</v>
      </c>
    </row>
    <row r="57" spans="1:3" x14ac:dyDescent="0.25">
      <c r="A57" s="86">
        <v>48</v>
      </c>
      <c r="B57" s="87">
        <v>21.45</v>
      </c>
      <c r="C57" s="87">
        <v>4.2699999999999996</v>
      </c>
    </row>
    <row r="58" spans="1:3" x14ac:dyDescent="0.25">
      <c r="A58" s="86">
        <v>49</v>
      </c>
      <c r="B58" s="87">
        <v>21.37</v>
      </c>
      <c r="C58" s="87">
        <v>4.26</v>
      </c>
    </row>
    <row r="59" spans="1:3" x14ac:dyDescent="0.25">
      <c r="A59" s="86">
        <v>50</v>
      </c>
      <c r="B59" s="87">
        <v>21.29</v>
      </c>
      <c r="C59" s="87">
        <v>4.25</v>
      </c>
    </row>
    <row r="60" spans="1:3" x14ac:dyDescent="0.25">
      <c r="A60" s="86">
        <v>51</v>
      </c>
      <c r="B60" s="87">
        <v>21.21</v>
      </c>
      <c r="C60" s="87">
        <v>4.24</v>
      </c>
    </row>
    <row r="61" spans="1:3" x14ac:dyDescent="0.25">
      <c r="A61" s="86">
        <v>52</v>
      </c>
      <c r="B61" s="87">
        <v>21.13</v>
      </c>
      <c r="C61" s="87">
        <v>4.2300000000000004</v>
      </c>
    </row>
    <row r="62" spans="1:3" x14ac:dyDescent="0.25">
      <c r="A62" s="86">
        <v>53</v>
      </c>
      <c r="B62" s="87">
        <v>21.06</v>
      </c>
      <c r="C62" s="87">
        <v>4.21</v>
      </c>
    </row>
    <row r="63" spans="1:3" x14ac:dyDescent="0.25">
      <c r="A63" s="86">
        <v>54</v>
      </c>
      <c r="B63" s="87">
        <v>20.98</v>
      </c>
      <c r="C63" s="87">
        <v>4.2</v>
      </c>
    </row>
    <row r="64" spans="1:3" x14ac:dyDescent="0.25">
      <c r="A64" s="86">
        <v>55</v>
      </c>
      <c r="B64" s="87">
        <v>20.91</v>
      </c>
      <c r="C64" s="87">
        <v>4.18</v>
      </c>
    </row>
    <row r="65" spans="1:3" x14ac:dyDescent="0.25">
      <c r="A65" s="86">
        <v>56</v>
      </c>
      <c r="B65" s="87">
        <v>20.85</v>
      </c>
      <c r="C65" s="87">
        <v>4.16</v>
      </c>
    </row>
    <row r="66" spans="1:3" x14ac:dyDescent="0.25">
      <c r="A66" s="86">
        <v>57</v>
      </c>
      <c r="B66" s="87">
        <v>20.79</v>
      </c>
      <c r="C66" s="87">
        <v>4.1399999999999997</v>
      </c>
    </row>
    <row r="67" spans="1:3" x14ac:dyDescent="0.25">
      <c r="A67" s="86">
        <v>58</v>
      </c>
      <c r="B67" s="87">
        <v>20.75</v>
      </c>
      <c r="C67" s="87">
        <v>4.12</v>
      </c>
    </row>
    <row r="68" spans="1:3" x14ac:dyDescent="0.25">
      <c r="A68" s="86">
        <v>59</v>
      </c>
      <c r="B68" s="87">
        <v>20.71</v>
      </c>
      <c r="C68" s="87">
        <v>4.0999999999999996</v>
      </c>
    </row>
  </sheetData>
  <sheetProtection algorithmName="SHA-512" hashValue="K4w5UGSysYJtbmsA6u+C8zSGqVa2VP480eFURISgY8NQKDBJUXwQq8BhgmuKwGbnB6n4Ab1kTw2w5borVuCdVw==" saltValue="erTNWS5APyIF6KxgSsHpEw==" spinCount="100000" sheet="1" objects="1" scenarios="1"/>
  <conditionalFormatting sqref="A6:A21">
    <cfRule type="expression" dxfId="731" priority="1" stopIfTrue="1">
      <formula>MOD(ROW(),2)=0</formula>
    </cfRule>
    <cfRule type="expression" dxfId="730" priority="2" stopIfTrue="1">
      <formula>MOD(ROW(),2)&lt;&gt;0</formula>
    </cfRule>
  </conditionalFormatting>
  <conditionalFormatting sqref="A26:A68">
    <cfRule type="expression" dxfId="729" priority="5" stopIfTrue="1">
      <formula>MOD(ROW(),2)=0</formula>
    </cfRule>
    <cfRule type="expression" dxfId="728" priority="6" stopIfTrue="1">
      <formula>MOD(ROW(),2)&lt;&gt;0</formula>
    </cfRule>
  </conditionalFormatting>
  <conditionalFormatting sqref="B6:C21">
    <cfRule type="expression" dxfId="727" priority="27" stopIfTrue="1">
      <formula>MOD(ROW(),2)=0</formula>
    </cfRule>
    <cfRule type="expression" dxfId="726" priority="28" stopIfTrue="1">
      <formula>MOD(ROW(),2)&lt;&gt;0</formula>
    </cfRule>
  </conditionalFormatting>
  <conditionalFormatting sqref="B17:C21">
    <cfRule type="expression" dxfId="725" priority="3" stopIfTrue="1">
      <formula>MOD(ROW(),2)=0</formula>
    </cfRule>
    <cfRule type="expression" dxfId="724" priority="4" stopIfTrue="1">
      <formula>MOD(ROW(),2)&lt;&gt;0</formula>
    </cfRule>
  </conditionalFormatting>
  <conditionalFormatting sqref="B26:C68">
    <cfRule type="expression" dxfId="723" priority="7" stopIfTrue="1">
      <formula>MOD(ROW(),2)=0</formula>
    </cfRule>
    <cfRule type="expression" dxfId="722" priority="8" stopIfTrue="1">
      <formula>MOD(ROW(),2)&lt;&gt;0</formula>
    </cfRule>
  </conditionalFormatting>
  <hyperlinks>
    <hyperlink ref="B24" location="Assumptions!A1" display="Assumptions" xr:uid="{4DF5880B-8917-4B76-A158-3C2BDC2E6E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4"/>
  <dimension ref="A1:I65"/>
  <sheetViews>
    <sheetView showGridLines="0" zoomScale="84" zoomScaleNormal="84" workbookViewId="0">
      <selection activeCell="B6" sqref="B6:F21"/>
    </sheetView>
  </sheetViews>
  <sheetFormatPr defaultColWidth="10" defaultRowHeight="13.2" x14ac:dyDescent="0.25"/>
  <cols>
    <col min="1" max="1" width="31.5546875" style="27" customWidth="1"/>
    <col min="2" max="6" width="22.554687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x-301</v>
      </c>
      <c r="B3" s="42"/>
      <c r="C3" s="42"/>
      <c r="D3" s="42"/>
      <c r="E3" s="42"/>
      <c r="F3" s="42"/>
      <c r="G3" s="42"/>
      <c r="H3" s="42"/>
      <c r="I3" s="42"/>
    </row>
    <row r="4" spans="1:9" x14ac:dyDescent="0.25">
      <c r="A4" s="44"/>
    </row>
    <row r="6" spans="1:9" x14ac:dyDescent="0.25">
      <c r="A6" s="146" t="s">
        <v>334</v>
      </c>
      <c r="B6" s="102" t="s">
        <v>335</v>
      </c>
      <c r="C6" s="102"/>
      <c r="D6" s="102"/>
      <c r="E6" s="102"/>
      <c r="F6" s="102"/>
    </row>
    <row r="7" spans="1:9" x14ac:dyDescent="0.25">
      <c r="A7" s="72" t="s">
        <v>78</v>
      </c>
      <c r="B7" s="102" t="s">
        <v>67</v>
      </c>
      <c r="C7" s="102"/>
      <c r="D7" s="102"/>
      <c r="E7" s="102"/>
      <c r="F7" s="102"/>
    </row>
    <row r="8" spans="1:9" x14ac:dyDescent="0.25">
      <c r="A8" s="72" t="s">
        <v>79</v>
      </c>
      <c r="B8" s="102">
        <v>1992</v>
      </c>
      <c r="C8" s="102"/>
      <c r="D8" s="102"/>
      <c r="E8" s="102"/>
      <c r="F8" s="102"/>
    </row>
    <row r="9" spans="1:9" x14ac:dyDescent="0.25">
      <c r="A9" s="72" t="s">
        <v>80</v>
      </c>
      <c r="B9" s="102" t="s">
        <v>140</v>
      </c>
      <c r="C9" s="102"/>
      <c r="D9" s="102"/>
      <c r="E9" s="102"/>
      <c r="F9" s="102"/>
    </row>
    <row r="10" spans="1:9" x14ac:dyDescent="0.25">
      <c r="A10" s="72" t="s">
        <v>6</v>
      </c>
      <c r="B10" s="102" t="s">
        <v>141</v>
      </c>
      <c r="C10" s="102"/>
      <c r="D10" s="102"/>
      <c r="E10" s="102"/>
      <c r="F10" s="102"/>
    </row>
    <row r="11" spans="1:9" x14ac:dyDescent="0.25">
      <c r="A11" s="72" t="s">
        <v>81</v>
      </c>
      <c r="B11" s="102" t="s">
        <v>94</v>
      </c>
      <c r="C11" s="102"/>
      <c r="D11" s="102"/>
      <c r="E11" s="102"/>
      <c r="F11" s="102"/>
    </row>
    <row r="12" spans="1:9" x14ac:dyDescent="0.25">
      <c r="A12" s="72" t="s">
        <v>82</v>
      </c>
      <c r="B12" s="102" t="s">
        <v>95</v>
      </c>
      <c r="C12" s="102"/>
      <c r="D12" s="102"/>
      <c r="E12" s="102"/>
      <c r="F12" s="102"/>
    </row>
    <row r="13" spans="1:9" hidden="1" x14ac:dyDescent="0.25">
      <c r="A13" s="72" t="s">
        <v>342</v>
      </c>
      <c r="B13" s="102">
        <v>2</v>
      </c>
      <c r="C13" s="102"/>
      <c r="D13" s="102"/>
      <c r="E13" s="102"/>
      <c r="F13" s="102"/>
    </row>
    <row r="14" spans="1:9" hidden="1" x14ac:dyDescent="0.25">
      <c r="A14" s="72" t="s">
        <v>84</v>
      </c>
      <c r="B14" s="102">
        <v>301</v>
      </c>
      <c r="C14" s="102"/>
      <c r="D14" s="102"/>
      <c r="E14" s="102"/>
      <c r="F14" s="102"/>
    </row>
    <row r="15" spans="1:9" x14ac:dyDescent="0.25">
      <c r="A15" s="72" t="s">
        <v>345</v>
      </c>
      <c r="B15" s="102" t="s">
        <v>142</v>
      </c>
      <c r="C15" s="102"/>
      <c r="D15" s="102"/>
      <c r="E15" s="102"/>
      <c r="F15" s="102"/>
    </row>
    <row r="16" spans="1:9" x14ac:dyDescent="0.25">
      <c r="A16" s="72" t="s">
        <v>86</v>
      </c>
      <c r="B16" s="102" t="s">
        <v>143</v>
      </c>
      <c r="C16" s="102"/>
      <c r="D16" s="102"/>
      <c r="E16" s="102"/>
      <c r="F16" s="102"/>
    </row>
    <row r="17" spans="1:6" ht="65.849999999999994" customHeight="1" x14ac:dyDescent="0.25">
      <c r="A17" s="72" t="s">
        <v>414</v>
      </c>
      <c r="B17" s="102"/>
      <c r="C17" s="102"/>
      <c r="D17" s="102"/>
      <c r="E17" s="102"/>
      <c r="F17" s="102"/>
    </row>
    <row r="18" spans="1:6" x14ac:dyDescent="0.25">
      <c r="A18" s="72" t="s">
        <v>88</v>
      </c>
      <c r="B18" s="150">
        <v>45070</v>
      </c>
      <c r="C18" s="102"/>
      <c r="D18" s="102"/>
      <c r="E18" s="102"/>
      <c r="F18" s="102"/>
    </row>
    <row r="19" spans="1:6" x14ac:dyDescent="0.25">
      <c r="A19" s="72" t="s">
        <v>89</v>
      </c>
      <c r="B19" s="150">
        <v>45014</v>
      </c>
      <c r="C19" s="102"/>
      <c r="D19" s="102"/>
      <c r="E19" s="102"/>
      <c r="F19" s="102"/>
    </row>
    <row r="20" spans="1:6" x14ac:dyDescent="0.25">
      <c r="A20" s="72" t="s">
        <v>90</v>
      </c>
      <c r="B20" s="102" t="s">
        <v>98</v>
      </c>
      <c r="C20" s="102"/>
      <c r="D20" s="102"/>
      <c r="E20" s="102"/>
      <c r="F20" s="102"/>
    </row>
    <row r="21" spans="1:6" x14ac:dyDescent="0.25">
      <c r="A21" s="72" t="s">
        <v>91</v>
      </c>
      <c r="B21" s="102" t="s">
        <v>99</v>
      </c>
      <c r="C21" s="102"/>
      <c r="D21" s="102"/>
      <c r="E21" s="102"/>
      <c r="F21" s="102"/>
    </row>
    <row r="23" spans="1:6" x14ac:dyDescent="0.25">
      <c r="B23" s="89" t="str">
        <f>HYPERLINK("#'Factor List'!A1","Back to Factor List")</f>
        <v>Back to Factor List</v>
      </c>
    </row>
    <row r="24" spans="1:6" x14ac:dyDescent="0.25">
      <c r="B24" s="89" t="s">
        <v>13</v>
      </c>
    </row>
    <row r="26" spans="1:6" ht="39.6" x14ac:dyDescent="0.25">
      <c r="A26" s="85" t="s">
        <v>415</v>
      </c>
      <c r="B26" s="85" t="s">
        <v>424</v>
      </c>
      <c r="C26" s="85" t="s">
        <v>425</v>
      </c>
      <c r="D26" s="85" t="s">
        <v>426</v>
      </c>
      <c r="E26" s="85" t="s">
        <v>427</v>
      </c>
      <c r="F26" s="85" t="s">
        <v>428</v>
      </c>
    </row>
    <row r="27" spans="1:6" x14ac:dyDescent="0.25">
      <c r="A27" s="86">
        <v>50</v>
      </c>
      <c r="B27" s="87">
        <v>26.01</v>
      </c>
      <c r="C27" s="87">
        <v>21.86</v>
      </c>
      <c r="D27" s="87">
        <v>3.58</v>
      </c>
      <c r="E27" s="87"/>
      <c r="F27" s="87">
        <v>0</v>
      </c>
    </row>
    <row r="28" spans="1:6" x14ac:dyDescent="0.25">
      <c r="A28" s="86">
        <v>51</v>
      </c>
      <c r="B28" s="87">
        <v>25.53</v>
      </c>
      <c r="C28" s="87">
        <v>22.23</v>
      </c>
      <c r="D28" s="87">
        <v>3.61</v>
      </c>
      <c r="E28" s="87"/>
      <c r="F28" s="87">
        <v>0</v>
      </c>
    </row>
    <row r="29" spans="1:6" x14ac:dyDescent="0.25">
      <c r="A29" s="86">
        <v>52</v>
      </c>
      <c r="B29" s="87">
        <v>25.03</v>
      </c>
      <c r="C29" s="87">
        <v>22.61</v>
      </c>
      <c r="D29" s="87">
        <v>3.64</v>
      </c>
      <c r="E29" s="87"/>
      <c r="F29" s="87">
        <v>0</v>
      </c>
    </row>
    <row r="30" spans="1:6" x14ac:dyDescent="0.25">
      <c r="A30" s="86">
        <v>53</v>
      </c>
      <c r="B30" s="87">
        <v>24.5</v>
      </c>
      <c r="C30" s="87">
        <v>23.01</v>
      </c>
      <c r="D30" s="87">
        <v>3.67</v>
      </c>
      <c r="E30" s="87"/>
      <c r="F30" s="87">
        <v>0</v>
      </c>
    </row>
    <row r="31" spans="1:6" x14ac:dyDescent="0.25">
      <c r="A31" s="86">
        <v>54</v>
      </c>
      <c r="B31" s="87">
        <v>23.92</v>
      </c>
      <c r="C31" s="87">
        <v>23.41</v>
      </c>
      <c r="D31" s="87">
        <v>3.69</v>
      </c>
      <c r="E31" s="87"/>
      <c r="F31" s="87">
        <v>0</v>
      </c>
    </row>
    <row r="32" spans="1:6" x14ac:dyDescent="0.25">
      <c r="A32" s="86">
        <v>55</v>
      </c>
      <c r="B32" s="87">
        <v>23.33</v>
      </c>
      <c r="C32" s="87"/>
      <c r="D32" s="87">
        <v>3.72</v>
      </c>
      <c r="E32" s="87"/>
      <c r="F32" s="87">
        <v>0</v>
      </c>
    </row>
    <row r="33" spans="1:6" x14ac:dyDescent="0.25">
      <c r="A33" s="86">
        <v>56</v>
      </c>
      <c r="B33" s="87">
        <v>22.74</v>
      </c>
      <c r="C33" s="87"/>
      <c r="D33" s="87">
        <v>3.75</v>
      </c>
      <c r="E33" s="87"/>
      <c r="F33" s="87">
        <v>0</v>
      </c>
    </row>
    <row r="34" spans="1:6" x14ac:dyDescent="0.25">
      <c r="A34" s="86">
        <v>57</v>
      </c>
      <c r="B34" s="87">
        <v>22.14</v>
      </c>
      <c r="C34" s="87"/>
      <c r="D34" s="87">
        <v>3.77</v>
      </c>
      <c r="E34" s="87"/>
      <c r="F34" s="87">
        <v>0</v>
      </c>
    </row>
    <row r="35" spans="1:6" x14ac:dyDescent="0.25">
      <c r="A35" s="86">
        <v>58</v>
      </c>
      <c r="B35" s="87">
        <v>21.54</v>
      </c>
      <c r="C35" s="87"/>
      <c r="D35" s="87">
        <v>3.8</v>
      </c>
      <c r="E35" s="87"/>
      <c r="F35" s="87">
        <v>0</v>
      </c>
    </row>
    <row r="36" spans="1:6" x14ac:dyDescent="0.25">
      <c r="A36" s="86">
        <v>59</v>
      </c>
      <c r="B36" s="87">
        <v>20.93</v>
      </c>
      <c r="C36" s="87"/>
      <c r="D36" s="87">
        <v>3.82</v>
      </c>
      <c r="E36" s="87"/>
      <c r="F36" s="87">
        <v>0</v>
      </c>
    </row>
    <row r="37" spans="1:6" x14ac:dyDescent="0.25">
      <c r="A37" s="86">
        <v>60</v>
      </c>
      <c r="B37" s="87">
        <v>20.32</v>
      </c>
      <c r="C37" s="87"/>
      <c r="D37" s="87">
        <v>3.84</v>
      </c>
      <c r="E37" s="87"/>
      <c r="F37" s="87">
        <v>0</v>
      </c>
    </row>
    <row r="38" spans="1:6" x14ac:dyDescent="0.25">
      <c r="A38" s="86">
        <v>61</v>
      </c>
      <c r="B38" s="87">
        <v>19.7</v>
      </c>
      <c r="C38" s="87"/>
      <c r="D38" s="87">
        <v>3.86</v>
      </c>
      <c r="E38" s="87"/>
      <c r="F38" s="87">
        <v>0</v>
      </c>
    </row>
    <row r="39" spans="1:6" x14ac:dyDescent="0.25">
      <c r="A39" s="86">
        <v>62</v>
      </c>
      <c r="B39" s="87">
        <v>19.079999999999998</v>
      </c>
      <c r="C39" s="87"/>
      <c r="D39" s="87">
        <v>3.87</v>
      </c>
      <c r="E39" s="87"/>
      <c r="F39" s="87">
        <v>0</v>
      </c>
    </row>
    <row r="40" spans="1:6" x14ac:dyDescent="0.25">
      <c r="A40" s="86">
        <v>63</v>
      </c>
      <c r="B40" s="87">
        <v>18.46</v>
      </c>
      <c r="C40" s="87"/>
      <c r="D40" s="87">
        <v>3.88</v>
      </c>
      <c r="E40" s="87"/>
      <c r="F40" s="87">
        <v>0</v>
      </c>
    </row>
    <row r="41" spans="1:6" x14ac:dyDescent="0.25">
      <c r="A41" s="86">
        <v>64</v>
      </c>
      <c r="B41" s="87">
        <v>17.829999999999998</v>
      </c>
      <c r="C41" s="87"/>
      <c r="D41" s="87">
        <v>3.89</v>
      </c>
      <c r="E41" s="87"/>
      <c r="F41" s="87">
        <v>0</v>
      </c>
    </row>
    <row r="42" spans="1:6" x14ac:dyDescent="0.25">
      <c r="A42" s="86">
        <v>65</v>
      </c>
      <c r="B42" s="87">
        <v>17.2</v>
      </c>
      <c r="C42" s="87"/>
      <c r="D42" s="87">
        <v>3.89</v>
      </c>
      <c r="E42" s="87"/>
      <c r="F42" s="87"/>
    </row>
    <row r="43" spans="1:6" x14ac:dyDescent="0.25">
      <c r="A43" s="86">
        <v>66</v>
      </c>
      <c r="B43" s="87">
        <v>16.57</v>
      </c>
      <c r="C43" s="87"/>
      <c r="D43" s="87">
        <v>3.89</v>
      </c>
      <c r="E43" s="87"/>
      <c r="F43" s="87"/>
    </row>
    <row r="44" spans="1:6" x14ac:dyDescent="0.25">
      <c r="A44" s="86">
        <v>67</v>
      </c>
      <c r="B44" s="87">
        <v>15.94</v>
      </c>
      <c r="C44" s="87"/>
      <c r="D44" s="87">
        <v>3.89</v>
      </c>
      <c r="E44" s="87"/>
      <c r="F44" s="87"/>
    </row>
    <row r="45" spans="1:6" x14ac:dyDescent="0.25">
      <c r="A45" s="86">
        <v>68</v>
      </c>
      <c r="B45" s="87">
        <v>15.31</v>
      </c>
      <c r="C45" s="87"/>
      <c r="D45" s="87">
        <v>3.88</v>
      </c>
      <c r="E45" s="87"/>
      <c r="F45" s="87"/>
    </row>
    <row r="46" spans="1:6" x14ac:dyDescent="0.25">
      <c r="A46" s="86">
        <v>69</v>
      </c>
      <c r="B46" s="87">
        <v>14.67</v>
      </c>
      <c r="C46" s="87"/>
      <c r="D46" s="87">
        <v>3.86</v>
      </c>
      <c r="E46" s="87">
        <v>3.01</v>
      </c>
      <c r="F46" s="87"/>
    </row>
    <row r="47" spans="1:6" x14ac:dyDescent="0.25">
      <c r="A47" s="86">
        <v>70</v>
      </c>
      <c r="B47" s="87">
        <v>14.04</v>
      </c>
      <c r="C47" s="87"/>
      <c r="D47" s="87">
        <v>3.84</v>
      </c>
      <c r="E47" s="87">
        <v>2.8</v>
      </c>
      <c r="F47" s="87"/>
    </row>
    <row r="48" spans="1:6" x14ac:dyDescent="0.25">
      <c r="A48" s="86">
        <v>71</v>
      </c>
      <c r="B48" s="87">
        <v>13.42</v>
      </c>
      <c r="C48" s="87"/>
      <c r="D48" s="87">
        <v>3.82</v>
      </c>
      <c r="E48" s="87">
        <v>2.6</v>
      </c>
      <c r="F48" s="87"/>
    </row>
    <row r="49" spans="1:6" x14ac:dyDescent="0.25">
      <c r="A49" s="86">
        <v>72</v>
      </c>
      <c r="B49" s="87">
        <v>12.79</v>
      </c>
      <c r="C49" s="87"/>
      <c r="D49" s="87">
        <v>3.79</v>
      </c>
      <c r="E49" s="87">
        <v>2.41</v>
      </c>
      <c r="F49" s="87"/>
    </row>
    <row r="50" spans="1:6" x14ac:dyDescent="0.25">
      <c r="A50" s="86">
        <v>73</v>
      </c>
      <c r="B50" s="87">
        <v>12.17</v>
      </c>
      <c r="C50" s="87"/>
      <c r="D50" s="87">
        <v>3.75</v>
      </c>
      <c r="E50" s="87">
        <v>2.23</v>
      </c>
      <c r="F50" s="87"/>
    </row>
    <row r="51" spans="1:6" x14ac:dyDescent="0.25">
      <c r="A51" s="86">
        <v>74</v>
      </c>
      <c r="B51" s="87">
        <v>11.56</v>
      </c>
      <c r="C51" s="87"/>
      <c r="D51" s="87">
        <v>3.61</v>
      </c>
      <c r="E51" s="87">
        <v>2.04</v>
      </c>
      <c r="F51" s="87"/>
    </row>
    <row r="52" spans="1:6" x14ac:dyDescent="0.25">
      <c r="A52" s="86">
        <v>75</v>
      </c>
      <c r="B52" s="87">
        <v>10.95</v>
      </c>
      <c r="C52" s="87"/>
      <c r="D52" s="87">
        <v>3.47</v>
      </c>
      <c r="E52" s="87">
        <v>1.86</v>
      </c>
      <c r="F52" s="87"/>
    </row>
    <row r="53" spans="1:6" x14ac:dyDescent="0.25">
      <c r="A53" s="86">
        <v>76</v>
      </c>
      <c r="B53" s="87">
        <v>10.36</v>
      </c>
      <c r="C53" s="87"/>
      <c r="D53" s="87">
        <v>3.41</v>
      </c>
      <c r="E53" s="87">
        <v>1.7</v>
      </c>
      <c r="F53" s="87"/>
    </row>
    <row r="54" spans="1:6" x14ac:dyDescent="0.25">
      <c r="A54" s="86">
        <v>77</v>
      </c>
      <c r="B54" s="87">
        <v>9.77</v>
      </c>
      <c r="C54" s="87"/>
      <c r="D54" s="87">
        <v>3.35</v>
      </c>
      <c r="E54" s="87">
        <v>1.54</v>
      </c>
      <c r="F54" s="87"/>
    </row>
    <row r="55" spans="1:6" x14ac:dyDescent="0.25">
      <c r="A55" s="86">
        <v>78</v>
      </c>
      <c r="B55" s="87">
        <v>9.19</v>
      </c>
      <c r="C55" s="87"/>
      <c r="D55" s="87">
        <v>3.29</v>
      </c>
      <c r="E55" s="87">
        <v>1.4</v>
      </c>
      <c r="F55" s="87"/>
    </row>
    <row r="56" spans="1:6" x14ac:dyDescent="0.25">
      <c r="A56" s="86">
        <v>79</v>
      </c>
      <c r="B56" s="87">
        <v>8.6300000000000008</v>
      </c>
      <c r="C56" s="87"/>
      <c r="D56" s="87">
        <v>3.04</v>
      </c>
      <c r="E56" s="87">
        <v>1.25</v>
      </c>
      <c r="F56" s="87"/>
    </row>
    <row r="57" spans="1:6" x14ac:dyDescent="0.25">
      <c r="A57" s="86">
        <v>80</v>
      </c>
      <c r="B57" s="87">
        <v>8.09</v>
      </c>
      <c r="C57" s="87"/>
      <c r="D57" s="87">
        <v>2.78</v>
      </c>
      <c r="E57" s="87">
        <v>1.1100000000000001</v>
      </c>
      <c r="F57" s="87"/>
    </row>
    <row r="58" spans="1:6" x14ac:dyDescent="0.25">
      <c r="A58" s="86">
        <v>81</v>
      </c>
      <c r="B58" s="87">
        <v>7.56</v>
      </c>
      <c r="C58" s="87"/>
      <c r="D58" s="87">
        <v>2.7</v>
      </c>
      <c r="E58" s="87">
        <v>0.99</v>
      </c>
      <c r="F58" s="87"/>
    </row>
    <row r="59" spans="1:6" x14ac:dyDescent="0.25">
      <c r="A59" s="86">
        <v>82</v>
      </c>
      <c r="B59" s="87">
        <v>7.05</v>
      </c>
      <c r="C59" s="87"/>
      <c r="D59" s="87">
        <v>2.61</v>
      </c>
      <c r="E59" s="87">
        <v>0.88</v>
      </c>
      <c r="F59" s="87"/>
    </row>
    <row r="60" spans="1:6" x14ac:dyDescent="0.25">
      <c r="A60" s="86">
        <v>83</v>
      </c>
      <c r="B60" s="87">
        <v>6.56</v>
      </c>
      <c r="C60" s="87"/>
      <c r="D60" s="87">
        <v>2.52</v>
      </c>
      <c r="E60" s="87">
        <v>0.79</v>
      </c>
      <c r="F60" s="87"/>
    </row>
    <row r="61" spans="1:6" x14ac:dyDescent="0.25">
      <c r="A61" s="86">
        <v>84</v>
      </c>
      <c r="B61" s="87">
        <v>6.1</v>
      </c>
      <c r="C61" s="87"/>
      <c r="D61" s="87">
        <v>2.2000000000000002</v>
      </c>
      <c r="E61" s="87">
        <v>0.68</v>
      </c>
      <c r="F61" s="87"/>
    </row>
    <row r="62" spans="1:6" x14ac:dyDescent="0.25">
      <c r="A62" s="86">
        <v>85</v>
      </c>
      <c r="B62" s="87">
        <v>5.65</v>
      </c>
      <c r="C62" s="87"/>
      <c r="D62" s="87">
        <v>1.88</v>
      </c>
      <c r="E62" s="87">
        <v>0.57999999999999996</v>
      </c>
      <c r="F62" s="87"/>
    </row>
    <row r="63" spans="1:6" x14ac:dyDescent="0.25">
      <c r="A63"/>
      <c r="B63"/>
    </row>
    <row r="64" spans="1:6" x14ac:dyDescent="0.25">
      <c r="A64"/>
      <c r="B64"/>
    </row>
    <row r="65" spans="1:2" x14ac:dyDescent="0.25">
      <c r="A65"/>
      <c r="B65"/>
    </row>
  </sheetData>
  <sheetProtection algorithmName="SHA-512" hashValue="vvW04W+n7hx8R2g1WXS+okHA6XsPY3U0oq98pTtYl0OGoirsG0Qs/S2LK7LJ84dUoYlysotbbinE4+dOayalyA==" saltValue="KnaIKmNUa/5+H3/WDy8HBA==" spinCount="100000" sheet="1" objects="1" scenarios="1"/>
  <conditionalFormatting sqref="A6:A21">
    <cfRule type="expression" dxfId="721" priority="1" stopIfTrue="1">
      <formula>MOD(ROW(),2)=0</formula>
    </cfRule>
    <cfRule type="expression" dxfId="720" priority="2" stopIfTrue="1">
      <formula>MOD(ROW(),2)&lt;&gt;0</formula>
    </cfRule>
  </conditionalFormatting>
  <conditionalFormatting sqref="A26:A62">
    <cfRule type="expression" dxfId="719" priority="5" stopIfTrue="1">
      <formula>MOD(ROW(),2)=0</formula>
    </cfRule>
    <cfRule type="expression" dxfId="718" priority="6" stopIfTrue="1">
      <formula>MOD(ROW(),2)&lt;&gt;0</formula>
    </cfRule>
  </conditionalFormatting>
  <conditionalFormatting sqref="B17:B19">
    <cfRule type="expression" dxfId="717" priority="9" stopIfTrue="1">
      <formula>MOD(ROW(),2)=0</formula>
    </cfRule>
    <cfRule type="expression" dxfId="716" priority="10" stopIfTrue="1">
      <formula>MOD(ROW(),2)&lt;&gt;0</formula>
    </cfRule>
  </conditionalFormatting>
  <conditionalFormatting sqref="B6:F21">
    <cfRule type="expression" dxfId="715" priority="25" stopIfTrue="1">
      <formula>MOD(ROW(),2)=0</formula>
    </cfRule>
    <cfRule type="expression" dxfId="714" priority="26" stopIfTrue="1">
      <formula>MOD(ROW(),2)&lt;&gt;0</formula>
    </cfRule>
  </conditionalFormatting>
  <conditionalFormatting sqref="B26:F62">
    <cfRule type="expression" dxfId="713" priority="7" stopIfTrue="1">
      <formula>MOD(ROW(),2)=0</formula>
    </cfRule>
    <cfRule type="expression" dxfId="712" priority="8" stopIfTrue="1">
      <formula>MOD(ROW(),2)&lt;&gt;0</formula>
    </cfRule>
  </conditionalFormatting>
  <conditionalFormatting sqref="C17:F17">
    <cfRule type="expression" dxfId="711" priority="3" stopIfTrue="1">
      <formula>MOD(ROW(),2)=0</formula>
    </cfRule>
    <cfRule type="expression" dxfId="710" priority="4" stopIfTrue="1">
      <formula>MOD(ROW(),2)&lt;&gt;0</formula>
    </cfRule>
  </conditionalFormatting>
  <hyperlinks>
    <hyperlink ref="B24" location="Assumptions!A1" display="Assumptions" xr:uid="{ED7264CA-0729-4928-80A1-FC49B0A2C1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5"/>
  <dimension ref="A1:I65"/>
  <sheetViews>
    <sheetView showGridLines="0" topLeftCell="A3" zoomScale="84" zoomScaleNormal="84" workbookViewId="0">
      <selection activeCell="B6" sqref="B6:F21"/>
    </sheetView>
  </sheetViews>
  <sheetFormatPr defaultColWidth="10" defaultRowHeight="13.2" x14ac:dyDescent="0.25"/>
  <cols>
    <col min="1" max="1" width="31.5546875" style="27" customWidth="1"/>
    <col min="2" max="6" width="22.5546875" style="27" customWidth="1"/>
    <col min="7"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x-302</v>
      </c>
      <c r="B3" s="42"/>
      <c r="C3" s="42"/>
      <c r="D3" s="42"/>
      <c r="E3" s="42"/>
      <c r="F3" s="42"/>
      <c r="G3" s="42"/>
      <c r="H3" s="42"/>
      <c r="I3" s="42"/>
    </row>
    <row r="4" spans="1:9" x14ac:dyDescent="0.25">
      <c r="A4" s="44"/>
    </row>
    <row r="6" spans="1:9" x14ac:dyDescent="0.25">
      <c r="A6" s="146" t="s">
        <v>334</v>
      </c>
      <c r="B6" s="102" t="s">
        <v>335</v>
      </c>
      <c r="C6" s="102"/>
      <c r="D6" s="102"/>
      <c r="E6" s="102"/>
      <c r="F6" s="102"/>
    </row>
    <row r="7" spans="1:9" x14ac:dyDescent="0.25">
      <c r="A7" s="72" t="s">
        <v>78</v>
      </c>
      <c r="B7" s="102" t="s">
        <v>67</v>
      </c>
      <c r="C7" s="102"/>
      <c r="D7" s="102"/>
      <c r="E7" s="102"/>
      <c r="F7" s="102"/>
    </row>
    <row r="8" spans="1:9" x14ac:dyDescent="0.25">
      <c r="A8" s="72" t="s">
        <v>79</v>
      </c>
      <c r="B8" s="102">
        <v>1992</v>
      </c>
      <c r="C8" s="102"/>
      <c r="D8" s="102"/>
      <c r="E8" s="102"/>
      <c r="F8" s="102"/>
    </row>
    <row r="9" spans="1:9" x14ac:dyDescent="0.25">
      <c r="A9" s="72" t="s">
        <v>80</v>
      </c>
      <c r="B9" s="102" t="s">
        <v>140</v>
      </c>
      <c r="C9" s="102"/>
      <c r="D9" s="102"/>
      <c r="E9" s="102"/>
      <c r="F9" s="102"/>
    </row>
    <row r="10" spans="1:9" x14ac:dyDescent="0.25">
      <c r="A10" s="72" t="s">
        <v>6</v>
      </c>
      <c r="B10" s="102" t="s">
        <v>141</v>
      </c>
      <c r="C10" s="102"/>
      <c r="D10" s="102"/>
      <c r="E10" s="102"/>
      <c r="F10" s="102"/>
    </row>
    <row r="11" spans="1:9" x14ac:dyDescent="0.25">
      <c r="A11" s="72" t="s">
        <v>81</v>
      </c>
      <c r="B11" s="102" t="s">
        <v>100</v>
      </c>
      <c r="C11" s="102"/>
      <c r="D11" s="102"/>
      <c r="E11" s="102"/>
      <c r="F11" s="102"/>
    </row>
    <row r="12" spans="1:9" x14ac:dyDescent="0.25">
      <c r="A12" s="72" t="s">
        <v>82</v>
      </c>
      <c r="B12" s="102" t="s">
        <v>95</v>
      </c>
      <c r="C12" s="102"/>
      <c r="D12" s="102"/>
      <c r="E12" s="102"/>
      <c r="F12" s="102"/>
    </row>
    <row r="13" spans="1:9" hidden="1" x14ac:dyDescent="0.25">
      <c r="A13" s="72" t="s">
        <v>342</v>
      </c>
      <c r="B13" s="102">
        <v>2</v>
      </c>
      <c r="C13" s="102"/>
      <c r="D13" s="102"/>
      <c r="E13" s="102"/>
      <c r="F13" s="102"/>
    </row>
    <row r="14" spans="1:9" hidden="1" x14ac:dyDescent="0.25">
      <c r="A14" s="72" t="s">
        <v>84</v>
      </c>
      <c r="B14" s="102">
        <v>302</v>
      </c>
      <c r="C14" s="102"/>
      <c r="D14" s="102"/>
      <c r="E14" s="102"/>
      <c r="F14" s="102"/>
    </row>
    <row r="15" spans="1:9" x14ac:dyDescent="0.25">
      <c r="A15" s="72" t="s">
        <v>345</v>
      </c>
      <c r="B15" s="102" t="s">
        <v>144</v>
      </c>
      <c r="C15" s="102"/>
      <c r="D15" s="102"/>
      <c r="E15" s="102"/>
      <c r="F15" s="102"/>
    </row>
    <row r="16" spans="1:9" x14ac:dyDescent="0.25">
      <c r="A16" s="72" t="s">
        <v>86</v>
      </c>
      <c r="B16" s="102" t="s">
        <v>145</v>
      </c>
      <c r="C16" s="102"/>
      <c r="D16" s="102"/>
      <c r="E16" s="102"/>
      <c r="F16" s="102"/>
    </row>
    <row r="17" spans="1:6" ht="69" customHeight="1" x14ac:dyDescent="0.25">
      <c r="A17" s="72" t="s">
        <v>414</v>
      </c>
      <c r="B17" s="102"/>
      <c r="C17" s="102"/>
      <c r="D17" s="102"/>
      <c r="E17" s="102"/>
      <c r="F17" s="102"/>
    </row>
    <row r="18" spans="1:6" x14ac:dyDescent="0.25">
      <c r="A18" s="72" t="s">
        <v>88</v>
      </c>
      <c r="B18" s="150">
        <v>45070</v>
      </c>
      <c r="C18" s="102"/>
      <c r="D18" s="102"/>
      <c r="E18" s="102"/>
      <c r="F18" s="102"/>
    </row>
    <row r="19" spans="1:6" x14ac:dyDescent="0.25">
      <c r="A19" s="72" t="s">
        <v>89</v>
      </c>
      <c r="B19" s="150">
        <v>45014</v>
      </c>
      <c r="C19" s="102"/>
      <c r="D19" s="102"/>
      <c r="E19" s="102"/>
      <c r="F19" s="102"/>
    </row>
    <row r="20" spans="1:6" x14ac:dyDescent="0.25">
      <c r="A20" s="72" t="s">
        <v>90</v>
      </c>
      <c r="B20" s="102" t="s">
        <v>98</v>
      </c>
      <c r="C20" s="102"/>
      <c r="D20" s="102"/>
      <c r="E20" s="102"/>
      <c r="F20" s="102"/>
    </row>
    <row r="21" spans="1:6" x14ac:dyDescent="0.25">
      <c r="A21" s="72" t="s">
        <v>91</v>
      </c>
      <c r="B21" s="102" t="s">
        <v>99</v>
      </c>
      <c r="C21" s="102"/>
      <c r="D21" s="102"/>
      <c r="E21" s="102"/>
      <c r="F21" s="102"/>
    </row>
    <row r="23" spans="1:6" x14ac:dyDescent="0.25">
      <c r="B23" s="89" t="str">
        <f>HYPERLINK("#'Factor List'!A1","Back to Factor List")</f>
        <v>Back to Factor List</v>
      </c>
    </row>
    <row r="24" spans="1:6" x14ac:dyDescent="0.25">
      <c r="B24" s="89" t="s">
        <v>13</v>
      </c>
    </row>
    <row r="26" spans="1:6" ht="39.6" x14ac:dyDescent="0.25">
      <c r="A26" s="85" t="s">
        <v>415</v>
      </c>
      <c r="B26" s="85" t="s">
        <v>424</v>
      </c>
      <c r="C26" s="85" t="s">
        <v>425</v>
      </c>
      <c r="D26" s="85" t="s">
        <v>426</v>
      </c>
      <c r="E26" s="85" t="s">
        <v>427</v>
      </c>
      <c r="F26" s="85" t="s">
        <v>428</v>
      </c>
    </row>
    <row r="27" spans="1:6" x14ac:dyDescent="0.25">
      <c r="A27" s="86">
        <v>50</v>
      </c>
      <c r="B27" s="87">
        <v>26.01</v>
      </c>
      <c r="C27" s="87">
        <v>21.86</v>
      </c>
      <c r="D27" s="87">
        <v>3.58</v>
      </c>
      <c r="E27" s="87"/>
      <c r="F27" s="87">
        <v>0</v>
      </c>
    </row>
    <row r="28" spans="1:6" x14ac:dyDescent="0.25">
      <c r="A28" s="86">
        <v>51</v>
      </c>
      <c r="B28" s="87">
        <v>25.53</v>
      </c>
      <c r="C28" s="87">
        <v>22.23</v>
      </c>
      <c r="D28" s="87">
        <v>3.61</v>
      </c>
      <c r="E28" s="87"/>
      <c r="F28" s="87">
        <v>0</v>
      </c>
    </row>
    <row r="29" spans="1:6" x14ac:dyDescent="0.25">
      <c r="A29" s="86">
        <v>52</v>
      </c>
      <c r="B29" s="87">
        <v>25.03</v>
      </c>
      <c r="C29" s="87">
        <v>22.61</v>
      </c>
      <c r="D29" s="87">
        <v>3.64</v>
      </c>
      <c r="E29" s="87"/>
      <c r="F29" s="87">
        <v>0</v>
      </c>
    </row>
    <row r="30" spans="1:6" x14ac:dyDescent="0.25">
      <c r="A30" s="86">
        <v>53</v>
      </c>
      <c r="B30" s="87">
        <v>24.5</v>
      </c>
      <c r="C30" s="87">
        <v>23.01</v>
      </c>
      <c r="D30" s="87">
        <v>3.67</v>
      </c>
      <c r="E30" s="87"/>
      <c r="F30" s="87">
        <v>0</v>
      </c>
    </row>
    <row r="31" spans="1:6" x14ac:dyDescent="0.25">
      <c r="A31" s="86">
        <v>54</v>
      </c>
      <c r="B31" s="87">
        <v>23.92</v>
      </c>
      <c r="C31" s="87">
        <v>23.41</v>
      </c>
      <c r="D31" s="87">
        <v>3.69</v>
      </c>
      <c r="E31" s="87"/>
      <c r="F31" s="87">
        <v>0</v>
      </c>
    </row>
    <row r="32" spans="1:6" x14ac:dyDescent="0.25">
      <c r="A32" s="86">
        <v>55</v>
      </c>
      <c r="B32" s="87">
        <v>23.33</v>
      </c>
      <c r="C32" s="87"/>
      <c r="D32" s="87">
        <v>3.72</v>
      </c>
      <c r="E32" s="87"/>
      <c r="F32" s="87">
        <v>0</v>
      </c>
    </row>
    <row r="33" spans="1:6" x14ac:dyDescent="0.25">
      <c r="A33" s="86">
        <v>56</v>
      </c>
      <c r="B33" s="87">
        <v>22.74</v>
      </c>
      <c r="C33" s="87"/>
      <c r="D33" s="87">
        <v>3.75</v>
      </c>
      <c r="E33" s="87"/>
      <c r="F33" s="87">
        <v>0</v>
      </c>
    </row>
    <row r="34" spans="1:6" x14ac:dyDescent="0.25">
      <c r="A34" s="86">
        <v>57</v>
      </c>
      <c r="B34" s="87">
        <v>22.14</v>
      </c>
      <c r="C34" s="87"/>
      <c r="D34" s="87">
        <v>3.77</v>
      </c>
      <c r="E34" s="87"/>
      <c r="F34" s="87">
        <v>0</v>
      </c>
    </row>
    <row r="35" spans="1:6" x14ac:dyDescent="0.25">
      <c r="A35" s="86">
        <v>58</v>
      </c>
      <c r="B35" s="87">
        <v>21.54</v>
      </c>
      <c r="C35" s="87"/>
      <c r="D35" s="87">
        <v>3.8</v>
      </c>
      <c r="E35" s="87"/>
      <c r="F35" s="87">
        <v>0</v>
      </c>
    </row>
    <row r="36" spans="1:6" x14ac:dyDescent="0.25">
      <c r="A36" s="86">
        <v>59</v>
      </c>
      <c r="B36" s="87">
        <v>20.93</v>
      </c>
      <c r="C36" s="87"/>
      <c r="D36" s="87">
        <v>3.82</v>
      </c>
      <c r="E36" s="87"/>
      <c r="F36" s="87">
        <v>0</v>
      </c>
    </row>
    <row r="37" spans="1:6" x14ac:dyDescent="0.25">
      <c r="A37" s="86">
        <v>60</v>
      </c>
      <c r="B37" s="87">
        <v>20.32</v>
      </c>
      <c r="C37" s="87"/>
      <c r="D37" s="87">
        <v>3.84</v>
      </c>
      <c r="E37" s="87"/>
      <c r="F37" s="87">
        <v>0</v>
      </c>
    </row>
    <row r="38" spans="1:6" x14ac:dyDescent="0.25">
      <c r="A38" s="86">
        <v>61</v>
      </c>
      <c r="B38" s="87">
        <v>19.7</v>
      </c>
      <c r="C38" s="87"/>
      <c r="D38" s="87">
        <v>3.86</v>
      </c>
      <c r="E38" s="87"/>
      <c r="F38" s="87">
        <v>0</v>
      </c>
    </row>
    <row r="39" spans="1:6" x14ac:dyDescent="0.25">
      <c r="A39" s="86">
        <v>62</v>
      </c>
      <c r="B39" s="87">
        <v>19.079999999999998</v>
      </c>
      <c r="C39" s="87"/>
      <c r="D39" s="87">
        <v>3.87</v>
      </c>
      <c r="E39" s="87"/>
      <c r="F39" s="87">
        <v>0</v>
      </c>
    </row>
    <row r="40" spans="1:6" x14ac:dyDescent="0.25">
      <c r="A40" s="86">
        <v>63</v>
      </c>
      <c r="B40" s="87">
        <v>18.46</v>
      </c>
      <c r="C40" s="87"/>
      <c r="D40" s="87">
        <v>3.88</v>
      </c>
      <c r="E40" s="87"/>
      <c r="F40" s="87">
        <v>0</v>
      </c>
    </row>
    <row r="41" spans="1:6" x14ac:dyDescent="0.25">
      <c r="A41" s="86">
        <v>64</v>
      </c>
      <c r="B41" s="87">
        <v>17.829999999999998</v>
      </c>
      <c r="C41" s="87"/>
      <c r="D41" s="87">
        <v>3.89</v>
      </c>
      <c r="E41" s="87"/>
      <c r="F41" s="87">
        <v>0</v>
      </c>
    </row>
    <row r="42" spans="1:6" x14ac:dyDescent="0.25">
      <c r="A42" s="86">
        <v>65</v>
      </c>
      <c r="B42" s="87">
        <v>17.2</v>
      </c>
      <c r="C42" s="87"/>
      <c r="D42" s="87">
        <v>3.89</v>
      </c>
      <c r="E42" s="87"/>
      <c r="F42" s="87"/>
    </row>
    <row r="43" spans="1:6" x14ac:dyDescent="0.25">
      <c r="A43" s="86">
        <v>66</v>
      </c>
      <c r="B43" s="87">
        <v>16.57</v>
      </c>
      <c r="C43" s="87"/>
      <c r="D43" s="87">
        <v>3.89</v>
      </c>
      <c r="E43" s="87"/>
      <c r="F43" s="87"/>
    </row>
    <row r="44" spans="1:6" x14ac:dyDescent="0.25">
      <c r="A44" s="86">
        <v>67</v>
      </c>
      <c r="B44" s="87">
        <v>15.94</v>
      </c>
      <c r="C44" s="87"/>
      <c r="D44" s="87">
        <v>3.89</v>
      </c>
      <c r="E44" s="87"/>
      <c r="F44" s="87"/>
    </row>
    <row r="45" spans="1:6" x14ac:dyDescent="0.25">
      <c r="A45" s="86">
        <v>68</v>
      </c>
      <c r="B45" s="87">
        <v>15.31</v>
      </c>
      <c r="C45" s="87"/>
      <c r="D45" s="87">
        <v>3.88</v>
      </c>
      <c r="E45" s="87"/>
      <c r="F45" s="87"/>
    </row>
    <row r="46" spans="1:6" x14ac:dyDescent="0.25">
      <c r="A46" s="86">
        <v>69</v>
      </c>
      <c r="B46" s="87">
        <v>14.67</v>
      </c>
      <c r="C46" s="87"/>
      <c r="D46" s="87">
        <v>3.86</v>
      </c>
      <c r="E46" s="87">
        <v>2.82</v>
      </c>
      <c r="F46" s="87"/>
    </row>
    <row r="47" spans="1:6" x14ac:dyDescent="0.25">
      <c r="A47" s="86">
        <v>70</v>
      </c>
      <c r="B47" s="87">
        <v>14.04</v>
      </c>
      <c r="C47" s="87"/>
      <c r="D47" s="87">
        <v>3.84</v>
      </c>
      <c r="E47" s="87">
        <v>2.62</v>
      </c>
      <c r="F47" s="87"/>
    </row>
    <row r="48" spans="1:6" x14ac:dyDescent="0.25">
      <c r="A48" s="86">
        <v>71</v>
      </c>
      <c r="B48" s="87">
        <v>13.42</v>
      </c>
      <c r="C48" s="87"/>
      <c r="D48" s="87">
        <v>3.82</v>
      </c>
      <c r="E48" s="87">
        <v>2.42</v>
      </c>
      <c r="F48" s="87"/>
    </row>
    <row r="49" spans="1:6" x14ac:dyDescent="0.25">
      <c r="A49" s="86">
        <v>72</v>
      </c>
      <c r="B49" s="87">
        <v>12.79</v>
      </c>
      <c r="C49" s="87"/>
      <c r="D49" s="87">
        <v>3.79</v>
      </c>
      <c r="E49" s="87">
        <v>2.23</v>
      </c>
      <c r="F49" s="87"/>
    </row>
    <row r="50" spans="1:6" x14ac:dyDescent="0.25">
      <c r="A50" s="86">
        <v>73</v>
      </c>
      <c r="B50" s="87">
        <v>12.17</v>
      </c>
      <c r="C50" s="87"/>
      <c r="D50" s="87">
        <v>3.75</v>
      </c>
      <c r="E50" s="87">
        <v>2.0499999999999998</v>
      </c>
      <c r="F50" s="87"/>
    </row>
    <row r="51" spans="1:6" x14ac:dyDescent="0.25">
      <c r="A51" s="86">
        <v>74</v>
      </c>
      <c r="B51" s="87">
        <v>11.56</v>
      </c>
      <c r="C51" s="87"/>
      <c r="D51" s="87">
        <v>3.61</v>
      </c>
      <c r="E51" s="87">
        <v>1.88</v>
      </c>
      <c r="F51" s="87"/>
    </row>
    <row r="52" spans="1:6" x14ac:dyDescent="0.25">
      <c r="A52" s="86">
        <v>75</v>
      </c>
      <c r="B52" s="87">
        <v>10.95</v>
      </c>
      <c r="C52" s="87"/>
      <c r="D52" s="87">
        <v>3.47</v>
      </c>
      <c r="E52" s="87">
        <v>1.71</v>
      </c>
      <c r="F52" s="87"/>
    </row>
    <row r="53" spans="1:6" x14ac:dyDescent="0.25">
      <c r="A53" s="86">
        <v>76</v>
      </c>
      <c r="B53" s="87">
        <v>10.36</v>
      </c>
      <c r="C53" s="87"/>
      <c r="D53" s="87">
        <v>3.41</v>
      </c>
      <c r="E53" s="87">
        <v>1.56</v>
      </c>
      <c r="F53" s="87"/>
    </row>
    <row r="54" spans="1:6" x14ac:dyDescent="0.25">
      <c r="A54" s="86">
        <v>77</v>
      </c>
      <c r="B54" s="87">
        <v>9.77</v>
      </c>
      <c r="C54" s="87"/>
      <c r="D54" s="87">
        <v>3.35</v>
      </c>
      <c r="E54" s="87">
        <v>1.41</v>
      </c>
      <c r="F54" s="87"/>
    </row>
    <row r="55" spans="1:6" x14ac:dyDescent="0.25">
      <c r="A55" s="86">
        <v>78</v>
      </c>
      <c r="B55" s="87">
        <v>9.19</v>
      </c>
      <c r="C55" s="87"/>
      <c r="D55" s="87">
        <v>3.29</v>
      </c>
      <c r="E55" s="87">
        <v>1.27</v>
      </c>
      <c r="F55" s="87"/>
    </row>
    <row r="56" spans="1:6" x14ac:dyDescent="0.25">
      <c r="A56" s="86">
        <v>79</v>
      </c>
      <c r="B56" s="87">
        <v>8.6300000000000008</v>
      </c>
      <c r="C56" s="87"/>
      <c r="D56" s="87">
        <v>3.04</v>
      </c>
      <c r="E56" s="87">
        <v>1.1299999999999999</v>
      </c>
      <c r="F56" s="87"/>
    </row>
    <row r="57" spans="1:6" x14ac:dyDescent="0.25">
      <c r="A57" s="86">
        <v>80</v>
      </c>
      <c r="B57" s="87">
        <v>8.09</v>
      </c>
      <c r="C57" s="87"/>
      <c r="D57" s="87">
        <v>2.78</v>
      </c>
      <c r="E57" s="87">
        <v>1.01</v>
      </c>
      <c r="F57" s="87"/>
    </row>
    <row r="58" spans="1:6" x14ac:dyDescent="0.25">
      <c r="A58" s="86">
        <v>81</v>
      </c>
      <c r="B58" s="87">
        <v>7.56</v>
      </c>
      <c r="C58" s="87"/>
      <c r="D58" s="87">
        <v>2.7</v>
      </c>
      <c r="E58" s="87">
        <v>0.9</v>
      </c>
      <c r="F58" s="87"/>
    </row>
    <row r="59" spans="1:6" x14ac:dyDescent="0.25">
      <c r="A59" s="86">
        <v>82</v>
      </c>
      <c r="B59" s="87">
        <v>7.05</v>
      </c>
      <c r="C59" s="87"/>
      <c r="D59" s="87">
        <v>2.61</v>
      </c>
      <c r="E59" s="87">
        <v>0.8</v>
      </c>
      <c r="F59" s="87"/>
    </row>
    <row r="60" spans="1:6" x14ac:dyDescent="0.25">
      <c r="A60" s="86">
        <v>83</v>
      </c>
      <c r="B60" s="87">
        <v>6.56</v>
      </c>
      <c r="C60" s="87"/>
      <c r="D60" s="87">
        <v>2.52</v>
      </c>
      <c r="E60" s="87">
        <v>0.7</v>
      </c>
      <c r="F60" s="87"/>
    </row>
    <row r="61" spans="1:6" x14ac:dyDescent="0.25">
      <c r="A61" s="86">
        <v>84</v>
      </c>
      <c r="B61" s="87">
        <v>6.1</v>
      </c>
      <c r="C61" s="87"/>
      <c r="D61" s="87">
        <v>2.2000000000000002</v>
      </c>
      <c r="E61" s="87">
        <v>0.61</v>
      </c>
      <c r="F61" s="87"/>
    </row>
    <row r="62" spans="1:6" x14ac:dyDescent="0.25">
      <c r="A62" s="86">
        <v>85</v>
      </c>
      <c r="B62" s="87">
        <v>5.65</v>
      </c>
      <c r="C62" s="87"/>
      <c r="D62" s="87">
        <v>1.88</v>
      </c>
      <c r="E62" s="87">
        <v>0.54</v>
      </c>
      <c r="F62" s="87"/>
    </row>
    <row r="63" spans="1:6" x14ac:dyDescent="0.25">
      <c r="A63"/>
      <c r="B63"/>
    </row>
    <row r="64" spans="1:6" x14ac:dyDescent="0.25">
      <c r="A64"/>
      <c r="B64"/>
    </row>
    <row r="65" spans="1:2" x14ac:dyDescent="0.25">
      <c r="A65"/>
      <c r="B65"/>
    </row>
  </sheetData>
  <sheetProtection algorithmName="SHA-512" hashValue="13mdf3uSltlJ6VNlasUNs4jbYYOX8QEwx3B0O9OIm/ETEuiLr2/y+Rz2tswuN7gfNMsDu3GAKsyZjDHOp9cZ0g==" saltValue="Khi/M5W2MqGLINYdUA3nsw==" spinCount="100000" sheet="1" objects="1" scenarios="1"/>
  <conditionalFormatting sqref="A6:A21">
    <cfRule type="expression" dxfId="709" priority="1" stopIfTrue="1">
      <formula>MOD(ROW(),2)=0</formula>
    </cfRule>
    <cfRule type="expression" dxfId="708" priority="2" stopIfTrue="1">
      <formula>MOD(ROW(),2)&lt;&gt;0</formula>
    </cfRule>
  </conditionalFormatting>
  <conditionalFormatting sqref="A26:A62">
    <cfRule type="expression" dxfId="707" priority="5" stopIfTrue="1">
      <formula>MOD(ROW(),2)=0</formula>
    </cfRule>
    <cfRule type="expression" dxfId="706" priority="6" stopIfTrue="1">
      <formula>MOD(ROW(),2)&lt;&gt;0</formula>
    </cfRule>
  </conditionalFormatting>
  <conditionalFormatting sqref="B17:B19">
    <cfRule type="expression" dxfId="705" priority="9" stopIfTrue="1">
      <formula>MOD(ROW(),2)=0</formula>
    </cfRule>
    <cfRule type="expression" dxfId="704" priority="10" stopIfTrue="1">
      <formula>MOD(ROW(),2)&lt;&gt;0</formula>
    </cfRule>
  </conditionalFormatting>
  <conditionalFormatting sqref="B6:F6 C7:F7 C18:F19 B20:F21">
    <cfRule type="expression" dxfId="703" priority="29" stopIfTrue="1">
      <formula>MOD(ROW(),2)=0</formula>
    </cfRule>
    <cfRule type="expression" dxfId="702" priority="30" stopIfTrue="1">
      <formula>MOD(ROW(),2)&lt;&gt;0</formula>
    </cfRule>
  </conditionalFormatting>
  <conditionalFormatting sqref="B6:F21">
    <cfRule type="expression" dxfId="701" priority="19" stopIfTrue="1">
      <formula>MOD(ROW(),2)=0</formula>
    </cfRule>
    <cfRule type="expression" dxfId="700" priority="20" stopIfTrue="1">
      <formula>MOD(ROW(),2)&lt;&gt;0</formula>
    </cfRule>
  </conditionalFormatting>
  <conditionalFormatting sqref="B8:F16">
    <cfRule type="expression" dxfId="699" priority="21" stopIfTrue="1">
      <formula>MOD(ROW(),2)=0</formula>
    </cfRule>
    <cfRule type="expression" dxfId="698" priority="22" stopIfTrue="1">
      <formula>MOD(ROW(),2)&lt;&gt;0</formula>
    </cfRule>
  </conditionalFormatting>
  <conditionalFormatting sqref="B26:F62">
    <cfRule type="expression" dxfId="697" priority="7" stopIfTrue="1">
      <formula>MOD(ROW(),2)=0</formula>
    </cfRule>
    <cfRule type="expression" dxfId="696" priority="8" stopIfTrue="1">
      <formula>MOD(ROW(),2)&lt;&gt;0</formula>
    </cfRule>
  </conditionalFormatting>
  <conditionalFormatting sqref="C17:F17">
    <cfRule type="expression" dxfId="695" priority="3" stopIfTrue="1">
      <formula>MOD(ROW(),2)=0</formula>
    </cfRule>
    <cfRule type="expression" dxfId="694" priority="4" stopIfTrue="1">
      <formula>MOD(ROW(),2)&lt;&gt;0</formula>
    </cfRule>
  </conditionalFormatting>
  <hyperlinks>
    <hyperlink ref="B24" location="Assumptions!A1" display="Assumptions" xr:uid="{503F8ED2-3EEE-42D1-8883-0B9CF071A24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6"/>
  <dimension ref="A1:I92"/>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x-303</v>
      </c>
      <c r="B3" s="42"/>
      <c r="C3" s="42"/>
      <c r="D3" s="42"/>
      <c r="E3" s="42"/>
      <c r="F3" s="42"/>
      <c r="G3" s="42"/>
      <c r="H3" s="42"/>
      <c r="I3" s="42"/>
    </row>
    <row r="4" spans="1:9" x14ac:dyDescent="0.25">
      <c r="A4" s="44"/>
    </row>
    <row r="6" spans="1:9" x14ac:dyDescent="0.25">
      <c r="A6" s="146" t="s">
        <v>334</v>
      </c>
      <c r="B6" s="102" t="s">
        <v>335</v>
      </c>
      <c r="C6" s="102"/>
      <c r="D6" s="102"/>
      <c r="E6" s="102"/>
    </row>
    <row r="7" spans="1:9" x14ac:dyDescent="0.25">
      <c r="A7" s="72" t="s">
        <v>78</v>
      </c>
      <c r="B7" s="102" t="s">
        <v>67</v>
      </c>
      <c r="C7" s="102"/>
      <c r="D7" s="102"/>
      <c r="E7" s="102"/>
    </row>
    <row r="8" spans="1:9" x14ac:dyDescent="0.25">
      <c r="A8" s="72" t="s">
        <v>79</v>
      </c>
      <c r="B8" s="102">
        <v>1992</v>
      </c>
      <c r="C8" s="102"/>
      <c r="D8" s="102"/>
      <c r="E8" s="102"/>
    </row>
    <row r="9" spans="1:9" x14ac:dyDescent="0.25">
      <c r="A9" s="72" t="s">
        <v>80</v>
      </c>
      <c r="B9" s="102" t="s">
        <v>140</v>
      </c>
      <c r="C9" s="102"/>
      <c r="D9" s="102"/>
      <c r="E9" s="102"/>
    </row>
    <row r="10" spans="1:9" x14ac:dyDescent="0.25">
      <c r="A10" s="72" t="s">
        <v>6</v>
      </c>
      <c r="B10" s="102" t="s">
        <v>146</v>
      </c>
      <c r="C10" s="102"/>
      <c r="D10" s="102"/>
      <c r="E10" s="102"/>
    </row>
    <row r="11" spans="1:9" x14ac:dyDescent="0.25">
      <c r="A11" s="72" t="s">
        <v>81</v>
      </c>
      <c r="B11" s="102" t="s">
        <v>94</v>
      </c>
      <c r="C11" s="102"/>
      <c r="D11" s="102"/>
      <c r="E11" s="102"/>
    </row>
    <row r="12" spans="1:9" x14ac:dyDescent="0.25">
      <c r="A12" s="72" t="s">
        <v>82</v>
      </c>
      <c r="B12" s="102" t="s">
        <v>95</v>
      </c>
      <c r="C12" s="102"/>
      <c r="D12" s="102"/>
      <c r="E12" s="102"/>
    </row>
    <row r="13" spans="1:9" hidden="1" x14ac:dyDescent="0.25">
      <c r="A13" s="72" t="s">
        <v>342</v>
      </c>
      <c r="B13" s="102">
        <v>2</v>
      </c>
      <c r="C13" s="102"/>
      <c r="D13" s="102"/>
      <c r="E13" s="102"/>
    </row>
    <row r="14" spans="1:9" hidden="1" x14ac:dyDescent="0.25">
      <c r="A14" s="72" t="s">
        <v>84</v>
      </c>
      <c r="B14" s="102">
        <v>303</v>
      </c>
      <c r="C14" s="102"/>
      <c r="D14" s="102"/>
      <c r="E14" s="102"/>
    </row>
    <row r="15" spans="1:9" x14ac:dyDescent="0.25">
      <c r="A15" s="72" t="s">
        <v>345</v>
      </c>
      <c r="B15" s="102" t="s">
        <v>147</v>
      </c>
      <c r="C15" s="102"/>
      <c r="D15" s="102"/>
      <c r="E15" s="102"/>
    </row>
    <row r="16" spans="1:9" x14ac:dyDescent="0.25">
      <c r="A16" s="72" t="s">
        <v>86</v>
      </c>
      <c r="B16" s="102" t="s">
        <v>148</v>
      </c>
      <c r="C16" s="102"/>
      <c r="D16" s="102"/>
      <c r="E16" s="102"/>
    </row>
    <row r="17" spans="1:6" ht="67.5" customHeight="1" x14ac:dyDescent="0.25">
      <c r="A17" s="72" t="s">
        <v>414</v>
      </c>
      <c r="B17" s="102"/>
      <c r="C17" s="102"/>
      <c r="D17" s="102"/>
      <c r="E17" s="102"/>
      <c r="F17" s="73"/>
    </row>
    <row r="18" spans="1:6" x14ac:dyDescent="0.25">
      <c r="A18" s="72" t="s">
        <v>88</v>
      </c>
      <c r="B18" s="150">
        <v>45070</v>
      </c>
      <c r="C18" s="102"/>
      <c r="D18" s="102"/>
      <c r="E18" s="102"/>
    </row>
    <row r="19" spans="1:6" x14ac:dyDescent="0.25">
      <c r="A19" s="72" t="s">
        <v>89</v>
      </c>
      <c r="B19" s="150">
        <v>45014</v>
      </c>
      <c r="C19" s="102"/>
      <c r="D19" s="102"/>
      <c r="E19" s="102"/>
    </row>
    <row r="20" spans="1:6" x14ac:dyDescent="0.25">
      <c r="A20" s="72" t="s">
        <v>90</v>
      </c>
      <c r="B20" s="102" t="s">
        <v>98</v>
      </c>
      <c r="C20" s="102"/>
      <c r="D20" s="102"/>
      <c r="E20" s="102"/>
    </row>
    <row r="21" spans="1:6" x14ac:dyDescent="0.25">
      <c r="A21" s="72" t="s">
        <v>91</v>
      </c>
      <c r="B21" s="102" t="s">
        <v>99</v>
      </c>
      <c r="C21" s="102"/>
      <c r="D21" s="102"/>
      <c r="E21" s="102"/>
    </row>
    <row r="23" spans="1:6" x14ac:dyDescent="0.25">
      <c r="B23" s="89" t="str">
        <f>HYPERLINK("#'Factor List'!A1","Back to Factor List")</f>
        <v>Back to Factor List</v>
      </c>
    </row>
    <row r="24" spans="1:6" x14ac:dyDescent="0.25">
      <c r="B24" s="89" t="s">
        <v>13</v>
      </c>
    </row>
    <row r="26" spans="1:6" ht="39.6" x14ac:dyDescent="0.25">
      <c r="A26" s="85" t="s">
        <v>415</v>
      </c>
      <c r="B26" s="85" t="s">
        <v>429</v>
      </c>
      <c r="C26" s="85" t="s">
        <v>430</v>
      </c>
      <c r="D26" s="85" t="s">
        <v>431</v>
      </c>
      <c r="E26" s="85" t="s">
        <v>428</v>
      </c>
    </row>
    <row r="27" spans="1:6" x14ac:dyDescent="0.25">
      <c r="A27" s="86">
        <v>20</v>
      </c>
      <c r="B27" s="87">
        <v>39.64</v>
      </c>
      <c r="C27" s="87">
        <v>2.4300000000000002</v>
      </c>
      <c r="D27" s="87"/>
      <c r="E27" s="87">
        <v>0</v>
      </c>
    </row>
    <row r="28" spans="1:6" x14ac:dyDescent="0.25">
      <c r="A28" s="86">
        <v>21</v>
      </c>
      <c r="B28" s="87">
        <v>39.28</v>
      </c>
      <c r="C28" s="87">
        <v>2.4700000000000002</v>
      </c>
      <c r="D28" s="87"/>
      <c r="E28" s="87">
        <v>0</v>
      </c>
    </row>
    <row r="29" spans="1:6" x14ac:dyDescent="0.25">
      <c r="A29" s="86">
        <v>22</v>
      </c>
      <c r="B29" s="87">
        <v>38.92</v>
      </c>
      <c r="C29" s="87">
        <v>2.5099999999999998</v>
      </c>
      <c r="D29" s="87"/>
      <c r="E29" s="87">
        <v>0</v>
      </c>
    </row>
    <row r="30" spans="1:6" x14ac:dyDescent="0.25">
      <c r="A30" s="86">
        <v>23</v>
      </c>
      <c r="B30" s="87">
        <v>38.549999999999997</v>
      </c>
      <c r="C30" s="87">
        <v>2.5499999999999998</v>
      </c>
      <c r="D30" s="87"/>
      <c r="E30" s="87">
        <v>0</v>
      </c>
    </row>
    <row r="31" spans="1:6" x14ac:dyDescent="0.25">
      <c r="A31" s="86">
        <v>24</v>
      </c>
      <c r="B31" s="87">
        <v>38.17</v>
      </c>
      <c r="C31" s="87">
        <v>2.59</v>
      </c>
      <c r="D31" s="87"/>
      <c r="E31" s="87">
        <v>0</v>
      </c>
    </row>
    <row r="32" spans="1:6" x14ac:dyDescent="0.25">
      <c r="A32" s="86">
        <v>25</v>
      </c>
      <c r="B32" s="87">
        <v>37.79</v>
      </c>
      <c r="C32" s="87">
        <v>2.63</v>
      </c>
      <c r="D32" s="87"/>
      <c r="E32" s="87">
        <v>0</v>
      </c>
    </row>
    <row r="33" spans="1:5" x14ac:dyDescent="0.25">
      <c r="A33" s="86">
        <v>26</v>
      </c>
      <c r="B33" s="87">
        <v>37.4</v>
      </c>
      <c r="C33" s="87">
        <v>2.68</v>
      </c>
      <c r="D33" s="87"/>
      <c r="E33" s="87">
        <v>0</v>
      </c>
    </row>
    <row r="34" spans="1:5" x14ac:dyDescent="0.25">
      <c r="A34" s="86">
        <v>27</v>
      </c>
      <c r="B34" s="87">
        <v>37.01</v>
      </c>
      <c r="C34" s="87">
        <v>2.72</v>
      </c>
      <c r="D34" s="87"/>
      <c r="E34" s="87">
        <v>0</v>
      </c>
    </row>
    <row r="35" spans="1:5" x14ac:dyDescent="0.25">
      <c r="A35" s="86">
        <v>28</v>
      </c>
      <c r="B35" s="87">
        <v>36.61</v>
      </c>
      <c r="C35" s="87">
        <v>2.76</v>
      </c>
      <c r="D35" s="87"/>
      <c r="E35" s="87">
        <v>0</v>
      </c>
    </row>
    <row r="36" spans="1:5" x14ac:dyDescent="0.25">
      <c r="A36" s="86">
        <v>29</v>
      </c>
      <c r="B36" s="87">
        <v>36.200000000000003</v>
      </c>
      <c r="C36" s="87">
        <v>2.8</v>
      </c>
      <c r="D36" s="87"/>
      <c r="E36" s="87">
        <v>0</v>
      </c>
    </row>
    <row r="37" spans="1:5" x14ac:dyDescent="0.25">
      <c r="A37" s="86">
        <v>30</v>
      </c>
      <c r="B37" s="87">
        <v>35.79</v>
      </c>
      <c r="C37" s="87">
        <v>2.84</v>
      </c>
      <c r="D37" s="87"/>
      <c r="E37" s="87">
        <v>0</v>
      </c>
    </row>
    <row r="38" spans="1:5" x14ac:dyDescent="0.25">
      <c r="A38" s="86">
        <v>31</v>
      </c>
      <c r="B38" s="87">
        <v>35.369999999999997</v>
      </c>
      <c r="C38" s="87">
        <v>2.88</v>
      </c>
      <c r="D38" s="87"/>
      <c r="E38" s="87">
        <v>0</v>
      </c>
    </row>
    <row r="39" spans="1:5" x14ac:dyDescent="0.25">
      <c r="A39" s="86">
        <v>32</v>
      </c>
      <c r="B39" s="87">
        <v>34.950000000000003</v>
      </c>
      <c r="C39" s="87">
        <v>2.92</v>
      </c>
      <c r="D39" s="87"/>
      <c r="E39" s="87">
        <v>0</v>
      </c>
    </row>
    <row r="40" spans="1:5" x14ac:dyDescent="0.25">
      <c r="A40" s="86">
        <v>33</v>
      </c>
      <c r="B40" s="87">
        <v>34.51</v>
      </c>
      <c r="C40" s="87">
        <v>2.96</v>
      </c>
      <c r="D40" s="87"/>
      <c r="E40" s="87">
        <v>0</v>
      </c>
    </row>
    <row r="41" spans="1:5" x14ac:dyDescent="0.25">
      <c r="A41" s="86">
        <v>34</v>
      </c>
      <c r="B41" s="87">
        <v>34.08</v>
      </c>
      <c r="C41" s="87">
        <v>3</v>
      </c>
      <c r="D41" s="87"/>
      <c r="E41" s="87">
        <v>0</v>
      </c>
    </row>
    <row r="42" spans="1:5" x14ac:dyDescent="0.25">
      <c r="A42" s="86">
        <v>35</v>
      </c>
      <c r="B42" s="87">
        <v>33.630000000000003</v>
      </c>
      <c r="C42" s="87">
        <v>3.04</v>
      </c>
      <c r="D42" s="87"/>
      <c r="E42" s="87">
        <v>0</v>
      </c>
    </row>
    <row r="43" spans="1:5" x14ac:dyDescent="0.25">
      <c r="A43" s="86">
        <v>36</v>
      </c>
      <c r="B43" s="87">
        <v>33.18</v>
      </c>
      <c r="C43" s="87">
        <v>3.08</v>
      </c>
      <c r="D43" s="87"/>
      <c r="E43" s="87">
        <v>0</v>
      </c>
    </row>
    <row r="44" spans="1:5" x14ac:dyDescent="0.25">
      <c r="A44" s="86">
        <v>37</v>
      </c>
      <c r="B44" s="87">
        <v>32.72</v>
      </c>
      <c r="C44" s="87">
        <v>3.12</v>
      </c>
      <c r="D44" s="87"/>
      <c r="E44" s="87">
        <v>0</v>
      </c>
    </row>
    <row r="45" spans="1:5" x14ac:dyDescent="0.25">
      <c r="A45" s="86">
        <v>38</v>
      </c>
      <c r="B45" s="87">
        <v>32.26</v>
      </c>
      <c r="C45" s="87">
        <v>3.16</v>
      </c>
      <c r="D45" s="87"/>
      <c r="E45" s="87">
        <v>0</v>
      </c>
    </row>
    <row r="46" spans="1:5" x14ac:dyDescent="0.25">
      <c r="A46" s="86">
        <v>39</v>
      </c>
      <c r="B46" s="87">
        <v>31.79</v>
      </c>
      <c r="C46" s="87">
        <v>3.2</v>
      </c>
      <c r="D46" s="87"/>
      <c r="E46" s="87">
        <v>0</v>
      </c>
    </row>
    <row r="47" spans="1:5" x14ac:dyDescent="0.25">
      <c r="A47" s="86">
        <v>40</v>
      </c>
      <c r="B47" s="87">
        <v>31.31</v>
      </c>
      <c r="C47" s="87">
        <v>3.24</v>
      </c>
      <c r="D47" s="87"/>
      <c r="E47" s="87">
        <v>0</v>
      </c>
    </row>
    <row r="48" spans="1:5" x14ac:dyDescent="0.25">
      <c r="A48" s="86">
        <v>41</v>
      </c>
      <c r="B48" s="87">
        <v>30.82</v>
      </c>
      <c r="C48" s="87">
        <v>3.27</v>
      </c>
      <c r="D48" s="87"/>
      <c r="E48" s="87">
        <v>0</v>
      </c>
    </row>
    <row r="49" spans="1:5" x14ac:dyDescent="0.25">
      <c r="A49" s="86">
        <v>42</v>
      </c>
      <c r="B49" s="87">
        <v>30.33</v>
      </c>
      <c r="C49" s="87">
        <v>3.31</v>
      </c>
      <c r="D49" s="87"/>
      <c r="E49" s="87">
        <v>0</v>
      </c>
    </row>
    <row r="50" spans="1:5" x14ac:dyDescent="0.25">
      <c r="A50" s="86">
        <v>43</v>
      </c>
      <c r="B50" s="87">
        <v>29.83</v>
      </c>
      <c r="C50" s="87">
        <v>3.35</v>
      </c>
      <c r="D50" s="87"/>
      <c r="E50" s="87">
        <v>0</v>
      </c>
    </row>
    <row r="51" spans="1:5" x14ac:dyDescent="0.25">
      <c r="A51" s="86">
        <v>44</v>
      </c>
      <c r="B51" s="87">
        <v>29.33</v>
      </c>
      <c r="C51" s="87">
        <v>3.38</v>
      </c>
      <c r="D51" s="87"/>
      <c r="E51" s="87">
        <v>0</v>
      </c>
    </row>
    <row r="52" spans="1:5" x14ac:dyDescent="0.25">
      <c r="A52" s="86">
        <v>45</v>
      </c>
      <c r="B52" s="87">
        <v>28.82</v>
      </c>
      <c r="C52" s="87">
        <v>3.42</v>
      </c>
      <c r="D52" s="87"/>
      <c r="E52" s="87">
        <v>0</v>
      </c>
    </row>
    <row r="53" spans="1:5" x14ac:dyDescent="0.25">
      <c r="A53" s="86">
        <v>46</v>
      </c>
      <c r="B53" s="87">
        <v>28.3</v>
      </c>
      <c r="C53" s="87">
        <v>3.45</v>
      </c>
      <c r="D53" s="87"/>
      <c r="E53" s="87">
        <v>0</v>
      </c>
    </row>
    <row r="54" spans="1:5" x14ac:dyDescent="0.25">
      <c r="A54" s="86">
        <v>47</v>
      </c>
      <c r="B54" s="87">
        <v>27.78</v>
      </c>
      <c r="C54" s="87">
        <v>3.48</v>
      </c>
      <c r="D54" s="87"/>
      <c r="E54" s="87">
        <v>0</v>
      </c>
    </row>
    <row r="55" spans="1:5" x14ac:dyDescent="0.25">
      <c r="A55" s="86">
        <v>48</v>
      </c>
      <c r="B55" s="87">
        <v>27.25</v>
      </c>
      <c r="C55" s="87">
        <v>3.51</v>
      </c>
      <c r="D55" s="87"/>
      <c r="E55" s="87">
        <v>0</v>
      </c>
    </row>
    <row r="56" spans="1:5" x14ac:dyDescent="0.25">
      <c r="A56" s="86">
        <v>49</v>
      </c>
      <c r="B56" s="87">
        <v>26.71</v>
      </c>
      <c r="C56" s="87">
        <v>3.55</v>
      </c>
      <c r="D56" s="87"/>
      <c r="E56" s="87">
        <v>0</v>
      </c>
    </row>
    <row r="57" spans="1:5" x14ac:dyDescent="0.25">
      <c r="A57" s="86">
        <v>50</v>
      </c>
      <c r="B57" s="87">
        <v>26.16</v>
      </c>
      <c r="C57" s="87">
        <v>3.58</v>
      </c>
      <c r="D57" s="87"/>
      <c r="E57" s="87">
        <v>0</v>
      </c>
    </row>
    <row r="58" spans="1:5" x14ac:dyDescent="0.25">
      <c r="A58" s="86">
        <v>51</v>
      </c>
      <c r="B58" s="87">
        <v>25.61</v>
      </c>
      <c r="C58" s="87">
        <v>3.61</v>
      </c>
      <c r="D58" s="87"/>
      <c r="E58" s="87">
        <v>0</v>
      </c>
    </row>
    <row r="59" spans="1:5" x14ac:dyDescent="0.25">
      <c r="A59" s="86">
        <v>52</v>
      </c>
      <c r="B59" s="87">
        <v>25.05</v>
      </c>
      <c r="C59" s="87">
        <v>3.64</v>
      </c>
      <c r="D59" s="87"/>
      <c r="E59" s="87">
        <v>0</v>
      </c>
    </row>
    <row r="60" spans="1:5" x14ac:dyDescent="0.25">
      <c r="A60" s="86">
        <v>53</v>
      </c>
      <c r="B60" s="87">
        <v>24.48</v>
      </c>
      <c r="C60" s="87">
        <v>3.67</v>
      </c>
      <c r="D60" s="87"/>
      <c r="E60" s="87">
        <v>0</v>
      </c>
    </row>
    <row r="61" spans="1:5" x14ac:dyDescent="0.25">
      <c r="A61" s="86">
        <v>54</v>
      </c>
      <c r="B61" s="87">
        <v>23.91</v>
      </c>
      <c r="C61" s="87">
        <v>3.69</v>
      </c>
      <c r="D61" s="87"/>
      <c r="E61" s="87">
        <v>0</v>
      </c>
    </row>
    <row r="62" spans="1:5" x14ac:dyDescent="0.25">
      <c r="A62" s="86">
        <v>55</v>
      </c>
      <c r="B62" s="87">
        <v>23.33</v>
      </c>
      <c r="C62" s="87">
        <v>3.72</v>
      </c>
      <c r="D62" s="87"/>
      <c r="E62" s="87">
        <v>0</v>
      </c>
    </row>
    <row r="63" spans="1:5" x14ac:dyDescent="0.25">
      <c r="A63" s="86">
        <v>56</v>
      </c>
      <c r="B63" s="87">
        <v>22.74</v>
      </c>
      <c r="C63" s="87">
        <v>3.75</v>
      </c>
      <c r="D63" s="87"/>
      <c r="E63" s="87">
        <v>0</v>
      </c>
    </row>
    <row r="64" spans="1:5" x14ac:dyDescent="0.25">
      <c r="A64" s="86">
        <v>57</v>
      </c>
      <c r="B64" s="87">
        <v>22.14</v>
      </c>
      <c r="C64" s="87">
        <v>3.77</v>
      </c>
      <c r="D64" s="87"/>
      <c r="E64" s="87">
        <v>0</v>
      </c>
    </row>
    <row r="65" spans="1:5" x14ac:dyDescent="0.25">
      <c r="A65" s="86">
        <v>58</v>
      </c>
      <c r="B65" s="87">
        <v>21.54</v>
      </c>
      <c r="C65" s="87">
        <v>3.8</v>
      </c>
      <c r="D65" s="87"/>
      <c r="E65" s="87">
        <v>0</v>
      </c>
    </row>
    <row r="66" spans="1:5" x14ac:dyDescent="0.25">
      <c r="A66" s="86">
        <v>59</v>
      </c>
      <c r="B66" s="87">
        <v>20.93</v>
      </c>
      <c r="C66" s="87">
        <v>3.82</v>
      </c>
      <c r="D66" s="87"/>
      <c r="E66" s="87">
        <v>0</v>
      </c>
    </row>
    <row r="67" spans="1:5" x14ac:dyDescent="0.25">
      <c r="A67" s="86">
        <v>60</v>
      </c>
      <c r="B67" s="87">
        <v>20.32</v>
      </c>
      <c r="C67" s="87">
        <v>3.84</v>
      </c>
      <c r="D67" s="87"/>
      <c r="E67" s="87">
        <v>0</v>
      </c>
    </row>
    <row r="68" spans="1:5" x14ac:dyDescent="0.25">
      <c r="A68" s="86">
        <v>61</v>
      </c>
      <c r="B68" s="87">
        <v>19.7</v>
      </c>
      <c r="C68" s="87">
        <v>3.86</v>
      </c>
      <c r="D68" s="87"/>
      <c r="E68" s="87">
        <v>0</v>
      </c>
    </row>
    <row r="69" spans="1:5" x14ac:dyDescent="0.25">
      <c r="A69" s="86">
        <v>62</v>
      </c>
      <c r="B69" s="87">
        <v>19.079999999999998</v>
      </c>
      <c r="C69" s="87">
        <v>3.87</v>
      </c>
      <c r="D69" s="87"/>
      <c r="E69" s="87">
        <v>0</v>
      </c>
    </row>
    <row r="70" spans="1:5" x14ac:dyDescent="0.25">
      <c r="A70" s="86">
        <v>63</v>
      </c>
      <c r="B70" s="87">
        <v>18.46</v>
      </c>
      <c r="C70" s="87">
        <v>3.88</v>
      </c>
      <c r="D70" s="87"/>
      <c r="E70" s="87">
        <v>0</v>
      </c>
    </row>
    <row r="71" spans="1:5" x14ac:dyDescent="0.25">
      <c r="A71" s="86">
        <v>64</v>
      </c>
      <c r="B71" s="87">
        <v>17.829999999999998</v>
      </c>
      <c r="C71" s="87">
        <v>3.89</v>
      </c>
      <c r="D71" s="87"/>
      <c r="E71" s="87">
        <v>0</v>
      </c>
    </row>
    <row r="72" spans="1:5" x14ac:dyDescent="0.25">
      <c r="A72" s="86">
        <v>65</v>
      </c>
      <c r="B72" s="87">
        <v>17.2</v>
      </c>
      <c r="C72" s="87">
        <v>3.89</v>
      </c>
      <c r="D72" s="87"/>
      <c r="E72" s="87"/>
    </row>
    <row r="73" spans="1:5" x14ac:dyDescent="0.25">
      <c r="A73" s="86">
        <v>66</v>
      </c>
      <c r="B73" s="87">
        <v>16.57</v>
      </c>
      <c r="C73" s="87">
        <v>3.89</v>
      </c>
      <c r="D73" s="87"/>
      <c r="E73" s="87"/>
    </row>
    <row r="74" spans="1:5" x14ac:dyDescent="0.25">
      <c r="A74" s="86">
        <v>67</v>
      </c>
      <c r="B74" s="87">
        <v>15.94</v>
      </c>
      <c r="C74" s="87">
        <v>3.89</v>
      </c>
      <c r="D74" s="87"/>
      <c r="E74" s="87"/>
    </row>
    <row r="75" spans="1:5" x14ac:dyDescent="0.25">
      <c r="A75" s="86">
        <v>68</v>
      </c>
      <c r="B75" s="87">
        <v>15.31</v>
      </c>
      <c r="C75" s="87">
        <v>3.88</v>
      </c>
      <c r="D75" s="87"/>
      <c r="E75" s="87"/>
    </row>
    <row r="76" spans="1:5" x14ac:dyDescent="0.25">
      <c r="A76" s="86">
        <v>69</v>
      </c>
      <c r="B76" s="87">
        <v>14.67</v>
      </c>
      <c r="C76" s="87">
        <v>3.86</v>
      </c>
      <c r="D76" s="87">
        <v>3.01</v>
      </c>
      <c r="E76" s="87"/>
    </row>
    <row r="77" spans="1:5" x14ac:dyDescent="0.25">
      <c r="A77" s="86">
        <v>70</v>
      </c>
      <c r="B77" s="87">
        <v>14.04</v>
      </c>
      <c r="C77" s="87">
        <v>3.84</v>
      </c>
      <c r="D77" s="87">
        <v>2.8</v>
      </c>
      <c r="E77" s="87"/>
    </row>
    <row r="78" spans="1:5" x14ac:dyDescent="0.25">
      <c r="A78" s="86">
        <v>71</v>
      </c>
      <c r="B78" s="87">
        <v>13.42</v>
      </c>
      <c r="C78" s="87">
        <v>3.82</v>
      </c>
      <c r="D78" s="87">
        <v>2.6</v>
      </c>
      <c r="E78" s="87"/>
    </row>
    <row r="79" spans="1:5" x14ac:dyDescent="0.25">
      <c r="A79" s="86">
        <v>72</v>
      </c>
      <c r="B79" s="87">
        <v>12.79</v>
      </c>
      <c r="C79" s="87">
        <v>3.79</v>
      </c>
      <c r="D79" s="87">
        <v>2.41</v>
      </c>
      <c r="E79" s="87"/>
    </row>
    <row r="80" spans="1:5" x14ac:dyDescent="0.25">
      <c r="A80" s="86">
        <v>73</v>
      </c>
      <c r="B80" s="87">
        <v>12.17</v>
      </c>
      <c r="C80" s="87">
        <v>3.75</v>
      </c>
      <c r="D80" s="87">
        <v>2.23</v>
      </c>
      <c r="E80" s="87"/>
    </row>
    <row r="81" spans="1:5" x14ac:dyDescent="0.25">
      <c r="A81" s="86">
        <v>74</v>
      </c>
      <c r="B81" s="87">
        <v>11.56</v>
      </c>
      <c r="C81" s="87">
        <v>3.61</v>
      </c>
      <c r="D81" s="87">
        <v>2.04</v>
      </c>
      <c r="E81" s="87"/>
    </row>
    <row r="82" spans="1:5" x14ac:dyDescent="0.25">
      <c r="A82" s="86">
        <v>75</v>
      </c>
      <c r="B82" s="87">
        <v>10.95</v>
      </c>
      <c r="C82" s="87">
        <v>3.47</v>
      </c>
      <c r="D82" s="87">
        <v>1.86</v>
      </c>
      <c r="E82" s="87"/>
    </row>
    <row r="83" spans="1:5" x14ac:dyDescent="0.25">
      <c r="A83" s="86">
        <v>76</v>
      </c>
      <c r="B83" s="87">
        <v>10.36</v>
      </c>
      <c r="C83" s="87">
        <v>3.41</v>
      </c>
      <c r="D83" s="87">
        <v>1.7</v>
      </c>
      <c r="E83" s="87"/>
    </row>
    <row r="84" spans="1:5" x14ac:dyDescent="0.25">
      <c r="A84" s="86">
        <v>77</v>
      </c>
      <c r="B84" s="87">
        <v>9.77</v>
      </c>
      <c r="C84" s="87">
        <v>3.35</v>
      </c>
      <c r="D84" s="87">
        <v>1.54</v>
      </c>
      <c r="E84" s="87"/>
    </row>
    <row r="85" spans="1:5" x14ac:dyDescent="0.25">
      <c r="A85" s="86">
        <v>78</v>
      </c>
      <c r="B85" s="87">
        <v>9.19</v>
      </c>
      <c r="C85" s="87">
        <v>3.29</v>
      </c>
      <c r="D85" s="87">
        <v>1.4</v>
      </c>
      <c r="E85" s="87"/>
    </row>
    <row r="86" spans="1:5" x14ac:dyDescent="0.25">
      <c r="A86" s="86">
        <v>79</v>
      </c>
      <c r="B86" s="87">
        <v>8.6300000000000008</v>
      </c>
      <c r="C86" s="87">
        <v>3.04</v>
      </c>
      <c r="D86" s="87">
        <v>1.25</v>
      </c>
      <c r="E86" s="87"/>
    </row>
    <row r="87" spans="1:5" x14ac:dyDescent="0.25">
      <c r="A87" s="86">
        <v>80</v>
      </c>
      <c r="B87" s="87">
        <v>8.09</v>
      </c>
      <c r="C87" s="87">
        <v>2.78</v>
      </c>
      <c r="D87" s="87">
        <v>1.1100000000000001</v>
      </c>
      <c r="E87" s="87"/>
    </row>
    <row r="88" spans="1:5" x14ac:dyDescent="0.25">
      <c r="A88" s="86">
        <v>81</v>
      </c>
      <c r="B88" s="87">
        <v>7.56</v>
      </c>
      <c r="C88" s="87">
        <v>2.7</v>
      </c>
      <c r="D88" s="87">
        <v>0.99</v>
      </c>
      <c r="E88" s="87"/>
    </row>
    <row r="89" spans="1:5" x14ac:dyDescent="0.25">
      <c r="A89" s="86">
        <v>82</v>
      </c>
      <c r="B89" s="87">
        <v>7.05</v>
      </c>
      <c r="C89" s="87">
        <v>2.61</v>
      </c>
      <c r="D89" s="87">
        <v>0.88</v>
      </c>
      <c r="E89" s="87"/>
    </row>
    <row r="90" spans="1:5" x14ac:dyDescent="0.25">
      <c r="A90" s="86">
        <v>83</v>
      </c>
      <c r="B90" s="87">
        <v>6.56</v>
      </c>
      <c r="C90" s="87">
        <v>2.52</v>
      </c>
      <c r="D90" s="87">
        <v>0.79</v>
      </c>
      <c r="E90" s="87"/>
    </row>
    <row r="91" spans="1:5" x14ac:dyDescent="0.25">
      <c r="A91" s="86">
        <v>84</v>
      </c>
      <c r="B91" s="87">
        <v>6.1</v>
      </c>
      <c r="C91" s="87">
        <v>2.2000000000000002</v>
      </c>
      <c r="D91" s="87">
        <v>0.68</v>
      </c>
      <c r="E91" s="87"/>
    </row>
    <row r="92" spans="1:5" x14ac:dyDescent="0.25">
      <c r="A92" s="86">
        <v>85</v>
      </c>
      <c r="B92" s="87">
        <v>5.65</v>
      </c>
      <c r="C92" s="87">
        <v>1.88</v>
      </c>
      <c r="D92" s="87">
        <v>0.57999999999999996</v>
      </c>
      <c r="E92" s="87"/>
    </row>
  </sheetData>
  <sheetProtection algorithmName="SHA-512" hashValue="GUgPZF+dc5/rdJL7rdSG7SyHVaraPq9xZh1zpLUx0I5a5QgGEPKJE+6tCNuZNwkZxCLJxCF1ubiieDNefmsmhQ==" saltValue="qN6KVfixs+fm474XuwmPuw==" spinCount="100000" sheet="1" objects="1" scenarios="1"/>
  <conditionalFormatting sqref="A6:A21">
    <cfRule type="expression" dxfId="693" priority="1" stopIfTrue="1">
      <formula>MOD(ROW(),2)=0</formula>
    </cfRule>
    <cfRule type="expression" dxfId="692" priority="2" stopIfTrue="1">
      <formula>MOD(ROW(),2)&lt;&gt;0</formula>
    </cfRule>
  </conditionalFormatting>
  <conditionalFormatting sqref="A26:A92">
    <cfRule type="expression" dxfId="691" priority="5" stopIfTrue="1">
      <formula>MOD(ROW(),2)=0</formula>
    </cfRule>
    <cfRule type="expression" dxfId="690" priority="6" stopIfTrue="1">
      <formula>MOD(ROW(),2)&lt;&gt;0</formula>
    </cfRule>
  </conditionalFormatting>
  <conditionalFormatting sqref="B17:B19">
    <cfRule type="expression" dxfId="689" priority="9" stopIfTrue="1">
      <formula>MOD(ROW(),2)=0</formula>
    </cfRule>
    <cfRule type="expression" dxfId="688" priority="10" stopIfTrue="1">
      <formula>MOD(ROW(),2)&lt;&gt;0</formula>
    </cfRule>
  </conditionalFormatting>
  <conditionalFormatting sqref="B6:E6 C7:E7 C18:E19 B20:E21">
    <cfRule type="expression" dxfId="687" priority="29" stopIfTrue="1">
      <formula>MOD(ROW(),2)=0</formula>
    </cfRule>
    <cfRule type="expression" dxfId="686" priority="30" stopIfTrue="1">
      <formula>MOD(ROW(),2)&lt;&gt;0</formula>
    </cfRule>
  </conditionalFormatting>
  <conditionalFormatting sqref="B6:E21">
    <cfRule type="expression" dxfId="685" priority="19" stopIfTrue="1">
      <formula>MOD(ROW(),2)=0</formula>
    </cfRule>
    <cfRule type="expression" dxfId="684" priority="20" stopIfTrue="1">
      <formula>MOD(ROW(),2)&lt;&gt;0</formula>
    </cfRule>
  </conditionalFormatting>
  <conditionalFormatting sqref="B8:E16">
    <cfRule type="expression" dxfId="683" priority="21" stopIfTrue="1">
      <formula>MOD(ROW(),2)=0</formula>
    </cfRule>
    <cfRule type="expression" dxfId="682" priority="22" stopIfTrue="1">
      <formula>MOD(ROW(),2)&lt;&gt;0</formula>
    </cfRule>
  </conditionalFormatting>
  <conditionalFormatting sqref="B26:E92">
    <cfRule type="expression" dxfId="681" priority="7" stopIfTrue="1">
      <formula>MOD(ROW(),2)=0</formula>
    </cfRule>
    <cfRule type="expression" dxfId="680" priority="8" stopIfTrue="1">
      <formula>MOD(ROW(),2)&lt;&gt;0</formula>
    </cfRule>
  </conditionalFormatting>
  <conditionalFormatting sqref="C17:E17">
    <cfRule type="expression" dxfId="679" priority="3" stopIfTrue="1">
      <formula>MOD(ROW(),2)=0</formula>
    </cfRule>
    <cfRule type="expression" dxfId="678" priority="4" stopIfTrue="1">
      <formula>MOD(ROW(),2)&lt;&gt;0</formula>
    </cfRule>
  </conditionalFormatting>
  <hyperlinks>
    <hyperlink ref="B24" location="Assumptions!A1" display="Assumptions" xr:uid="{B4EDB749-FDC5-4CAA-9759-A9C085671AC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7"/>
  <dimension ref="A1:I92"/>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x-304</v>
      </c>
      <c r="B3" s="42"/>
      <c r="C3" s="42"/>
      <c r="D3" s="42"/>
      <c r="E3" s="42"/>
      <c r="F3" s="42"/>
      <c r="G3" s="42"/>
      <c r="H3" s="42"/>
      <c r="I3" s="42"/>
    </row>
    <row r="4" spans="1:9" x14ac:dyDescent="0.25">
      <c r="A4" s="44"/>
    </row>
    <row r="6" spans="1:9" x14ac:dyDescent="0.25">
      <c r="A6" s="146" t="s">
        <v>334</v>
      </c>
      <c r="B6" s="102" t="s">
        <v>335</v>
      </c>
      <c r="C6" s="102"/>
      <c r="D6" s="102"/>
      <c r="E6" s="102"/>
    </row>
    <row r="7" spans="1:9" x14ac:dyDescent="0.25">
      <c r="A7" s="72" t="s">
        <v>78</v>
      </c>
      <c r="B7" s="102" t="s">
        <v>67</v>
      </c>
      <c r="C7" s="102"/>
      <c r="D7" s="102"/>
      <c r="E7" s="102"/>
    </row>
    <row r="8" spans="1:9" x14ac:dyDescent="0.25">
      <c r="A8" s="72" t="s">
        <v>79</v>
      </c>
      <c r="B8" s="102">
        <v>1992</v>
      </c>
      <c r="C8" s="102"/>
      <c r="D8" s="102"/>
      <c r="E8" s="102"/>
    </row>
    <row r="9" spans="1:9" x14ac:dyDescent="0.25">
      <c r="A9" s="72" t="s">
        <v>80</v>
      </c>
      <c r="B9" s="102" t="s">
        <v>140</v>
      </c>
      <c r="C9" s="102"/>
      <c r="D9" s="102"/>
      <c r="E9" s="102"/>
    </row>
    <row r="10" spans="1:9" x14ac:dyDescent="0.25">
      <c r="A10" s="72" t="s">
        <v>6</v>
      </c>
      <c r="B10" s="102" t="s">
        <v>146</v>
      </c>
      <c r="C10" s="102"/>
      <c r="D10" s="102"/>
      <c r="E10" s="102"/>
    </row>
    <row r="11" spans="1:9" x14ac:dyDescent="0.25">
      <c r="A11" s="72" t="s">
        <v>81</v>
      </c>
      <c r="B11" s="102" t="s">
        <v>100</v>
      </c>
      <c r="C11" s="102"/>
      <c r="D11" s="102"/>
      <c r="E11" s="102"/>
    </row>
    <row r="12" spans="1:9" x14ac:dyDescent="0.25">
      <c r="A12" s="72" t="s">
        <v>82</v>
      </c>
      <c r="B12" s="102" t="s">
        <v>95</v>
      </c>
      <c r="C12" s="102"/>
      <c r="D12" s="102"/>
      <c r="E12" s="102"/>
    </row>
    <row r="13" spans="1:9" hidden="1" x14ac:dyDescent="0.25">
      <c r="A13" s="72" t="s">
        <v>342</v>
      </c>
      <c r="B13" s="102">
        <v>2</v>
      </c>
      <c r="C13" s="102"/>
      <c r="D13" s="102"/>
      <c r="E13" s="102"/>
    </row>
    <row r="14" spans="1:9" hidden="1" x14ac:dyDescent="0.25">
      <c r="A14" s="72" t="s">
        <v>84</v>
      </c>
      <c r="B14" s="102">
        <v>304</v>
      </c>
      <c r="C14" s="102"/>
      <c r="D14" s="102"/>
      <c r="E14" s="102"/>
    </row>
    <row r="15" spans="1:9" x14ac:dyDescent="0.25">
      <c r="A15" s="72" t="s">
        <v>345</v>
      </c>
      <c r="B15" s="102" t="s">
        <v>149</v>
      </c>
      <c r="C15" s="102"/>
      <c r="D15" s="102"/>
      <c r="E15" s="102"/>
    </row>
    <row r="16" spans="1:9" x14ac:dyDescent="0.25">
      <c r="A16" s="72" t="s">
        <v>86</v>
      </c>
      <c r="B16" s="102" t="s">
        <v>150</v>
      </c>
      <c r="C16" s="102"/>
      <c r="D16" s="102"/>
      <c r="E16" s="102"/>
    </row>
    <row r="17" spans="1:5" ht="74.849999999999994" customHeight="1" x14ac:dyDescent="0.25">
      <c r="A17" s="72" t="s">
        <v>414</v>
      </c>
      <c r="B17" s="102"/>
      <c r="C17" s="102"/>
      <c r="D17" s="102"/>
      <c r="E17" s="102"/>
    </row>
    <row r="18" spans="1:5" x14ac:dyDescent="0.25">
      <c r="A18" s="72" t="s">
        <v>88</v>
      </c>
      <c r="B18" s="150">
        <v>45070</v>
      </c>
      <c r="C18" s="102"/>
      <c r="D18" s="102"/>
      <c r="E18" s="102"/>
    </row>
    <row r="19" spans="1:5" x14ac:dyDescent="0.25">
      <c r="A19" s="72" t="s">
        <v>89</v>
      </c>
      <c r="B19" s="150">
        <v>45014</v>
      </c>
      <c r="C19" s="102"/>
      <c r="D19" s="102"/>
      <c r="E19" s="102"/>
    </row>
    <row r="20" spans="1:5" x14ac:dyDescent="0.25">
      <c r="A20" s="72" t="s">
        <v>90</v>
      </c>
      <c r="B20" s="102" t="s">
        <v>98</v>
      </c>
      <c r="C20" s="102"/>
      <c r="D20" s="102"/>
      <c r="E20" s="102"/>
    </row>
    <row r="21" spans="1:5" x14ac:dyDescent="0.25">
      <c r="A21" s="72" t="s">
        <v>91</v>
      </c>
      <c r="B21" s="102" t="s">
        <v>99</v>
      </c>
      <c r="C21" s="102"/>
      <c r="D21" s="102"/>
      <c r="E21" s="102"/>
    </row>
    <row r="23" spans="1:5" x14ac:dyDescent="0.25">
      <c r="B23" s="89" t="str">
        <f>HYPERLINK("#'Factor List'!A1","Back to Factor List")</f>
        <v>Back to Factor List</v>
      </c>
    </row>
    <row r="24" spans="1:5" x14ac:dyDescent="0.25">
      <c r="B24" s="89" t="s">
        <v>13</v>
      </c>
    </row>
    <row r="26" spans="1:5" ht="39.6" x14ac:dyDescent="0.25">
      <c r="A26" s="85" t="s">
        <v>415</v>
      </c>
      <c r="B26" s="85" t="s">
        <v>429</v>
      </c>
      <c r="C26" s="85" t="s">
        <v>430</v>
      </c>
      <c r="D26" s="85" t="s">
        <v>431</v>
      </c>
      <c r="E26" s="85" t="s">
        <v>428</v>
      </c>
    </row>
    <row r="27" spans="1:5" x14ac:dyDescent="0.25">
      <c r="A27" s="86">
        <v>20</v>
      </c>
      <c r="B27" s="87">
        <v>39.64</v>
      </c>
      <c r="C27" s="87">
        <v>2.4300000000000002</v>
      </c>
      <c r="D27" s="87"/>
      <c r="E27" s="87">
        <v>0</v>
      </c>
    </row>
    <row r="28" spans="1:5" x14ac:dyDescent="0.25">
      <c r="A28" s="86">
        <v>21</v>
      </c>
      <c r="B28" s="87">
        <v>39.28</v>
      </c>
      <c r="C28" s="87">
        <v>2.4700000000000002</v>
      </c>
      <c r="D28" s="87"/>
      <c r="E28" s="87">
        <v>0</v>
      </c>
    </row>
    <row r="29" spans="1:5" x14ac:dyDescent="0.25">
      <c r="A29" s="86">
        <v>22</v>
      </c>
      <c r="B29" s="87">
        <v>38.92</v>
      </c>
      <c r="C29" s="87">
        <v>2.5099999999999998</v>
      </c>
      <c r="D29" s="87"/>
      <c r="E29" s="87">
        <v>0</v>
      </c>
    </row>
    <row r="30" spans="1:5" x14ac:dyDescent="0.25">
      <c r="A30" s="86">
        <v>23</v>
      </c>
      <c r="B30" s="87">
        <v>38.549999999999997</v>
      </c>
      <c r="C30" s="87">
        <v>2.5499999999999998</v>
      </c>
      <c r="D30" s="87"/>
      <c r="E30" s="87">
        <v>0</v>
      </c>
    </row>
    <row r="31" spans="1:5" x14ac:dyDescent="0.25">
      <c r="A31" s="86">
        <v>24</v>
      </c>
      <c r="B31" s="87">
        <v>38.17</v>
      </c>
      <c r="C31" s="87">
        <v>2.59</v>
      </c>
      <c r="D31" s="87"/>
      <c r="E31" s="87">
        <v>0</v>
      </c>
    </row>
    <row r="32" spans="1:5" x14ac:dyDescent="0.25">
      <c r="A32" s="86">
        <v>25</v>
      </c>
      <c r="B32" s="87">
        <v>37.79</v>
      </c>
      <c r="C32" s="87">
        <v>2.63</v>
      </c>
      <c r="D32" s="87"/>
      <c r="E32" s="87">
        <v>0</v>
      </c>
    </row>
    <row r="33" spans="1:5" x14ac:dyDescent="0.25">
      <c r="A33" s="86">
        <v>26</v>
      </c>
      <c r="B33" s="87">
        <v>37.4</v>
      </c>
      <c r="C33" s="87">
        <v>2.68</v>
      </c>
      <c r="D33" s="87"/>
      <c r="E33" s="87">
        <v>0</v>
      </c>
    </row>
    <row r="34" spans="1:5" x14ac:dyDescent="0.25">
      <c r="A34" s="86">
        <v>27</v>
      </c>
      <c r="B34" s="87">
        <v>37.01</v>
      </c>
      <c r="C34" s="87">
        <v>2.72</v>
      </c>
      <c r="D34" s="87"/>
      <c r="E34" s="87">
        <v>0</v>
      </c>
    </row>
    <row r="35" spans="1:5" x14ac:dyDescent="0.25">
      <c r="A35" s="86">
        <v>28</v>
      </c>
      <c r="B35" s="87">
        <v>36.61</v>
      </c>
      <c r="C35" s="87">
        <v>2.76</v>
      </c>
      <c r="D35" s="87"/>
      <c r="E35" s="87">
        <v>0</v>
      </c>
    </row>
    <row r="36" spans="1:5" x14ac:dyDescent="0.25">
      <c r="A36" s="86">
        <v>29</v>
      </c>
      <c r="B36" s="87">
        <v>36.200000000000003</v>
      </c>
      <c r="C36" s="87">
        <v>2.8</v>
      </c>
      <c r="D36" s="87"/>
      <c r="E36" s="87">
        <v>0</v>
      </c>
    </row>
    <row r="37" spans="1:5" x14ac:dyDescent="0.25">
      <c r="A37" s="86">
        <v>30</v>
      </c>
      <c r="B37" s="87">
        <v>35.79</v>
      </c>
      <c r="C37" s="87">
        <v>2.84</v>
      </c>
      <c r="D37" s="87"/>
      <c r="E37" s="87">
        <v>0</v>
      </c>
    </row>
    <row r="38" spans="1:5" x14ac:dyDescent="0.25">
      <c r="A38" s="86">
        <v>31</v>
      </c>
      <c r="B38" s="87">
        <v>35.369999999999997</v>
      </c>
      <c r="C38" s="87">
        <v>2.88</v>
      </c>
      <c r="D38" s="87"/>
      <c r="E38" s="87">
        <v>0</v>
      </c>
    </row>
    <row r="39" spans="1:5" x14ac:dyDescent="0.25">
      <c r="A39" s="86">
        <v>32</v>
      </c>
      <c r="B39" s="87">
        <v>34.950000000000003</v>
      </c>
      <c r="C39" s="87">
        <v>2.92</v>
      </c>
      <c r="D39" s="87"/>
      <c r="E39" s="87">
        <v>0</v>
      </c>
    </row>
    <row r="40" spans="1:5" x14ac:dyDescent="0.25">
      <c r="A40" s="86">
        <v>33</v>
      </c>
      <c r="B40" s="87">
        <v>34.51</v>
      </c>
      <c r="C40" s="87">
        <v>2.96</v>
      </c>
      <c r="D40" s="87"/>
      <c r="E40" s="87">
        <v>0</v>
      </c>
    </row>
    <row r="41" spans="1:5" x14ac:dyDescent="0.25">
      <c r="A41" s="86">
        <v>34</v>
      </c>
      <c r="B41" s="87">
        <v>34.08</v>
      </c>
      <c r="C41" s="87">
        <v>3</v>
      </c>
      <c r="D41" s="87"/>
      <c r="E41" s="87">
        <v>0</v>
      </c>
    </row>
    <row r="42" spans="1:5" x14ac:dyDescent="0.25">
      <c r="A42" s="86">
        <v>35</v>
      </c>
      <c r="B42" s="87">
        <v>33.630000000000003</v>
      </c>
      <c r="C42" s="87">
        <v>3.04</v>
      </c>
      <c r="D42" s="87"/>
      <c r="E42" s="87">
        <v>0</v>
      </c>
    </row>
    <row r="43" spans="1:5" x14ac:dyDescent="0.25">
      <c r="A43" s="86">
        <v>36</v>
      </c>
      <c r="B43" s="87">
        <v>33.18</v>
      </c>
      <c r="C43" s="87">
        <v>3.08</v>
      </c>
      <c r="D43" s="87"/>
      <c r="E43" s="87">
        <v>0</v>
      </c>
    </row>
    <row r="44" spans="1:5" x14ac:dyDescent="0.25">
      <c r="A44" s="86">
        <v>37</v>
      </c>
      <c r="B44" s="87">
        <v>32.72</v>
      </c>
      <c r="C44" s="87">
        <v>3.12</v>
      </c>
      <c r="D44" s="87"/>
      <c r="E44" s="87">
        <v>0</v>
      </c>
    </row>
    <row r="45" spans="1:5" x14ac:dyDescent="0.25">
      <c r="A45" s="86">
        <v>38</v>
      </c>
      <c r="B45" s="87">
        <v>32.26</v>
      </c>
      <c r="C45" s="87">
        <v>3.16</v>
      </c>
      <c r="D45" s="87"/>
      <c r="E45" s="87">
        <v>0</v>
      </c>
    </row>
    <row r="46" spans="1:5" x14ac:dyDescent="0.25">
      <c r="A46" s="86">
        <v>39</v>
      </c>
      <c r="B46" s="87">
        <v>31.79</v>
      </c>
      <c r="C46" s="87">
        <v>3.2</v>
      </c>
      <c r="D46" s="87"/>
      <c r="E46" s="87">
        <v>0</v>
      </c>
    </row>
    <row r="47" spans="1:5" x14ac:dyDescent="0.25">
      <c r="A47" s="86">
        <v>40</v>
      </c>
      <c r="B47" s="87">
        <v>31.31</v>
      </c>
      <c r="C47" s="87">
        <v>3.24</v>
      </c>
      <c r="D47" s="87"/>
      <c r="E47" s="87">
        <v>0</v>
      </c>
    </row>
    <row r="48" spans="1:5" x14ac:dyDescent="0.25">
      <c r="A48" s="86">
        <v>41</v>
      </c>
      <c r="B48" s="87">
        <v>30.82</v>
      </c>
      <c r="C48" s="87">
        <v>3.27</v>
      </c>
      <c r="D48" s="87"/>
      <c r="E48" s="87">
        <v>0</v>
      </c>
    </row>
    <row r="49" spans="1:5" x14ac:dyDescent="0.25">
      <c r="A49" s="86">
        <v>42</v>
      </c>
      <c r="B49" s="87">
        <v>30.33</v>
      </c>
      <c r="C49" s="87">
        <v>3.31</v>
      </c>
      <c r="D49" s="87"/>
      <c r="E49" s="87">
        <v>0</v>
      </c>
    </row>
    <row r="50" spans="1:5" x14ac:dyDescent="0.25">
      <c r="A50" s="86">
        <v>43</v>
      </c>
      <c r="B50" s="87">
        <v>29.83</v>
      </c>
      <c r="C50" s="87">
        <v>3.35</v>
      </c>
      <c r="D50" s="87"/>
      <c r="E50" s="87">
        <v>0</v>
      </c>
    </row>
    <row r="51" spans="1:5" x14ac:dyDescent="0.25">
      <c r="A51" s="86">
        <v>44</v>
      </c>
      <c r="B51" s="87">
        <v>29.33</v>
      </c>
      <c r="C51" s="87">
        <v>3.38</v>
      </c>
      <c r="D51" s="87"/>
      <c r="E51" s="87">
        <v>0</v>
      </c>
    </row>
    <row r="52" spans="1:5" x14ac:dyDescent="0.25">
      <c r="A52" s="86">
        <v>45</v>
      </c>
      <c r="B52" s="87">
        <v>28.82</v>
      </c>
      <c r="C52" s="87">
        <v>3.42</v>
      </c>
      <c r="D52" s="87"/>
      <c r="E52" s="87">
        <v>0</v>
      </c>
    </row>
    <row r="53" spans="1:5" x14ac:dyDescent="0.25">
      <c r="A53" s="86">
        <v>46</v>
      </c>
      <c r="B53" s="87">
        <v>28.3</v>
      </c>
      <c r="C53" s="87">
        <v>3.45</v>
      </c>
      <c r="D53" s="87"/>
      <c r="E53" s="87">
        <v>0</v>
      </c>
    </row>
    <row r="54" spans="1:5" x14ac:dyDescent="0.25">
      <c r="A54" s="86">
        <v>47</v>
      </c>
      <c r="B54" s="87">
        <v>27.78</v>
      </c>
      <c r="C54" s="87">
        <v>3.48</v>
      </c>
      <c r="D54" s="87"/>
      <c r="E54" s="87">
        <v>0</v>
      </c>
    </row>
    <row r="55" spans="1:5" x14ac:dyDescent="0.25">
      <c r="A55" s="86">
        <v>48</v>
      </c>
      <c r="B55" s="87">
        <v>27.25</v>
      </c>
      <c r="C55" s="87">
        <v>3.51</v>
      </c>
      <c r="D55" s="87"/>
      <c r="E55" s="87">
        <v>0</v>
      </c>
    </row>
    <row r="56" spans="1:5" x14ac:dyDescent="0.25">
      <c r="A56" s="86">
        <v>49</v>
      </c>
      <c r="B56" s="87">
        <v>26.71</v>
      </c>
      <c r="C56" s="87">
        <v>3.55</v>
      </c>
      <c r="D56" s="87"/>
      <c r="E56" s="87">
        <v>0</v>
      </c>
    </row>
    <row r="57" spans="1:5" x14ac:dyDescent="0.25">
      <c r="A57" s="86">
        <v>50</v>
      </c>
      <c r="B57" s="87">
        <v>26.16</v>
      </c>
      <c r="C57" s="87">
        <v>3.58</v>
      </c>
      <c r="D57" s="87"/>
      <c r="E57" s="87">
        <v>0</v>
      </c>
    </row>
    <row r="58" spans="1:5" x14ac:dyDescent="0.25">
      <c r="A58" s="86">
        <v>51</v>
      </c>
      <c r="B58" s="87">
        <v>25.61</v>
      </c>
      <c r="C58" s="87">
        <v>3.61</v>
      </c>
      <c r="D58" s="87"/>
      <c r="E58" s="87">
        <v>0</v>
      </c>
    </row>
    <row r="59" spans="1:5" x14ac:dyDescent="0.25">
      <c r="A59" s="86">
        <v>52</v>
      </c>
      <c r="B59" s="87">
        <v>25.05</v>
      </c>
      <c r="C59" s="87">
        <v>3.64</v>
      </c>
      <c r="D59" s="87"/>
      <c r="E59" s="87">
        <v>0</v>
      </c>
    </row>
    <row r="60" spans="1:5" x14ac:dyDescent="0.25">
      <c r="A60" s="86">
        <v>53</v>
      </c>
      <c r="B60" s="87">
        <v>24.48</v>
      </c>
      <c r="C60" s="87">
        <v>3.67</v>
      </c>
      <c r="D60" s="87"/>
      <c r="E60" s="87">
        <v>0</v>
      </c>
    </row>
    <row r="61" spans="1:5" x14ac:dyDescent="0.25">
      <c r="A61" s="86">
        <v>54</v>
      </c>
      <c r="B61" s="87">
        <v>23.91</v>
      </c>
      <c r="C61" s="87">
        <v>3.69</v>
      </c>
      <c r="D61" s="87"/>
      <c r="E61" s="87">
        <v>0</v>
      </c>
    </row>
    <row r="62" spans="1:5" x14ac:dyDescent="0.25">
      <c r="A62" s="86">
        <v>55</v>
      </c>
      <c r="B62" s="87">
        <v>23.33</v>
      </c>
      <c r="C62" s="87">
        <v>3.72</v>
      </c>
      <c r="D62" s="87"/>
      <c r="E62" s="87">
        <v>0</v>
      </c>
    </row>
    <row r="63" spans="1:5" x14ac:dyDescent="0.25">
      <c r="A63" s="86">
        <v>56</v>
      </c>
      <c r="B63" s="87">
        <v>22.74</v>
      </c>
      <c r="C63" s="87">
        <v>3.75</v>
      </c>
      <c r="D63" s="87"/>
      <c r="E63" s="87">
        <v>0</v>
      </c>
    </row>
    <row r="64" spans="1:5" x14ac:dyDescent="0.25">
      <c r="A64" s="86">
        <v>57</v>
      </c>
      <c r="B64" s="87">
        <v>22.14</v>
      </c>
      <c r="C64" s="87">
        <v>3.77</v>
      </c>
      <c r="D64" s="87"/>
      <c r="E64" s="87">
        <v>0</v>
      </c>
    </row>
    <row r="65" spans="1:5" x14ac:dyDescent="0.25">
      <c r="A65" s="86">
        <v>58</v>
      </c>
      <c r="B65" s="87">
        <v>21.54</v>
      </c>
      <c r="C65" s="87">
        <v>3.8</v>
      </c>
      <c r="D65" s="87"/>
      <c r="E65" s="87">
        <v>0</v>
      </c>
    </row>
    <row r="66" spans="1:5" x14ac:dyDescent="0.25">
      <c r="A66" s="86">
        <v>59</v>
      </c>
      <c r="B66" s="87">
        <v>20.93</v>
      </c>
      <c r="C66" s="87">
        <v>3.82</v>
      </c>
      <c r="D66" s="87"/>
      <c r="E66" s="87">
        <v>0</v>
      </c>
    </row>
    <row r="67" spans="1:5" x14ac:dyDescent="0.25">
      <c r="A67" s="86">
        <v>60</v>
      </c>
      <c r="B67" s="87">
        <v>20.32</v>
      </c>
      <c r="C67" s="87">
        <v>3.84</v>
      </c>
      <c r="D67" s="87"/>
      <c r="E67" s="87">
        <v>0</v>
      </c>
    </row>
    <row r="68" spans="1:5" x14ac:dyDescent="0.25">
      <c r="A68" s="86">
        <v>61</v>
      </c>
      <c r="B68" s="87">
        <v>19.7</v>
      </c>
      <c r="C68" s="87">
        <v>3.86</v>
      </c>
      <c r="D68" s="87"/>
      <c r="E68" s="87">
        <v>0</v>
      </c>
    </row>
    <row r="69" spans="1:5" x14ac:dyDescent="0.25">
      <c r="A69" s="86">
        <v>62</v>
      </c>
      <c r="B69" s="87">
        <v>19.079999999999998</v>
      </c>
      <c r="C69" s="87">
        <v>3.87</v>
      </c>
      <c r="D69" s="87"/>
      <c r="E69" s="87">
        <v>0</v>
      </c>
    </row>
    <row r="70" spans="1:5" x14ac:dyDescent="0.25">
      <c r="A70" s="86">
        <v>63</v>
      </c>
      <c r="B70" s="87">
        <v>18.46</v>
      </c>
      <c r="C70" s="87">
        <v>3.88</v>
      </c>
      <c r="D70" s="87"/>
      <c r="E70" s="87">
        <v>0</v>
      </c>
    </row>
    <row r="71" spans="1:5" x14ac:dyDescent="0.25">
      <c r="A71" s="86">
        <v>64</v>
      </c>
      <c r="B71" s="87">
        <v>17.829999999999998</v>
      </c>
      <c r="C71" s="87">
        <v>3.89</v>
      </c>
      <c r="D71" s="87"/>
      <c r="E71" s="87">
        <v>0</v>
      </c>
    </row>
    <row r="72" spans="1:5" x14ac:dyDescent="0.25">
      <c r="A72" s="86">
        <v>65</v>
      </c>
      <c r="B72" s="87">
        <v>17.2</v>
      </c>
      <c r="C72" s="87">
        <v>3.89</v>
      </c>
      <c r="D72" s="87"/>
      <c r="E72" s="87"/>
    </row>
    <row r="73" spans="1:5" x14ac:dyDescent="0.25">
      <c r="A73" s="86">
        <v>66</v>
      </c>
      <c r="B73" s="87">
        <v>16.57</v>
      </c>
      <c r="C73" s="87">
        <v>3.89</v>
      </c>
      <c r="D73" s="87"/>
      <c r="E73" s="87"/>
    </row>
    <row r="74" spans="1:5" x14ac:dyDescent="0.25">
      <c r="A74" s="86">
        <v>67</v>
      </c>
      <c r="B74" s="87">
        <v>15.94</v>
      </c>
      <c r="C74" s="87">
        <v>3.89</v>
      </c>
      <c r="D74" s="87"/>
      <c r="E74" s="87"/>
    </row>
    <row r="75" spans="1:5" x14ac:dyDescent="0.25">
      <c r="A75" s="86">
        <v>68</v>
      </c>
      <c r="B75" s="87">
        <v>15.31</v>
      </c>
      <c r="C75" s="87">
        <v>3.88</v>
      </c>
      <c r="D75" s="87"/>
      <c r="E75" s="87"/>
    </row>
    <row r="76" spans="1:5" x14ac:dyDescent="0.25">
      <c r="A76" s="86">
        <v>69</v>
      </c>
      <c r="B76" s="87">
        <v>14.67</v>
      </c>
      <c r="C76" s="87">
        <v>3.86</v>
      </c>
      <c r="D76" s="87">
        <v>2.82</v>
      </c>
      <c r="E76" s="87"/>
    </row>
    <row r="77" spans="1:5" x14ac:dyDescent="0.25">
      <c r="A77" s="86">
        <v>70</v>
      </c>
      <c r="B77" s="87">
        <v>14.04</v>
      </c>
      <c r="C77" s="87">
        <v>3.84</v>
      </c>
      <c r="D77" s="87">
        <v>2.62</v>
      </c>
      <c r="E77" s="87"/>
    </row>
    <row r="78" spans="1:5" x14ac:dyDescent="0.25">
      <c r="A78" s="86">
        <v>71</v>
      </c>
      <c r="B78" s="87">
        <v>13.42</v>
      </c>
      <c r="C78" s="87">
        <v>3.82</v>
      </c>
      <c r="D78" s="87">
        <v>2.42</v>
      </c>
      <c r="E78" s="87"/>
    </row>
    <row r="79" spans="1:5" x14ac:dyDescent="0.25">
      <c r="A79" s="86">
        <v>72</v>
      </c>
      <c r="B79" s="87">
        <v>12.79</v>
      </c>
      <c r="C79" s="87">
        <v>3.79</v>
      </c>
      <c r="D79" s="87">
        <v>2.23</v>
      </c>
      <c r="E79" s="87"/>
    </row>
    <row r="80" spans="1:5" x14ac:dyDescent="0.25">
      <c r="A80" s="86">
        <v>73</v>
      </c>
      <c r="B80" s="87">
        <v>12.17</v>
      </c>
      <c r="C80" s="87">
        <v>3.75</v>
      </c>
      <c r="D80" s="87">
        <v>2.0499999999999998</v>
      </c>
      <c r="E80" s="87"/>
    </row>
    <row r="81" spans="1:5" x14ac:dyDescent="0.25">
      <c r="A81" s="86">
        <v>74</v>
      </c>
      <c r="B81" s="87">
        <v>11.56</v>
      </c>
      <c r="C81" s="87">
        <v>3.61</v>
      </c>
      <c r="D81" s="87">
        <v>1.88</v>
      </c>
      <c r="E81" s="87"/>
    </row>
    <row r="82" spans="1:5" x14ac:dyDescent="0.25">
      <c r="A82" s="86">
        <v>75</v>
      </c>
      <c r="B82" s="87">
        <v>10.95</v>
      </c>
      <c r="C82" s="87">
        <v>3.47</v>
      </c>
      <c r="D82" s="87">
        <v>1.71</v>
      </c>
      <c r="E82" s="87"/>
    </row>
    <row r="83" spans="1:5" x14ac:dyDescent="0.25">
      <c r="A83" s="86">
        <v>76</v>
      </c>
      <c r="B83" s="87">
        <v>10.36</v>
      </c>
      <c r="C83" s="87">
        <v>3.41</v>
      </c>
      <c r="D83" s="87">
        <v>1.56</v>
      </c>
      <c r="E83" s="87"/>
    </row>
    <row r="84" spans="1:5" x14ac:dyDescent="0.25">
      <c r="A84" s="86">
        <v>77</v>
      </c>
      <c r="B84" s="87">
        <v>9.77</v>
      </c>
      <c r="C84" s="87">
        <v>3.35</v>
      </c>
      <c r="D84" s="87">
        <v>1.41</v>
      </c>
      <c r="E84" s="87"/>
    </row>
    <row r="85" spans="1:5" x14ac:dyDescent="0.25">
      <c r="A85" s="86">
        <v>78</v>
      </c>
      <c r="B85" s="87">
        <v>9.19</v>
      </c>
      <c r="C85" s="87">
        <v>3.29</v>
      </c>
      <c r="D85" s="87">
        <v>1.27</v>
      </c>
      <c r="E85" s="87"/>
    </row>
    <row r="86" spans="1:5" x14ac:dyDescent="0.25">
      <c r="A86" s="86">
        <v>79</v>
      </c>
      <c r="B86" s="87">
        <v>8.6300000000000008</v>
      </c>
      <c r="C86" s="87">
        <v>3.04</v>
      </c>
      <c r="D86" s="87">
        <v>1.1299999999999999</v>
      </c>
      <c r="E86" s="87"/>
    </row>
    <row r="87" spans="1:5" x14ac:dyDescent="0.25">
      <c r="A87" s="86">
        <v>80</v>
      </c>
      <c r="B87" s="87">
        <v>8.09</v>
      </c>
      <c r="C87" s="87">
        <v>2.78</v>
      </c>
      <c r="D87" s="87">
        <v>1.01</v>
      </c>
      <c r="E87" s="87"/>
    </row>
    <row r="88" spans="1:5" x14ac:dyDescent="0.25">
      <c r="A88" s="86">
        <v>81</v>
      </c>
      <c r="B88" s="87">
        <v>7.56</v>
      </c>
      <c r="C88" s="87">
        <v>2.7</v>
      </c>
      <c r="D88" s="87">
        <v>0.9</v>
      </c>
      <c r="E88" s="87"/>
    </row>
    <row r="89" spans="1:5" x14ac:dyDescent="0.25">
      <c r="A89" s="86">
        <v>82</v>
      </c>
      <c r="B89" s="87">
        <v>7.05</v>
      </c>
      <c r="C89" s="87">
        <v>2.61</v>
      </c>
      <c r="D89" s="87">
        <v>0.8</v>
      </c>
      <c r="E89" s="87"/>
    </row>
    <row r="90" spans="1:5" x14ac:dyDescent="0.25">
      <c r="A90" s="86">
        <v>83</v>
      </c>
      <c r="B90" s="87">
        <v>6.56</v>
      </c>
      <c r="C90" s="87">
        <v>2.52</v>
      </c>
      <c r="D90" s="87">
        <v>0.7</v>
      </c>
      <c r="E90" s="87"/>
    </row>
    <row r="91" spans="1:5" x14ac:dyDescent="0.25">
      <c r="A91" s="86">
        <v>84</v>
      </c>
      <c r="B91" s="87">
        <v>6.1</v>
      </c>
      <c r="C91" s="87">
        <v>2.2000000000000002</v>
      </c>
      <c r="D91" s="87">
        <v>0.61</v>
      </c>
      <c r="E91" s="87"/>
    </row>
    <row r="92" spans="1:5" x14ac:dyDescent="0.25">
      <c r="A92" s="86">
        <v>85</v>
      </c>
      <c r="B92" s="87">
        <v>5.65</v>
      </c>
      <c r="C92" s="87">
        <v>1.88</v>
      </c>
      <c r="D92" s="87">
        <v>0.54</v>
      </c>
      <c r="E92" s="87"/>
    </row>
  </sheetData>
  <sheetProtection algorithmName="SHA-512" hashValue="TRUnwLIxJULrAIQjGgqokXK4CwbagRG5P0QULe+JabPVansDLQutRIoSZAvbc/EtAA8DR2y3jrAd45qvWvzEDA==" saltValue="pgc4/dQ2ht36wv6urQrXpg==" spinCount="100000" sheet="1" objects="1" scenarios="1"/>
  <conditionalFormatting sqref="A6:A21">
    <cfRule type="expression" dxfId="677" priority="1" stopIfTrue="1">
      <formula>MOD(ROW(),2)=0</formula>
    </cfRule>
    <cfRule type="expression" dxfId="676" priority="2" stopIfTrue="1">
      <formula>MOD(ROW(),2)&lt;&gt;0</formula>
    </cfRule>
  </conditionalFormatting>
  <conditionalFormatting sqref="A26:A92">
    <cfRule type="expression" dxfId="675" priority="5" stopIfTrue="1">
      <formula>MOD(ROW(),2)=0</formula>
    </cfRule>
    <cfRule type="expression" dxfId="674" priority="6" stopIfTrue="1">
      <formula>MOD(ROW(),2)&lt;&gt;0</formula>
    </cfRule>
  </conditionalFormatting>
  <conditionalFormatting sqref="B17:B19">
    <cfRule type="expression" dxfId="673" priority="9" stopIfTrue="1">
      <formula>MOD(ROW(),2)=0</formula>
    </cfRule>
    <cfRule type="expression" dxfId="672" priority="10" stopIfTrue="1">
      <formula>MOD(ROW(),2)&lt;&gt;0</formula>
    </cfRule>
  </conditionalFormatting>
  <conditionalFormatting sqref="B6:E6 C7:E7 C18:E19 B20:E21">
    <cfRule type="expression" dxfId="671" priority="29" stopIfTrue="1">
      <formula>MOD(ROW(),2)=0</formula>
    </cfRule>
    <cfRule type="expression" dxfId="670" priority="30" stopIfTrue="1">
      <formula>MOD(ROW(),2)&lt;&gt;0</formula>
    </cfRule>
  </conditionalFormatting>
  <conditionalFormatting sqref="B6:E21">
    <cfRule type="expression" dxfId="669" priority="19" stopIfTrue="1">
      <formula>MOD(ROW(),2)=0</formula>
    </cfRule>
    <cfRule type="expression" dxfId="668" priority="20" stopIfTrue="1">
      <formula>MOD(ROW(),2)&lt;&gt;0</formula>
    </cfRule>
  </conditionalFormatting>
  <conditionalFormatting sqref="B8:E16">
    <cfRule type="expression" dxfId="667" priority="21" stopIfTrue="1">
      <formula>MOD(ROW(),2)=0</formula>
    </cfRule>
    <cfRule type="expression" dxfId="666" priority="22" stopIfTrue="1">
      <formula>MOD(ROW(),2)&lt;&gt;0</formula>
    </cfRule>
  </conditionalFormatting>
  <conditionalFormatting sqref="B26:E92">
    <cfRule type="expression" dxfId="665" priority="7" stopIfTrue="1">
      <formula>MOD(ROW(),2)=0</formula>
    </cfRule>
    <cfRule type="expression" dxfId="664" priority="8" stopIfTrue="1">
      <formula>MOD(ROW(),2)&lt;&gt;0</formula>
    </cfRule>
  </conditionalFormatting>
  <conditionalFormatting sqref="C17:E17">
    <cfRule type="expression" dxfId="663" priority="3" stopIfTrue="1">
      <formula>MOD(ROW(),2)=0</formula>
    </cfRule>
    <cfRule type="expression" dxfId="662" priority="4" stopIfTrue="1">
      <formula>MOD(ROW(),2)&lt;&gt;0</formula>
    </cfRule>
  </conditionalFormatting>
  <hyperlinks>
    <hyperlink ref="B24" location="Assumptions!A1" display="Assumptions" xr:uid="{175E5BA4-6441-4FB5-8CD1-B654A3F5B65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dimension ref="A1:I65"/>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x-305</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2006</v>
      </c>
      <c r="C8" s="102"/>
      <c r="D8" s="102"/>
    </row>
    <row r="9" spans="1:9" x14ac:dyDescent="0.25">
      <c r="A9" s="72" t="s">
        <v>80</v>
      </c>
      <c r="B9" s="102" t="s">
        <v>140</v>
      </c>
      <c r="C9" s="102"/>
      <c r="D9" s="102"/>
    </row>
    <row r="10" spans="1:9" x14ac:dyDescent="0.25">
      <c r="A10" s="72" t="s">
        <v>6</v>
      </c>
      <c r="B10" s="102" t="s">
        <v>141</v>
      </c>
      <c r="C10" s="102"/>
      <c r="D10" s="102"/>
    </row>
    <row r="11" spans="1:9" x14ac:dyDescent="0.25">
      <c r="A11" s="72" t="s">
        <v>81</v>
      </c>
      <c r="B11" s="102" t="s">
        <v>94</v>
      </c>
      <c r="C11" s="102"/>
      <c r="D11" s="102"/>
    </row>
    <row r="12" spans="1:9" x14ac:dyDescent="0.25">
      <c r="A12" s="72" t="s">
        <v>82</v>
      </c>
      <c r="B12" s="102" t="s">
        <v>95</v>
      </c>
      <c r="C12" s="102"/>
      <c r="D12" s="102"/>
    </row>
    <row r="13" spans="1:9" hidden="1" x14ac:dyDescent="0.25">
      <c r="A13" s="72" t="s">
        <v>342</v>
      </c>
      <c r="B13" s="102">
        <v>1</v>
      </c>
      <c r="C13" s="102"/>
      <c r="D13" s="102"/>
    </row>
    <row r="14" spans="1:9" hidden="1" x14ac:dyDescent="0.25">
      <c r="A14" s="72" t="s">
        <v>84</v>
      </c>
      <c r="B14" s="102">
        <v>305</v>
      </c>
      <c r="C14" s="102"/>
      <c r="D14" s="102"/>
    </row>
    <row r="15" spans="1:9" x14ac:dyDescent="0.25">
      <c r="A15" s="72" t="s">
        <v>345</v>
      </c>
      <c r="B15" s="102" t="s">
        <v>151</v>
      </c>
      <c r="C15" s="102"/>
      <c r="D15" s="102"/>
    </row>
    <row r="16" spans="1:9" x14ac:dyDescent="0.25">
      <c r="A16" s="72" t="s">
        <v>86</v>
      </c>
      <c r="B16" s="102" t="s">
        <v>143</v>
      </c>
      <c r="C16" s="102"/>
      <c r="D16" s="102"/>
    </row>
    <row r="17" spans="1:4" ht="73.349999999999994"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6.6" customHeight="1" x14ac:dyDescent="0.25">
      <c r="A26" s="85" t="s">
        <v>415</v>
      </c>
      <c r="B26" s="85" t="s">
        <v>424</v>
      </c>
      <c r="C26" s="85" t="s">
        <v>432</v>
      </c>
      <c r="D26" s="85" t="s">
        <v>427</v>
      </c>
    </row>
    <row r="27" spans="1:4" x14ac:dyDescent="0.25">
      <c r="A27" s="86">
        <v>55</v>
      </c>
      <c r="B27" s="87">
        <v>23.37</v>
      </c>
      <c r="C27" s="87">
        <v>3.97</v>
      </c>
      <c r="D27" s="87"/>
    </row>
    <row r="28" spans="1:4" x14ac:dyDescent="0.25">
      <c r="A28" s="86">
        <v>56</v>
      </c>
      <c r="B28" s="87">
        <v>22.78</v>
      </c>
      <c r="C28" s="87">
        <v>4</v>
      </c>
      <c r="D28" s="87"/>
    </row>
    <row r="29" spans="1:4" x14ac:dyDescent="0.25">
      <c r="A29" s="86">
        <v>57</v>
      </c>
      <c r="B29" s="87">
        <v>22.19</v>
      </c>
      <c r="C29" s="87">
        <v>4.0199999999999996</v>
      </c>
      <c r="D29" s="87"/>
    </row>
    <row r="30" spans="1:4" x14ac:dyDescent="0.25">
      <c r="A30" s="86">
        <v>58</v>
      </c>
      <c r="B30" s="87">
        <v>21.6</v>
      </c>
      <c r="C30" s="87">
        <v>4.05</v>
      </c>
      <c r="D30" s="87"/>
    </row>
    <row r="31" spans="1:4" x14ac:dyDescent="0.25">
      <c r="A31" s="86">
        <v>59</v>
      </c>
      <c r="B31" s="87">
        <v>20.99</v>
      </c>
      <c r="C31" s="87">
        <v>4.07</v>
      </c>
      <c r="D31" s="87"/>
    </row>
    <row r="32" spans="1:4" x14ac:dyDescent="0.25">
      <c r="A32" s="86">
        <v>60</v>
      </c>
      <c r="B32" s="87">
        <v>20.37</v>
      </c>
      <c r="C32" s="87">
        <v>4.09</v>
      </c>
      <c r="D32" s="87"/>
    </row>
    <row r="33" spans="1:4" x14ac:dyDescent="0.25">
      <c r="A33" s="86">
        <v>61</v>
      </c>
      <c r="B33" s="87">
        <v>19.739999999999998</v>
      </c>
      <c r="C33" s="87">
        <v>4.1100000000000003</v>
      </c>
      <c r="D33" s="87"/>
    </row>
    <row r="34" spans="1:4" x14ac:dyDescent="0.25">
      <c r="A34" s="86">
        <v>62</v>
      </c>
      <c r="B34" s="87">
        <v>19.100000000000001</v>
      </c>
      <c r="C34" s="87">
        <v>4.13</v>
      </c>
      <c r="D34" s="87"/>
    </row>
    <row r="35" spans="1:4" x14ac:dyDescent="0.25">
      <c r="A35" s="86">
        <v>63</v>
      </c>
      <c r="B35" s="87">
        <v>18.46</v>
      </c>
      <c r="C35" s="87">
        <v>4.1399999999999997</v>
      </c>
      <c r="D35" s="87"/>
    </row>
    <row r="36" spans="1:4" x14ac:dyDescent="0.25">
      <c r="A36" s="86">
        <v>64</v>
      </c>
      <c r="B36" s="87">
        <v>17.829999999999998</v>
      </c>
      <c r="C36" s="87">
        <v>4.1500000000000004</v>
      </c>
      <c r="D36" s="87"/>
    </row>
    <row r="37" spans="1:4" x14ac:dyDescent="0.25">
      <c r="A37" s="86">
        <v>65</v>
      </c>
      <c r="B37" s="87">
        <v>17.2</v>
      </c>
      <c r="C37" s="87">
        <v>4.1500000000000004</v>
      </c>
      <c r="D37" s="87"/>
    </row>
    <row r="38" spans="1:4" x14ac:dyDescent="0.25">
      <c r="A38" s="86">
        <v>66</v>
      </c>
      <c r="B38" s="87">
        <v>16.57</v>
      </c>
      <c r="C38" s="87">
        <v>4.1500000000000004</v>
      </c>
      <c r="D38" s="87"/>
    </row>
    <row r="39" spans="1:4" x14ac:dyDescent="0.25">
      <c r="A39" s="86">
        <v>67</v>
      </c>
      <c r="B39" s="87">
        <v>15.94</v>
      </c>
      <c r="C39" s="87">
        <v>4.1500000000000004</v>
      </c>
      <c r="D39" s="87"/>
    </row>
    <row r="40" spans="1:4" x14ac:dyDescent="0.25">
      <c r="A40" s="86">
        <v>68</v>
      </c>
      <c r="B40" s="87">
        <v>15.31</v>
      </c>
      <c r="C40" s="87">
        <v>4.1399999999999997</v>
      </c>
      <c r="D40" s="87"/>
    </row>
    <row r="41" spans="1:4" x14ac:dyDescent="0.25">
      <c r="A41" s="86">
        <v>69</v>
      </c>
      <c r="B41" s="87">
        <v>14.67</v>
      </c>
      <c r="C41" s="87">
        <v>4.07</v>
      </c>
      <c r="D41" s="87">
        <v>3.01</v>
      </c>
    </row>
    <row r="42" spans="1:4" x14ac:dyDescent="0.25">
      <c r="A42" s="86">
        <v>70</v>
      </c>
      <c r="B42" s="87">
        <v>14.04</v>
      </c>
      <c r="C42" s="87">
        <v>4</v>
      </c>
      <c r="D42" s="87">
        <v>2.8</v>
      </c>
    </row>
    <row r="43" spans="1:4" x14ac:dyDescent="0.25">
      <c r="A43" s="86">
        <v>71</v>
      </c>
      <c r="B43" s="87">
        <v>13.42</v>
      </c>
      <c r="C43" s="87">
        <v>3.97</v>
      </c>
      <c r="D43" s="87">
        <v>2.6</v>
      </c>
    </row>
    <row r="44" spans="1:4" x14ac:dyDescent="0.25">
      <c r="A44" s="86">
        <v>72</v>
      </c>
      <c r="B44" s="87">
        <v>12.79</v>
      </c>
      <c r="C44" s="87">
        <v>3.94</v>
      </c>
      <c r="D44" s="87">
        <v>2.41</v>
      </c>
    </row>
    <row r="45" spans="1:4" x14ac:dyDescent="0.25">
      <c r="A45" s="86">
        <v>73</v>
      </c>
      <c r="B45" s="87">
        <v>12.17</v>
      </c>
      <c r="C45" s="87">
        <v>3.9</v>
      </c>
      <c r="D45" s="87">
        <v>2.23</v>
      </c>
    </row>
    <row r="46" spans="1:4" x14ac:dyDescent="0.25">
      <c r="A46" s="86">
        <v>74</v>
      </c>
      <c r="B46" s="87">
        <v>11.56</v>
      </c>
      <c r="C46" s="87">
        <v>3.74</v>
      </c>
      <c r="D46" s="87">
        <v>2.04</v>
      </c>
    </row>
    <row r="47" spans="1:4" x14ac:dyDescent="0.25">
      <c r="A47" s="86">
        <v>75</v>
      </c>
      <c r="B47" s="87">
        <v>10.95</v>
      </c>
      <c r="C47" s="87">
        <v>3.56</v>
      </c>
      <c r="D47" s="87">
        <v>1.86</v>
      </c>
    </row>
    <row r="48" spans="1:4" x14ac:dyDescent="0.25">
      <c r="A48" s="86">
        <v>76</v>
      </c>
      <c r="B48" s="87">
        <v>10.36</v>
      </c>
      <c r="C48" s="87">
        <v>3.51</v>
      </c>
      <c r="D48" s="87">
        <v>1.7</v>
      </c>
    </row>
    <row r="49" spans="1:4" x14ac:dyDescent="0.25">
      <c r="A49" s="86">
        <v>77</v>
      </c>
      <c r="B49" s="87">
        <v>9.77</v>
      </c>
      <c r="C49" s="87">
        <v>3.45</v>
      </c>
      <c r="D49" s="87">
        <v>1.54</v>
      </c>
    </row>
    <row r="50" spans="1:4" x14ac:dyDescent="0.25">
      <c r="A50" s="86">
        <v>78</v>
      </c>
      <c r="B50" s="87">
        <v>9.19</v>
      </c>
      <c r="C50" s="87">
        <v>3.38</v>
      </c>
      <c r="D50" s="87">
        <v>1.4</v>
      </c>
    </row>
    <row r="51" spans="1:4" x14ac:dyDescent="0.25">
      <c r="A51" s="86">
        <v>79</v>
      </c>
      <c r="B51" s="87">
        <v>8.6300000000000008</v>
      </c>
      <c r="C51" s="87">
        <v>3.1</v>
      </c>
      <c r="D51" s="87">
        <v>1.25</v>
      </c>
    </row>
    <row r="52" spans="1:4" x14ac:dyDescent="0.25">
      <c r="A52" s="86">
        <v>80</v>
      </c>
      <c r="B52" s="87">
        <v>8.09</v>
      </c>
      <c r="C52" s="87">
        <v>2.82</v>
      </c>
      <c r="D52" s="87">
        <v>1.1100000000000001</v>
      </c>
    </row>
    <row r="53" spans="1:4" x14ac:dyDescent="0.25">
      <c r="A53" s="86">
        <v>81</v>
      </c>
      <c r="B53" s="87">
        <v>7.56</v>
      </c>
      <c r="C53" s="87">
        <v>2.74</v>
      </c>
      <c r="D53" s="87">
        <v>0.99</v>
      </c>
    </row>
    <row r="54" spans="1:4" x14ac:dyDescent="0.25">
      <c r="A54" s="86">
        <v>82</v>
      </c>
      <c r="B54" s="87">
        <v>7.05</v>
      </c>
      <c r="C54" s="87">
        <v>2.66</v>
      </c>
      <c r="D54" s="87">
        <v>0.88</v>
      </c>
    </row>
    <row r="55" spans="1:4" x14ac:dyDescent="0.25">
      <c r="A55" s="86">
        <v>83</v>
      </c>
      <c r="B55" s="87">
        <v>6.56</v>
      </c>
      <c r="C55" s="87">
        <v>2.56</v>
      </c>
      <c r="D55" s="87">
        <v>0.79</v>
      </c>
    </row>
    <row r="56" spans="1:4" x14ac:dyDescent="0.25">
      <c r="A56" s="86">
        <v>84</v>
      </c>
      <c r="B56" s="87">
        <v>6.1</v>
      </c>
      <c r="C56" s="87">
        <v>2.2400000000000002</v>
      </c>
      <c r="D56" s="87">
        <v>0.68</v>
      </c>
    </row>
    <row r="57" spans="1:4" x14ac:dyDescent="0.25">
      <c r="A57" s="86">
        <v>85</v>
      </c>
      <c r="B57" s="87">
        <v>5.65</v>
      </c>
      <c r="C57" s="87">
        <v>1.92</v>
      </c>
      <c r="D57" s="87">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pAEzEQScUskFX4jZb51ZpBRXIJrZLKSB5MM6owW85H9m09M+z70CHcoS/LpvQNuz8LJZ69PKfDzVIZU0hf6/Dg==" saltValue="TbwtM6U+v4ysDYDw8+pc5w==" spinCount="100000" sheet="1" objects="1" scenarios="1"/>
  <conditionalFormatting sqref="A6:A21">
    <cfRule type="expression" dxfId="661" priority="1" stopIfTrue="1">
      <formula>MOD(ROW(),2)=0</formula>
    </cfRule>
    <cfRule type="expression" dxfId="660" priority="2" stopIfTrue="1">
      <formula>MOD(ROW(),2)&lt;&gt;0</formula>
    </cfRule>
  </conditionalFormatting>
  <conditionalFormatting sqref="A26:A57">
    <cfRule type="expression" dxfId="659" priority="3" stopIfTrue="1">
      <formula>MOD(ROW(),2)=0</formula>
    </cfRule>
    <cfRule type="expression" dxfId="658" priority="4" stopIfTrue="1">
      <formula>MOD(ROW(),2)&lt;&gt;0</formula>
    </cfRule>
  </conditionalFormatting>
  <conditionalFormatting sqref="B18:B19">
    <cfRule type="expression" dxfId="657" priority="7" stopIfTrue="1">
      <formula>MOD(ROW(),2)=0</formula>
    </cfRule>
    <cfRule type="expression" dxfId="656" priority="8" stopIfTrue="1">
      <formula>MOD(ROW(),2)&lt;&gt;0</formula>
    </cfRule>
  </conditionalFormatting>
  <conditionalFormatting sqref="B6:D6 C7:D7 C18:D19 B20:D21">
    <cfRule type="expression" dxfId="655" priority="25" stopIfTrue="1">
      <formula>MOD(ROW(),2)=0</formula>
    </cfRule>
    <cfRule type="expression" dxfId="654" priority="26" stopIfTrue="1">
      <formula>MOD(ROW(),2)&lt;&gt;0</formula>
    </cfRule>
  </conditionalFormatting>
  <conditionalFormatting sqref="B6:D21">
    <cfRule type="expression" dxfId="653" priority="15" stopIfTrue="1">
      <formula>MOD(ROW(),2)=0</formula>
    </cfRule>
    <cfRule type="expression" dxfId="652" priority="16" stopIfTrue="1">
      <formula>MOD(ROW(),2)&lt;&gt;0</formula>
    </cfRule>
  </conditionalFormatting>
  <conditionalFormatting sqref="B8:D17">
    <cfRule type="expression" dxfId="651" priority="17" stopIfTrue="1">
      <formula>MOD(ROW(),2)=0</formula>
    </cfRule>
    <cfRule type="expression" dxfId="650" priority="18" stopIfTrue="1">
      <formula>MOD(ROW(),2)&lt;&gt;0</formula>
    </cfRule>
  </conditionalFormatting>
  <conditionalFormatting sqref="B26:D57">
    <cfRule type="expression" dxfId="649" priority="5" stopIfTrue="1">
      <formula>MOD(ROW(),2)=0</formula>
    </cfRule>
    <cfRule type="expression" dxfId="648" priority="6" stopIfTrue="1">
      <formula>MOD(ROW(),2)&lt;&gt;0</formula>
    </cfRule>
  </conditionalFormatting>
  <hyperlinks>
    <hyperlink ref="B24" location="Assumptions!A1" display="Assumptions" xr:uid="{9C2F2685-1F63-4C95-AED6-C2317B36F6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53"/>
  <sheetViews>
    <sheetView showGridLines="0" topLeftCell="A18" zoomScale="85" zoomScaleNormal="85" workbookViewId="0">
      <selection activeCell="A3" sqref="A3"/>
    </sheetView>
  </sheetViews>
  <sheetFormatPr defaultRowHeight="13.2" x14ac:dyDescent="0.25"/>
  <cols>
    <col min="1" max="1" width="66.777343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Fire England - Consolidated Factor Spreadsheet</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c r="B4" s="7"/>
    </row>
    <row r="5" spans="1:12" x14ac:dyDescent="0.25">
      <c r="E5" s="8"/>
      <c r="F5" s="8"/>
      <c r="G5" s="8"/>
    </row>
    <row r="6" spans="1:12" x14ac:dyDescent="0.25">
      <c r="A6" s="1" t="s">
        <v>35</v>
      </c>
      <c r="B6" s="1"/>
    </row>
    <row r="8" spans="1:12" x14ac:dyDescent="0.25">
      <c r="A8" s="26" t="s">
        <v>36</v>
      </c>
      <c r="B8" s="26"/>
    </row>
    <row r="9" spans="1:12" x14ac:dyDescent="0.25">
      <c r="A9" s="26" t="s">
        <v>37</v>
      </c>
      <c r="B9" s="26"/>
    </row>
    <row r="11" spans="1:12" x14ac:dyDescent="0.25">
      <c r="A11" s="103" t="s">
        <v>38</v>
      </c>
      <c r="B11" s="103"/>
      <c r="C11" s="105"/>
    </row>
    <row r="12" spans="1:12" x14ac:dyDescent="0.25">
      <c r="A12" s="104" t="s">
        <v>39</v>
      </c>
      <c r="B12" s="106"/>
      <c r="C12" s="107"/>
    </row>
    <row r="13" spans="1:12" x14ac:dyDescent="0.25">
      <c r="A13" s="104" t="s">
        <v>40</v>
      </c>
      <c r="B13" s="106"/>
      <c r="C13" s="107"/>
    </row>
    <row r="14" spans="1:12" x14ac:dyDescent="0.25">
      <c r="A14" s="104" t="s">
        <v>41</v>
      </c>
      <c r="B14" s="106"/>
      <c r="C14" s="107"/>
    </row>
    <row r="15" spans="1:12" x14ac:dyDescent="0.25">
      <c r="A15" s="104" t="s">
        <v>42</v>
      </c>
      <c r="B15" s="106"/>
      <c r="C15" s="107"/>
    </row>
    <row r="16" spans="1:12" ht="16.5" customHeight="1" x14ac:dyDescent="0.25">
      <c r="A16" s="104" t="s">
        <v>43</v>
      </c>
      <c r="B16" s="106"/>
      <c r="C16" s="107"/>
    </row>
    <row r="17" spans="1:3" x14ac:dyDescent="0.25">
      <c r="A17" s="104" t="s">
        <v>44</v>
      </c>
      <c r="B17" s="105"/>
      <c r="C17" s="108"/>
    </row>
    <row r="19" spans="1:3" x14ac:dyDescent="0.25">
      <c r="A19" s="103" t="s">
        <v>45</v>
      </c>
      <c r="B19" s="109"/>
      <c r="C19" s="105"/>
    </row>
    <row r="20" spans="1:3" x14ac:dyDescent="0.25">
      <c r="A20" s="105" t="s">
        <v>39</v>
      </c>
      <c r="B20" s="105"/>
      <c r="C20" s="106"/>
    </row>
    <row r="21" spans="1:3" x14ac:dyDescent="0.25">
      <c r="A21" s="105" t="s">
        <v>46</v>
      </c>
      <c r="B21" s="105"/>
      <c r="C21" s="110" t="s">
        <v>47</v>
      </c>
    </row>
    <row r="22" spans="1:3" x14ac:dyDescent="0.25">
      <c r="A22" s="105" t="s">
        <v>43</v>
      </c>
      <c r="B22" s="105"/>
      <c r="C22" s="105"/>
    </row>
    <row r="23" spans="1:3" x14ac:dyDescent="0.25">
      <c r="A23" s="105" t="s">
        <v>48</v>
      </c>
      <c r="B23" s="105"/>
      <c r="C23" s="109">
        <v>45070</v>
      </c>
    </row>
    <row r="24" spans="1:3" x14ac:dyDescent="0.25">
      <c r="A24" s="105"/>
      <c r="B24" s="105"/>
      <c r="C24" s="105"/>
    </row>
    <row r="26" spans="1:3" x14ac:dyDescent="0.25">
      <c r="A26" s="103" t="s">
        <v>49</v>
      </c>
      <c r="B26" s="105"/>
      <c r="C26" s="105"/>
    </row>
    <row r="27" spans="1:3" x14ac:dyDescent="0.25">
      <c r="A27" s="105" t="s">
        <v>39</v>
      </c>
      <c r="B27" s="105"/>
      <c r="C27" s="106"/>
    </row>
    <row r="28" spans="1:3" x14ac:dyDescent="0.25">
      <c r="A28" s="105" t="s">
        <v>46</v>
      </c>
      <c r="B28" s="105"/>
      <c r="C28" s="106" t="s">
        <v>50</v>
      </c>
    </row>
    <row r="29" spans="1:3" x14ac:dyDescent="0.25">
      <c r="A29" s="105" t="s">
        <v>51</v>
      </c>
      <c r="B29" s="105"/>
      <c r="C29" s="106" t="s">
        <v>52</v>
      </c>
    </row>
    <row r="30" spans="1:3" x14ac:dyDescent="0.25">
      <c r="A30" s="105" t="s">
        <v>43</v>
      </c>
      <c r="B30" s="105"/>
      <c r="C30" s="105"/>
    </row>
    <row r="31" spans="1:3" x14ac:dyDescent="0.25">
      <c r="A31" s="105" t="s">
        <v>48</v>
      </c>
      <c r="B31" s="105"/>
      <c r="C31" s="109">
        <v>45106</v>
      </c>
    </row>
    <row r="33" spans="1:3" x14ac:dyDescent="0.25">
      <c r="A33" s="103" t="s">
        <v>53</v>
      </c>
      <c r="B33" s="105"/>
      <c r="C33" s="105"/>
    </row>
    <row r="34" spans="1:3" x14ac:dyDescent="0.25">
      <c r="A34" s="105" t="s">
        <v>39</v>
      </c>
      <c r="B34" s="105"/>
      <c r="C34" s="106"/>
    </row>
    <row r="35" spans="1:3" ht="26.4" x14ac:dyDescent="0.25">
      <c r="A35" s="105" t="s">
        <v>46</v>
      </c>
      <c r="B35" s="105"/>
      <c r="C35" s="106" t="s">
        <v>54</v>
      </c>
    </row>
    <row r="36" spans="1:3" x14ac:dyDescent="0.25">
      <c r="A36" s="105" t="s">
        <v>51</v>
      </c>
      <c r="B36" s="105"/>
      <c r="C36" s="106"/>
    </row>
    <row r="37" spans="1:3" x14ac:dyDescent="0.25">
      <c r="A37" s="105" t="s">
        <v>43</v>
      </c>
      <c r="B37" s="105"/>
      <c r="C37" s="105"/>
    </row>
    <row r="38" spans="1:3" x14ac:dyDescent="0.25">
      <c r="A38" s="105" t="s">
        <v>48</v>
      </c>
      <c r="B38" s="105"/>
      <c r="C38" s="109">
        <v>45135</v>
      </c>
    </row>
    <row r="40" spans="1:3" x14ac:dyDescent="0.25">
      <c r="A40" s="114" t="s">
        <v>55</v>
      </c>
      <c r="B40" s="115"/>
      <c r="C40" s="115"/>
    </row>
    <row r="41" spans="1:3" x14ac:dyDescent="0.25">
      <c r="A41" s="115" t="s">
        <v>39</v>
      </c>
      <c r="B41" s="115"/>
      <c r="C41" s="116"/>
    </row>
    <row r="42" spans="1:3" x14ac:dyDescent="0.25">
      <c r="A42" s="115" t="s">
        <v>46</v>
      </c>
      <c r="B42" s="115"/>
      <c r="C42" s="116" t="s">
        <v>56</v>
      </c>
    </row>
    <row r="43" spans="1:3" ht="26.4" x14ac:dyDescent="0.25">
      <c r="A43" s="115" t="s">
        <v>51</v>
      </c>
      <c r="B43" s="115"/>
      <c r="C43" s="116" t="s">
        <v>57</v>
      </c>
    </row>
    <row r="44" spans="1:3" x14ac:dyDescent="0.25">
      <c r="A44" s="115" t="s">
        <v>43</v>
      </c>
      <c r="B44" s="115"/>
      <c r="C44" s="115"/>
    </row>
    <row r="45" spans="1:3" x14ac:dyDescent="0.25">
      <c r="A45" s="115" t="s">
        <v>48</v>
      </c>
      <c r="B45" s="115"/>
      <c r="C45" s="117">
        <v>45196</v>
      </c>
    </row>
    <row r="47" spans="1:3" x14ac:dyDescent="0.25">
      <c r="A47" s="118" t="s">
        <v>58</v>
      </c>
      <c r="B47" s="168"/>
      <c r="C47" s="168"/>
    </row>
    <row r="48" spans="1:3" x14ac:dyDescent="0.25">
      <c r="A48" s="119" t="s">
        <v>39</v>
      </c>
      <c r="B48" s="169" t="s">
        <v>59</v>
      </c>
      <c r="C48" s="169"/>
    </row>
    <row r="49" spans="1:3" x14ac:dyDescent="0.25">
      <c r="A49" s="120" t="s">
        <v>46</v>
      </c>
      <c r="B49" s="168"/>
      <c r="C49" s="168"/>
    </row>
    <row r="50" spans="1:3" x14ac:dyDescent="0.25">
      <c r="A50" s="119" t="s">
        <v>51</v>
      </c>
      <c r="B50" s="169" t="s">
        <v>60</v>
      </c>
      <c r="C50" s="169"/>
    </row>
    <row r="51" spans="1:3" x14ac:dyDescent="0.25">
      <c r="A51" s="120" t="s">
        <v>43</v>
      </c>
      <c r="B51" s="168"/>
      <c r="C51" s="168"/>
    </row>
    <row r="52" spans="1:3" ht="26.4" x14ac:dyDescent="0.25">
      <c r="A52" s="119" t="s">
        <v>61</v>
      </c>
      <c r="B52" s="121"/>
      <c r="C52" s="122" t="s">
        <v>62</v>
      </c>
    </row>
    <row r="53" spans="1:3" x14ac:dyDescent="0.25">
      <c r="A53" s="120" t="s">
        <v>48</v>
      </c>
      <c r="B53" s="123"/>
      <c r="C53" s="124">
        <v>45688</v>
      </c>
    </row>
  </sheetData>
  <sheetProtection algorithmName="SHA-512" hashValue="JfHlAjvoykLHb8wpL6SJuD3LDZPaJrbN3tv8Ofsk5h3HPNmBf/wOQIseKlejQWRFZ2UptE8czeZgK7pj8JZ3mg==" saltValue="kd0cHbUqoIbL/kjlKHgN0A==" spinCount="100000" sheet="1" objects="1" scenarios="1"/>
  <mergeCells count="5">
    <mergeCell ref="B47:C47"/>
    <mergeCell ref="B48:C48"/>
    <mergeCell ref="B49:C49"/>
    <mergeCell ref="B50:C50"/>
    <mergeCell ref="B51:C51"/>
  </mergeCells>
  <conditionalFormatting sqref="A11:A17 A19:A23 A26:A31">
    <cfRule type="expression" dxfId="920" priority="19" stopIfTrue="1">
      <formula>MOD(ROW(),2)=0</formula>
    </cfRule>
    <cfRule type="expression" dxfId="919" priority="20" stopIfTrue="1">
      <formula>MOD(ROW(),2)&lt;&gt;0</formula>
    </cfRule>
  </conditionalFormatting>
  <conditionalFormatting sqref="A33:A38">
    <cfRule type="expression" dxfId="918" priority="3" stopIfTrue="1">
      <formula>MOD(ROW(),2)=0</formula>
    </cfRule>
    <cfRule type="expression" dxfId="917" priority="4" stopIfTrue="1">
      <formula>MOD(ROW(),2)&lt;&gt;0</formula>
    </cfRule>
  </conditionalFormatting>
  <conditionalFormatting sqref="A40:A45">
    <cfRule type="expression" dxfId="916" priority="9" stopIfTrue="1">
      <formula>MOD(ROW(),2)=0</formula>
    </cfRule>
    <cfRule type="expression" dxfId="915" priority="10" stopIfTrue="1">
      <formula>MOD(ROW(),2)&lt;&gt;0</formula>
    </cfRule>
  </conditionalFormatting>
  <conditionalFormatting sqref="A11:C17">
    <cfRule type="expression" priority="43" stopIfTrue="1">
      <formula>MOD(ROW(),2)=0</formula>
    </cfRule>
    <cfRule type="expression" priority="23" stopIfTrue="1">
      <formula>MOD(ROW(),2)=0</formula>
    </cfRule>
    <cfRule type="expression" priority="24" stopIfTrue="1">
      <formula>MOD(ROW(),2)&lt;&gt;0</formula>
    </cfRule>
    <cfRule type="expression" priority="36" stopIfTrue="1">
      <formula>MOD(ROW(),2)&lt;&gt;0</formula>
    </cfRule>
    <cfRule type="expression" priority="35" stopIfTrue="1">
      <formula>MOD(ROW(),2)=0</formula>
    </cfRule>
    <cfRule type="expression" priority="44" stopIfTrue="1">
      <formula>MOD(ROW(),2)&lt;&gt;0</formula>
    </cfRule>
  </conditionalFormatting>
  <conditionalFormatting sqref="A19:C23">
    <cfRule type="expression" priority="39" stopIfTrue="1">
      <formula>MOD(ROW(),2)=0</formula>
    </cfRule>
    <cfRule type="expression" priority="40" stopIfTrue="1">
      <formula>MOD(ROW(),2)&lt;&gt;0</formula>
    </cfRule>
    <cfRule type="expression" priority="28" stopIfTrue="1">
      <formula>MOD(ROW(),2)&lt;&gt;0</formula>
    </cfRule>
    <cfRule type="expression" priority="27" stopIfTrue="1">
      <formula>MOD(ROW(),2)=0</formula>
    </cfRule>
    <cfRule type="expression" priority="47" stopIfTrue="1">
      <formula>MOD(ROW(),2)=0</formula>
    </cfRule>
    <cfRule type="expression" priority="48" stopIfTrue="1">
      <formula>MOD(ROW(),2)&lt;&gt;0</formula>
    </cfRule>
  </conditionalFormatting>
  <conditionalFormatting sqref="A19:C24">
    <cfRule type="expression" priority="52" stopIfTrue="1">
      <formula>MOD(ROW(),2)&lt;&gt;0</formula>
    </cfRule>
    <cfRule type="expression" priority="51" stopIfTrue="1">
      <formula>MOD(ROW(),2)=0</formula>
    </cfRule>
  </conditionalFormatting>
  <conditionalFormatting sqref="A26:C31">
    <cfRule type="expression" priority="55" stopIfTrue="1">
      <formula>MOD(ROW(),2)=0</formula>
    </cfRule>
    <cfRule type="expression" priority="56" stopIfTrue="1">
      <formula>MOD(ROW(),2)&lt;&gt;0</formula>
    </cfRule>
  </conditionalFormatting>
  <conditionalFormatting sqref="A33:C38">
    <cfRule type="expression" priority="5" stopIfTrue="1">
      <formula>MOD(ROW(),2)=0</formula>
    </cfRule>
    <cfRule type="expression" priority="6" stopIfTrue="1">
      <formula>MOD(ROW(),2)&lt;&gt;0</formula>
    </cfRule>
  </conditionalFormatting>
  <conditionalFormatting sqref="B11:C17">
    <cfRule type="expression" priority="21" stopIfTrue="1">
      <formula>MOD(ROW(),2)=0</formula>
    </cfRule>
    <cfRule type="expression" priority="22" stopIfTrue="1">
      <formula>MOD(ROW(),2)&lt;&gt;0</formula>
    </cfRule>
  </conditionalFormatting>
  <conditionalFormatting sqref="B33:C38">
    <cfRule type="expression" dxfId="914" priority="1" stopIfTrue="1">
      <formula>MOD(ROW(),2)=0</formula>
    </cfRule>
    <cfRule type="expression" dxfId="913" priority="2" stopIfTrue="1">
      <formula>MOD(ROW(),2)&lt;&gt;0</formula>
    </cfRule>
  </conditionalFormatting>
  <conditionalFormatting sqref="B40:C45">
    <cfRule type="expression" dxfId="912" priority="11" stopIfTrue="1">
      <formula>MOD(ROW(),2)=0</formula>
    </cfRule>
    <cfRule type="expression" dxfId="911" priority="12" stopIfTrue="1">
      <formula>MOD(ROW(),2)&lt;&gt;0</formula>
    </cfRule>
  </conditionalFormatting>
  <conditionalFormatting sqref="C13 B19:C23 B26:C31">
    <cfRule type="expression" dxfId="910" priority="17" stopIfTrue="1">
      <formula>MOD(ROW(),2)=0</formula>
    </cfRule>
    <cfRule type="expression" dxfId="909" priority="18" stopIfTrue="1">
      <formula>MOD(ROW(),2)&lt;&gt;0</formula>
    </cfRule>
  </conditionalFormatting>
  <conditionalFormatting sqref="C15">
    <cfRule type="expression" dxfId="908" priority="15" stopIfTrue="1">
      <formula>MOD(ROW(),2)=0</formula>
    </cfRule>
    <cfRule type="expression" dxfId="907" priority="16"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9"/>
  <dimension ref="A1:I65"/>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x-306</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2006</v>
      </c>
      <c r="C8" s="102"/>
      <c r="D8" s="102"/>
    </row>
    <row r="9" spans="1:9" x14ac:dyDescent="0.25">
      <c r="A9" s="72" t="s">
        <v>80</v>
      </c>
      <c r="B9" s="102" t="s">
        <v>140</v>
      </c>
      <c r="C9" s="102"/>
      <c r="D9" s="102"/>
    </row>
    <row r="10" spans="1:9" x14ac:dyDescent="0.25">
      <c r="A10" s="72" t="s">
        <v>6</v>
      </c>
      <c r="B10" s="102" t="s">
        <v>141</v>
      </c>
      <c r="C10" s="102"/>
      <c r="D10" s="102"/>
    </row>
    <row r="11" spans="1:9" x14ac:dyDescent="0.25">
      <c r="A11" s="72" t="s">
        <v>81</v>
      </c>
      <c r="B11" s="102" t="s">
        <v>100</v>
      </c>
      <c r="C11" s="102"/>
      <c r="D11" s="102"/>
    </row>
    <row r="12" spans="1:9" x14ac:dyDescent="0.25">
      <c r="A12" s="72" t="s">
        <v>82</v>
      </c>
      <c r="B12" s="102" t="s">
        <v>95</v>
      </c>
      <c r="C12" s="102"/>
      <c r="D12" s="102"/>
    </row>
    <row r="13" spans="1:9" hidden="1" x14ac:dyDescent="0.25">
      <c r="A13" s="72" t="s">
        <v>342</v>
      </c>
      <c r="B13" s="102">
        <v>1</v>
      </c>
      <c r="C13" s="102"/>
      <c r="D13" s="102"/>
    </row>
    <row r="14" spans="1:9" hidden="1" x14ac:dyDescent="0.25">
      <c r="A14" s="72" t="s">
        <v>84</v>
      </c>
      <c r="B14" s="102">
        <v>306</v>
      </c>
      <c r="C14" s="102"/>
      <c r="D14" s="102"/>
    </row>
    <row r="15" spans="1:9" x14ac:dyDescent="0.25">
      <c r="A15" s="72" t="s">
        <v>345</v>
      </c>
      <c r="B15" s="102" t="s">
        <v>152</v>
      </c>
      <c r="C15" s="102"/>
      <c r="D15" s="102"/>
    </row>
    <row r="16" spans="1:9" x14ac:dyDescent="0.25">
      <c r="A16" s="72" t="s">
        <v>86</v>
      </c>
      <c r="B16" s="102" t="s">
        <v>145</v>
      </c>
      <c r="C16" s="102"/>
      <c r="D16" s="102"/>
    </row>
    <row r="17" spans="1:4" ht="75"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9.6" customHeight="1" x14ac:dyDescent="0.25">
      <c r="A26" s="85" t="s">
        <v>415</v>
      </c>
      <c r="B26" s="85" t="s">
        <v>424</v>
      </c>
      <c r="C26" s="85" t="s">
        <v>432</v>
      </c>
      <c r="D26" s="85" t="s">
        <v>427</v>
      </c>
    </row>
    <row r="27" spans="1:4" x14ac:dyDescent="0.25">
      <c r="A27" s="86">
        <v>55</v>
      </c>
      <c r="B27" s="87">
        <v>23.37</v>
      </c>
      <c r="C27" s="87">
        <v>3.97</v>
      </c>
      <c r="D27" s="87"/>
    </row>
    <row r="28" spans="1:4" x14ac:dyDescent="0.25">
      <c r="A28" s="86">
        <v>56</v>
      </c>
      <c r="B28" s="87">
        <v>22.78</v>
      </c>
      <c r="C28" s="87">
        <v>4</v>
      </c>
      <c r="D28" s="87"/>
    </row>
    <row r="29" spans="1:4" x14ac:dyDescent="0.25">
      <c r="A29" s="86">
        <v>57</v>
      </c>
      <c r="B29" s="87">
        <v>22.19</v>
      </c>
      <c r="C29" s="87">
        <v>4.0199999999999996</v>
      </c>
      <c r="D29" s="87"/>
    </row>
    <row r="30" spans="1:4" x14ac:dyDescent="0.25">
      <c r="A30" s="86">
        <v>58</v>
      </c>
      <c r="B30" s="87">
        <v>21.6</v>
      </c>
      <c r="C30" s="87">
        <v>4.05</v>
      </c>
      <c r="D30" s="87"/>
    </row>
    <row r="31" spans="1:4" x14ac:dyDescent="0.25">
      <c r="A31" s="86">
        <v>59</v>
      </c>
      <c r="B31" s="87">
        <v>20.99</v>
      </c>
      <c r="C31" s="87">
        <v>4.07</v>
      </c>
      <c r="D31" s="87"/>
    </row>
    <row r="32" spans="1:4" x14ac:dyDescent="0.25">
      <c r="A32" s="86">
        <v>60</v>
      </c>
      <c r="B32" s="87">
        <v>20.37</v>
      </c>
      <c r="C32" s="87">
        <v>4.09</v>
      </c>
      <c r="D32" s="87"/>
    </row>
    <row r="33" spans="1:4" x14ac:dyDescent="0.25">
      <c r="A33" s="86">
        <v>61</v>
      </c>
      <c r="B33" s="87">
        <v>19.739999999999998</v>
      </c>
      <c r="C33" s="87">
        <v>4.1100000000000003</v>
      </c>
      <c r="D33" s="87"/>
    </row>
    <row r="34" spans="1:4" x14ac:dyDescent="0.25">
      <c r="A34" s="86">
        <v>62</v>
      </c>
      <c r="B34" s="87">
        <v>19.100000000000001</v>
      </c>
      <c r="C34" s="87">
        <v>4.13</v>
      </c>
      <c r="D34" s="87"/>
    </row>
    <row r="35" spans="1:4" x14ac:dyDescent="0.25">
      <c r="A35" s="86">
        <v>63</v>
      </c>
      <c r="B35" s="87">
        <v>18.46</v>
      </c>
      <c r="C35" s="87">
        <v>4.1399999999999997</v>
      </c>
      <c r="D35" s="87"/>
    </row>
    <row r="36" spans="1:4" x14ac:dyDescent="0.25">
      <c r="A36" s="86">
        <v>64</v>
      </c>
      <c r="B36" s="87">
        <v>17.829999999999998</v>
      </c>
      <c r="C36" s="87">
        <v>4.1500000000000004</v>
      </c>
      <c r="D36" s="87"/>
    </row>
    <row r="37" spans="1:4" x14ac:dyDescent="0.25">
      <c r="A37" s="86">
        <v>65</v>
      </c>
      <c r="B37" s="87">
        <v>17.2</v>
      </c>
      <c r="C37" s="87">
        <v>4.1500000000000004</v>
      </c>
      <c r="D37" s="87"/>
    </row>
    <row r="38" spans="1:4" x14ac:dyDescent="0.25">
      <c r="A38" s="86">
        <v>66</v>
      </c>
      <c r="B38" s="87">
        <v>16.57</v>
      </c>
      <c r="C38" s="87">
        <v>4.1500000000000004</v>
      </c>
      <c r="D38" s="87"/>
    </row>
    <row r="39" spans="1:4" x14ac:dyDescent="0.25">
      <c r="A39" s="86">
        <v>67</v>
      </c>
      <c r="B39" s="87">
        <v>15.94</v>
      </c>
      <c r="C39" s="87">
        <v>4.1500000000000004</v>
      </c>
      <c r="D39" s="87"/>
    </row>
    <row r="40" spans="1:4" x14ac:dyDescent="0.25">
      <c r="A40" s="86">
        <v>68</v>
      </c>
      <c r="B40" s="87">
        <v>15.31</v>
      </c>
      <c r="C40" s="87">
        <v>4.1399999999999997</v>
      </c>
      <c r="D40" s="87"/>
    </row>
    <row r="41" spans="1:4" x14ac:dyDescent="0.25">
      <c r="A41" s="86">
        <v>69</v>
      </c>
      <c r="B41" s="87">
        <v>14.67</v>
      </c>
      <c r="C41" s="87">
        <v>4.07</v>
      </c>
      <c r="D41" s="87">
        <v>2.82</v>
      </c>
    </row>
    <row r="42" spans="1:4" x14ac:dyDescent="0.25">
      <c r="A42" s="86">
        <v>70</v>
      </c>
      <c r="B42" s="87">
        <v>14.04</v>
      </c>
      <c r="C42" s="87">
        <v>4</v>
      </c>
      <c r="D42" s="87">
        <v>2.62</v>
      </c>
    </row>
    <row r="43" spans="1:4" x14ac:dyDescent="0.25">
      <c r="A43" s="86">
        <v>71</v>
      </c>
      <c r="B43" s="87">
        <v>13.42</v>
      </c>
      <c r="C43" s="87">
        <v>3.97</v>
      </c>
      <c r="D43" s="87">
        <v>2.42</v>
      </c>
    </row>
    <row r="44" spans="1:4" x14ac:dyDescent="0.25">
      <c r="A44" s="86">
        <v>72</v>
      </c>
      <c r="B44" s="87">
        <v>12.79</v>
      </c>
      <c r="C44" s="87">
        <v>3.94</v>
      </c>
      <c r="D44" s="87">
        <v>2.23</v>
      </c>
    </row>
    <row r="45" spans="1:4" x14ac:dyDescent="0.25">
      <c r="A45" s="86">
        <v>73</v>
      </c>
      <c r="B45" s="87">
        <v>12.17</v>
      </c>
      <c r="C45" s="87">
        <v>3.9</v>
      </c>
      <c r="D45" s="87">
        <v>2.0499999999999998</v>
      </c>
    </row>
    <row r="46" spans="1:4" x14ac:dyDescent="0.25">
      <c r="A46" s="86">
        <v>74</v>
      </c>
      <c r="B46" s="87">
        <v>11.56</v>
      </c>
      <c r="C46" s="87">
        <v>3.74</v>
      </c>
      <c r="D46" s="87">
        <v>1.88</v>
      </c>
    </row>
    <row r="47" spans="1:4" x14ac:dyDescent="0.25">
      <c r="A47" s="86">
        <v>75</v>
      </c>
      <c r="B47" s="87">
        <v>10.95</v>
      </c>
      <c r="C47" s="87">
        <v>3.56</v>
      </c>
      <c r="D47" s="87">
        <v>1.71</v>
      </c>
    </row>
    <row r="48" spans="1:4" x14ac:dyDescent="0.25">
      <c r="A48" s="86">
        <v>76</v>
      </c>
      <c r="B48" s="87">
        <v>10.36</v>
      </c>
      <c r="C48" s="87">
        <v>3.51</v>
      </c>
      <c r="D48" s="87">
        <v>1.56</v>
      </c>
    </row>
    <row r="49" spans="1:4" x14ac:dyDescent="0.25">
      <c r="A49" s="86">
        <v>77</v>
      </c>
      <c r="B49" s="87">
        <v>9.77</v>
      </c>
      <c r="C49" s="87">
        <v>3.45</v>
      </c>
      <c r="D49" s="87">
        <v>1.41</v>
      </c>
    </row>
    <row r="50" spans="1:4" x14ac:dyDescent="0.25">
      <c r="A50" s="86">
        <v>78</v>
      </c>
      <c r="B50" s="87">
        <v>9.19</v>
      </c>
      <c r="C50" s="87">
        <v>3.38</v>
      </c>
      <c r="D50" s="87">
        <v>1.27</v>
      </c>
    </row>
    <row r="51" spans="1:4" x14ac:dyDescent="0.25">
      <c r="A51" s="86">
        <v>79</v>
      </c>
      <c r="B51" s="87">
        <v>8.6300000000000008</v>
      </c>
      <c r="C51" s="87">
        <v>3.1</v>
      </c>
      <c r="D51" s="87">
        <v>1.1299999999999999</v>
      </c>
    </row>
    <row r="52" spans="1:4" x14ac:dyDescent="0.25">
      <c r="A52" s="86">
        <v>80</v>
      </c>
      <c r="B52" s="87">
        <v>8.09</v>
      </c>
      <c r="C52" s="87">
        <v>2.82</v>
      </c>
      <c r="D52" s="87">
        <v>1.01</v>
      </c>
    </row>
    <row r="53" spans="1:4" x14ac:dyDescent="0.25">
      <c r="A53" s="86">
        <v>81</v>
      </c>
      <c r="B53" s="87">
        <v>7.56</v>
      </c>
      <c r="C53" s="87">
        <v>2.74</v>
      </c>
      <c r="D53" s="87">
        <v>0.9</v>
      </c>
    </row>
    <row r="54" spans="1:4" x14ac:dyDescent="0.25">
      <c r="A54" s="86">
        <v>82</v>
      </c>
      <c r="B54" s="87">
        <v>7.05</v>
      </c>
      <c r="C54" s="87">
        <v>2.66</v>
      </c>
      <c r="D54" s="87">
        <v>0.8</v>
      </c>
    </row>
    <row r="55" spans="1:4" x14ac:dyDescent="0.25">
      <c r="A55" s="86">
        <v>83</v>
      </c>
      <c r="B55" s="87">
        <v>6.56</v>
      </c>
      <c r="C55" s="87">
        <v>2.56</v>
      </c>
      <c r="D55" s="87">
        <v>0.7</v>
      </c>
    </row>
    <row r="56" spans="1:4" x14ac:dyDescent="0.25">
      <c r="A56" s="86">
        <v>84</v>
      </c>
      <c r="B56" s="87">
        <v>6.1</v>
      </c>
      <c r="C56" s="87">
        <v>2.2400000000000002</v>
      </c>
      <c r="D56" s="87">
        <v>0.61</v>
      </c>
    </row>
    <row r="57" spans="1:4" x14ac:dyDescent="0.25">
      <c r="A57" s="86">
        <v>85</v>
      </c>
      <c r="B57" s="87">
        <v>5.65</v>
      </c>
      <c r="C57" s="87">
        <v>1.92</v>
      </c>
      <c r="D57" s="87">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yBs1UArFZRUfKabUx6O/TBlLV4JlEG/qXbJNmDh1MdFEJq/UbXm7qD6s6oeI9EKgXDL0ll4O2qTqhkpnCErVLQ==" saltValue="UNVt7kKw4pjP8BGa/+mC5A==" spinCount="100000" sheet="1" objects="1" scenarios="1"/>
  <conditionalFormatting sqref="A6:A21">
    <cfRule type="expression" dxfId="647" priority="1" stopIfTrue="1">
      <formula>MOD(ROW(),2)=0</formula>
    </cfRule>
    <cfRule type="expression" dxfId="646" priority="2" stopIfTrue="1">
      <formula>MOD(ROW(),2)&lt;&gt;0</formula>
    </cfRule>
  </conditionalFormatting>
  <conditionalFormatting sqref="A26:A57">
    <cfRule type="expression" dxfId="645" priority="3" stopIfTrue="1">
      <formula>MOD(ROW(),2)=0</formula>
    </cfRule>
    <cfRule type="expression" dxfId="644" priority="4" stopIfTrue="1">
      <formula>MOD(ROW(),2)&lt;&gt;0</formula>
    </cfRule>
  </conditionalFormatting>
  <conditionalFormatting sqref="B17:B19">
    <cfRule type="expression" dxfId="643" priority="7" stopIfTrue="1">
      <formula>MOD(ROW(),2)=0</formula>
    </cfRule>
    <cfRule type="expression" dxfId="642" priority="8" stopIfTrue="1">
      <formula>MOD(ROW(),2)&lt;&gt;0</formula>
    </cfRule>
  </conditionalFormatting>
  <conditionalFormatting sqref="B6:D6 C7:D7 C17:D19 B20:D21">
    <cfRule type="expression" dxfId="641" priority="27" stopIfTrue="1">
      <formula>MOD(ROW(),2)=0</formula>
    </cfRule>
    <cfRule type="expression" dxfId="640" priority="28" stopIfTrue="1">
      <formula>MOD(ROW(),2)&lt;&gt;0</formula>
    </cfRule>
  </conditionalFormatting>
  <conditionalFormatting sqref="B6:D21">
    <cfRule type="expression" dxfId="639" priority="17" stopIfTrue="1">
      <formula>MOD(ROW(),2)=0</formula>
    </cfRule>
    <cfRule type="expression" dxfId="638" priority="18" stopIfTrue="1">
      <formula>MOD(ROW(),2)&lt;&gt;0</formula>
    </cfRule>
  </conditionalFormatting>
  <conditionalFormatting sqref="B8:D16">
    <cfRule type="expression" dxfId="637" priority="19" stopIfTrue="1">
      <formula>MOD(ROW(),2)=0</formula>
    </cfRule>
    <cfRule type="expression" dxfId="636" priority="20" stopIfTrue="1">
      <formula>MOD(ROW(),2)&lt;&gt;0</formula>
    </cfRule>
  </conditionalFormatting>
  <conditionalFormatting sqref="B26:D57">
    <cfRule type="expression" dxfId="635" priority="5" stopIfTrue="1">
      <formula>MOD(ROW(),2)=0</formula>
    </cfRule>
    <cfRule type="expression" dxfId="634" priority="6" stopIfTrue="1">
      <formula>MOD(ROW(),2)&lt;&gt;0</formula>
    </cfRule>
  </conditionalFormatting>
  <hyperlinks>
    <hyperlink ref="B24" location="Assumptions!A1" display="Assumptions" xr:uid="{ACBC1127-5A91-487E-9687-7186B7EAC3A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0"/>
  <dimension ref="A1:I92"/>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x-307</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2006</v>
      </c>
      <c r="C8" s="102"/>
      <c r="D8" s="102"/>
    </row>
    <row r="9" spans="1:9" x14ac:dyDescent="0.25">
      <c r="A9" s="72" t="s">
        <v>80</v>
      </c>
      <c r="B9" s="102" t="s">
        <v>140</v>
      </c>
      <c r="C9" s="102"/>
      <c r="D9" s="102"/>
    </row>
    <row r="10" spans="1:9" x14ac:dyDescent="0.25">
      <c r="A10" s="72" t="s">
        <v>6</v>
      </c>
      <c r="B10" s="102" t="s">
        <v>146</v>
      </c>
      <c r="C10" s="102"/>
      <c r="D10" s="102"/>
    </row>
    <row r="11" spans="1:9" x14ac:dyDescent="0.25">
      <c r="A11" s="72" t="s">
        <v>81</v>
      </c>
      <c r="B11" s="102" t="s">
        <v>94</v>
      </c>
      <c r="C11" s="102"/>
      <c r="D11" s="102"/>
    </row>
    <row r="12" spans="1:9" x14ac:dyDescent="0.25">
      <c r="A12" s="72" t="s">
        <v>82</v>
      </c>
      <c r="B12" s="102" t="s">
        <v>95</v>
      </c>
      <c r="C12" s="102"/>
      <c r="D12" s="102"/>
    </row>
    <row r="13" spans="1:9" hidden="1" x14ac:dyDescent="0.25">
      <c r="A13" s="72" t="s">
        <v>342</v>
      </c>
      <c r="B13" s="102">
        <v>1</v>
      </c>
      <c r="C13" s="102"/>
      <c r="D13" s="102"/>
    </row>
    <row r="14" spans="1:9" hidden="1" x14ac:dyDescent="0.25">
      <c r="A14" s="72" t="s">
        <v>84</v>
      </c>
      <c r="B14" s="102">
        <v>307</v>
      </c>
      <c r="C14" s="102"/>
      <c r="D14" s="102"/>
    </row>
    <row r="15" spans="1:9" x14ac:dyDescent="0.25">
      <c r="A15" s="72" t="s">
        <v>345</v>
      </c>
      <c r="B15" s="102" t="s">
        <v>153</v>
      </c>
      <c r="C15" s="102"/>
      <c r="D15" s="102"/>
    </row>
    <row r="16" spans="1:9" x14ac:dyDescent="0.25">
      <c r="A16" s="72" t="s">
        <v>86</v>
      </c>
      <c r="B16" s="102" t="s">
        <v>148</v>
      </c>
      <c r="C16" s="102"/>
      <c r="D16" s="102"/>
    </row>
    <row r="17" spans="1:4" ht="70.5"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6" customHeight="1" x14ac:dyDescent="0.25">
      <c r="A26" s="85" t="s">
        <v>415</v>
      </c>
      <c r="B26" s="85" t="s">
        <v>424</v>
      </c>
      <c r="C26" s="85" t="s">
        <v>432</v>
      </c>
      <c r="D26" s="85" t="s">
        <v>427</v>
      </c>
    </row>
    <row r="27" spans="1:4" x14ac:dyDescent="0.25">
      <c r="A27" s="86">
        <v>20</v>
      </c>
      <c r="B27" s="87">
        <v>39.64</v>
      </c>
      <c r="C27" s="87">
        <v>2.59</v>
      </c>
      <c r="D27" s="87"/>
    </row>
    <row r="28" spans="1:4" x14ac:dyDescent="0.25">
      <c r="A28" s="86">
        <v>21</v>
      </c>
      <c r="B28" s="87">
        <v>39.28</v>
      </c>
      <c r="C28" s="87">
        <v>2.64</v>
      </c>
      <c r="D28" s="87"/>
    </row>
    <row r="29" spans="1:4" x14ac:dyDescent="0.25">
      <c r="A29" s="86">
        <v>22</v>
      </c>
      <c r="B29" s="87">
        <v>38.92</v>
      </c>
      <c r="C29" s="87">
        <v>2.68</v>
      </c>
      <c r="D29" s="87"/>
    </row>
    <row r="30" spans="1:4" x14ac:dyDescent="0.25">
      <c r="A30" s="86">
        <v>23</v>
      </c>
      <c r="B30" s="87">
        <v>38.549999999999997</v>
      </c>
      <c r="C30" s="87">
        <v>2.72</v>
      </c>
      <c r="D30" s="87"/>
    </row>
    <row r="31" spans="1:4" x14ac:dyDescent="0.25">
      <c r="A31" s="86">
        <v>24</v>
      </c>
      <c r="B31" s="87">
        <v>38.17</v>
      </c>
      <c r="C31" s="87">
        <v>2.77</v>
      </c>
      <c r="D31" s="87"/>
    </row>
    <row r="32" spans="1:4" x14ac:dyDescent="0.25">
      <c r="A32" s="86">
        <v>25</v>
      </c>
      <c r="B32" s="87">
        <v>37.79</v>
      </c>
      <c r="C32" s="87">
        <v>2.81</v>
      </c>
      <c r="D32" s="87"/>
    </row>
    <row r="33" spans="1:4" x14ac:dyDescent="0.25">
      <c r="A33" s="86">
        <v>26</v>
      </c>
      <c r="B33" s="87">
        <v>37.4</v>
      </c>
      <c r="C33" s="87">
        <v>2.85</v>
      </c>
      <c r="D33" s="87"/>
    </row>
    <row r="34" spans="1:4" x14ac:dyDescent="0.25">
      <c r="A34" s="86">
        <v>27</v>
      </c>
      <c r="B34" s="87">
        <v>37.01</v>
      </c>
      <c r="C34" s="87">
        <v>2.9</v>
      </c>
      <c r="D34" s="87"/>
    </row>
    <row r="35" spans="1:4" x14ac:dyDescent="0.25">
      <c r="A35" s="86">
        <v>28</v>
      </c>
      <c r="B35" s="87">
        <v>36.61</v>
      </c>
      <c r="C35" s="87">
        <v>2.94</v>
      </c>
      <c r="D35" s="87"/>
    </row>
    <row r="36" spans="1:4" x14ac:dyDescent="0.25">
      <c r="A36" s="86">
        <v>29</v>
      </c>
      <c r="B36" s="87">
        <v>36.200000000000003</v>
      </c>
      <c r="C36" s="87">
        <v>2.99</v>
      </c>
      <c r="D36" s="87"/>
    </row>
    <row r="37" spans="1:4" x14ac:dyDescent="0.25">
      <c r="A37" s="86">
        <v>30</v>
      </c>
      <c r="B37" s="87">
        <v>35.79</v>
      </c>
      <c r="C37" s="87">
        <v>3.03</v>
      </c>
      <c r="D37" s="87"/>
    </row>
    <row r="38" spans="1:4" x14ac:dyDescent="0.25">
      <c r="A38" s="86">
        <v>31</v>
      </c>
      <c r="B38" s="87">
        <v>35.369999999999997</v>
      </c>
      <c r="C38" s="87">
        <v>3.07</v>
      </c>
      <c r="D38" s="87"/>
    </row>
    <row r="39" spans="1:4" x14ac:dyDescent="0.25">
      <c r="A39" s="86">
        <v>32</v>
      </c>
      <c r="B39" s="87">
        <v>34.950000000000003</v>
      </c>
      <c r="C39" s="87">
        <v>3.12</v>
      </c>
      <c r="D39" s="87"/>
    </row>
    <row r="40" spans="1:4" x14ac:dyDescent="0.25">
      <c r="A40" s="86">
        <v>33</v>
      </c>
      <c r="B40" s="87">
        <v>34.51</v>
      </c>
      <c r="C40" s="87">
        <v>3.16</v>
      </c>
      <c r="D40" s="87"/>
    </row>
    <row r="41" spans="1:4" x14ac:dyDescent="0.25">
      <c r="A41" s="86">
        <v>34</v>
      </c>
      <c r="B41" s="87">
        <v>34.08</v>
      </c>
      <c r="C41" s="87">
        <v>3.2</v>
      </c>
      <c r="D41" s="87"/>
    </row>
    <row r="42" spans="1:4" x14ac:dyDescent="0.25">
      <c r="A42" s="86">
        <v>35</v>
      </c>
      <c r="B42" s="87">
        <v>33.630000000000003</v>
      </c>
      <c r="C42" s="87">
        <v>3.24</v>
      </c>
      <c r="D42" s="87"/>
    </row>
    <row r="43" spans="1:4" x14ac:dyDescent="0.25">
      <c r="A43" s="86">
        <v>36</v>
      </c>
      <c r="B43" s="87">
        <v>33.18</v>
      </c>
      <c r="C43" s="87">
        <v>3.29</v>
      </c>
      <c r="D43" s="87"/>
    </row>
    <row r="44" spans="1:4" x14ac:dyDescent="0.25">
      <c r="A44" s="86">
        <v>37</v>
      </c>
      <c r="B44" s="87">
        <v>32.72</v>
      </c>
      <c r="C44" s="87">
        <v>3.33</v>
      </c>
      <c r="D44" s="87"/>
    </row>
    <row r="45" spans="1:4" x14ac:dyDescent="0.25">
      <c r="A45" s="86">
        <v>38</v>
      </c>
      <c r="B45" s="87">
        <v>32.26</v>
      </c>
      <c r="C45" s="87">
        <v>3.37</v>
      </c>
      <c r="D45" s="87"/>
    </row>
    <row r="46" spans="1:4" x14ac:dyDescent="0.25">
      <c r="A46" s="86">
        <v>39</v>
      </c>
      <c r="B46" s="87">
        <v>31.79</v>
      </c>
      <c r="C46" s="87">
        <v>3.41</v>
      </c>
      <c r="D46" s="87"/>
    </row>
    <row r="47" spans="1:4" x14ac:dyDescent="0.25">
      <c r="A47" s="86">
        <v>40</v>
      </c>
      <c r="B47" s="87">
        <v>31.31</v>
      </c>
      <c r="C47" s="87">
        <v>3.45</v>
      </c>
      <c r="D47" s="87"/>
    </row>
    <row r="48" spans="1:4" x14ac:dyDescent="0.25">
      <c r="A48" s="86">
        <v>41</v>
      </c>
      <c r="B48" s="87">
        <v>30.82</v>
      </c>
      <c r="C48" s="87">
        <v>3.49</v>
      </c>
      <c r="D48" s="87"/>
    </row>
    <row r="49" spans="1:4" x14ac:dyDescent="0.25">
      <c r="A49" s="86">
        <v>42</v>
      </c>
      <c r="B49" s="87">
        <v>30.33</v>
      </c>
      <c r="C49" s="87">
        <v>3.53</v>
      </c>
      <c r="D49" s="87"/>
    </row>
    <row r="50" spans="1:4" x14ac:dyDescent="0.25">
      <c r="A50" s="86">
        <v>43</v>
      </c>
      <c r="B50" s="87">
        <v>29.83</v>
      </c>
      <c r="C50" s="87">
        <v>3.57</v>
      </c>
      <c r="D50" s="87"/>
    </row>
    <row r="51" spans="1:4" x14ac:dyDescent="0.25">
      <c r="A51" s="86">
        <v>44</v>
      </c>
      <c r="B51" s="87">
        <v>29.33</v>
      </c>
      <c r="C51" s="87">
        <v>3.61</v>
      </c>
      <c r="D51" s="87"/>
    </row>
    <row r="52" spans="1:4" x14ac:dyDescent="0.25">
      <c r="A52" s="86">
        <v>45</v>
      </c>
      <c r="B52" s="87">
        <v>28.82</v>
      </c>
      <c r="C52" s="87">
        <v>3.64</v>
      </c>
      <c r="D52" s="87"/>
    </row>
    <row r="53" spans="1:4" x14ac:dyDescent="0.25">
      <c r="A53" s="86">
        <v>46</v>
      </c>
      <c r="B53" s="87">
        <v>28.3</v>
      </c>
      <c r="C53" s="87">
        <v>3.68</v>
      </c>
      <c r="D53" s="87"/>
    </row>
    <row r="54" spans="1:4" x14ac:dyDescent="0.25">
      <c r="A54" s="86">
        <v>47</v>
      </c>
      <c r="B54" s="87">
        <v>27.78</v>
      </c>
      <c r="C54" s="87">
        <v>3.71</v>
      </c>
      <c r="D54" s="87"/>
    </row>
    <row r="55" spans="1:4" x14ac:dyDescent="0.25">
      <c r="A55" s="86">
        <v>48</v>
      </c>
      <c r="B55" s="87">
        <v>27.25</v>
      </c>
      <c r="C55" s="87">
        <v>3.75</v>
      </c>
      <c r="D55" s="87"/>
    </row>
    <row r="56" spans="1:4" x14ac:dyDescent="0.25">
      <c r="A56" s="86">
        <v>49</v>
      </c>
      <c r="B56" s="87">
        <v>26.71</v>
      </c>
      <c r="C56" s="87">
        <v>3.78</v>
      </c>
      <c r="D56" s="87"/>
    </row>
    <row r="57" spans="1:4" x14ac:dyDescent="0.25">
      <c r="A57" s="86">
        <v>50</v>
      </c>
      <c r="B57" s="87">
        <v>26.16</v>
      </c>
      <c r="C57" s="87">
        <v>3.82</v>
      </c>
      <c r="D57" s="87"/>
    </row>
    <row r="58" spans="1:4" x14ac:dyDescent="0.25">
      <c r="A58" s="86">
        <v>51</v>
      </c>
      <c r="B58" s="87">
        <v>25.61</v>
      </c>
      <c r="C58" s="87">
        <v>3.85</v>
      </c>
      <c r="D58" s="87"/>
    </row>
    <row r="59" spans="1:4" x14ac:dyDescent="0.25">
      <c r="A59" s="86">
        <v>52</v>
      </c>
      <c r="B59" s="87">
        <v>25.05</v>
      </c>
      <c r="C59" s="87">
        <v>3.88</v>
      </c>
      <c r="D59" s="87"/>
    </row>
    <row r="60" spans="1:4" x14ac:dyDescent="0.25">
      <c r="A60" s="86">
        <v>53</v>
      </c>
      <c r="B60" s="87">
        <v>24.48</v>
      </c>
      <c r="C60" s="87">
        <v>3.91</v>
      </c>
      <c r="D60" s="87"/>
    </row>
    <row r="61" spans="1:4" x14ac:dyDescent="0.25">
      <c r="A61" s="86">
        <v>54</v>
      </c>
      <c r="B61" s="87">
        <v>23.91</v>
      </c>
      <c r="C61" s="87">
        <v>3.94</v>
      </c>
      <c r="D61" s="87"/>
    </row>
    <row r="62" spans="1:4" x14ac:dyDescent="0.25">
      <c r="A62" s="86">
        <v>55</v>
      </c>
      <c r="B62" s="87">
        <v>23.33</v>
      </c>
      <c r="C62" s="87">
        <v>3.97</v>
      </c>
      <c r="D62" s="87"/>
    </row>
    <row r="63" spans="1:4" x14ac:dyDescent="0.25">
      <c r="A63" s="86">
        <v>56</v>
      </c>
      <c r="B63" s="87">
        <v>22.74</v>
      </c>
      <c r="C63" s="87">
        <v>4</v>
      </c>
      <c r="D63" s="87"/>
    </row>
    <row r="64" spans="1:4" x14ac:dyDescent="0.25">
      <c r="A64" s="86">
        <v>57</v>
      </c>
      <c r="B64" s="87">
        <v>22.14</v>
      </c>
      <c r="C64" s="87">
        <v>4.0199999999999996</v>
      </c>
      <c r="D64" s="87"/>
    </row>
    <row r="65" spans="1:4" x14ac:dyDescent="0.25">
      <c r="A65" s="86">
        <v>58</v>
      </c>
      <c r="B65" s="87">
        <v>21.54</v>
      </c>
      <c r="C65" s="87">
        <v>4.05</v>
      </c>
      <c r="D65" s="87"/>
    </row>
    <row r="66" spans="1:4" x14ac:dyDescent="0.25">
      <c r="A66" s="86">
        <v>59</v>
      </c>
      <c r="B66" s="87">
        <v>20.93</v>
      </c>
      <c r="C66" s="87">
        <v>4.07</v>
      </c>
      <c r="D66" s="87"/>
    </row>
    <row r="67" spans="1:4" x14ac:dyDescent="0.25">
      <c r="A67" s="86">
        <v>60</v>
      </c>
      <c r="B67" s="87">
        <v>20.32</v>
      </c>
      <c r="C67" s="87">
        <v>4.09</v>
      </c>
      <c r="D67" s="87"/>
    </row>
    <row r="68" spans="1:4" x14ac:dyDescent="0.25">
      <c r="A68" s="86">
        <v>61</v>
      </c>
      <c r="B68" s="87">
        <v>19.7</v>
      </c>
      <c r="C68" s="87">
        <v>4.1100000000000003</v>
      </c>
      <c r="D68" s="87"/>
    </row>
    <row r="69" spans="1:4" x14ac:dyDescent="0.25">
      <c r="A69" s="86">
        <v>62</v>
      </c>
      <c r="B69" s="87">
        <v>19.079999999999998</v>
      </c>
      <c r="C69" s="87">
        <v>4.13</v>
      </c>
      <c r="D69" s="87"/>
    </row>
    <row r="70" spans="1:4" x14ac:dyDescent="0.25">
      <c r="A70" s="86">
        <v>63</v>
      </c>
      <c r="B70" s="87">
        <v>18.46</v>
      </c>
      <c r="C70" s="87">
        <v>4.1399999999999997</v>
      </c>
      <c r="D70" s="87"/>
    </row>
    <row r="71" spans="1:4" x14ac:dyDescent="0.25">
      <c r="A71" s="86">
        <v>64</v>
      </c>
      <c r="B71" s="87">
        <v>17.829999999999998</v>
      </c>
      <c r="C71" s="87">
        <v>4.1500000000000004</v>
      </c>
      <c r="D71" s="87"/>
    </row>
    <row r="72" spans="1:4" x14ac:dyDescent="0.25">
      <c r="A72" s="86">
        <v>65</v>
      </c>
      <c r="B72" s="87">
        <v>17.2</v>
      </c>
      <c r="C72" s="87">
        <v>4.1500000000000004</v>
      </c>
      <c r="D72" s="87"/>
    </row>
    <row r="73" spans="1:4" x14ac:dyDescent="0.25">
      <c r="A73" s="86">
        <v>66</v>
      </c>
      <c r="B73" s="87">
        <v>16.57</v>
      </c>
      <c r="C73" s="87">
        <v>4.1500000000000004</v>
      </c>
      <c r="D73" s="87"/>
    </row>
    <row r="74" spans="1:4" x14ac:dyDescent="0.25">
      <c r="A74" s="86">
        <v>67</v>
      </c>
      <c r="B74" s="87">
        <v>15.94</v>
      </c>
      <c r="C74" s="87">
        <v>4.1500000000000004</v>
      </c>
      <c r="D74" s="87"/>
    </row>
    <row r="75" spans="1:4" x14ac:dyDescent="0.25">
      <c r="A75" s="86">
        <v>68</v>
      </c>
      <c r="B75" s="87">
        <v>15.31</v>
      </c>
      <c r="C75" s="87">
        <v>4.1399999999999997</v>
      </c>
      <c r="D75" s="87"/>
    </row>
    <row r="76" spans="1:4" x14ac:dyDescent="0.25">
      <c r="A76" s="86">
        <v>69</v>
      </c>
      <c r="B76" s="87">
        <v>14.67</v>
      </c>
      <c r="C76" s="87">
        <v>4.07</v>
      </c>
      <c r="D76" s="87">
        <v>3.01</v>
      </c>
    </row>
    <row r="77" spans="1:4" x14ac:dyDescent="0.25">
      <c r="A77" s="86">
        <v>70</v>
      </c>
      <c r="B77" s="87">
        <v>14.04</v>
      </c>
      <c r="C77" s="87">
        <v>4</v>
      </c>
      <c r="D77" s="87">
        <v>2.8</v>
      </c>
    </row>
    <row r="78" spans="1:4" x14ac:dyDescent="0.25">
      <c r="A78" s="86">
        <v>71</v>
      </c>
      <c r="B78" s="87">
        <v>13.42</v>
      </c>
      <c r="C78" s="87">
        <v>3.97</v>
      </c>
      <c r="D78" s="87">
        <v>2.6</v>
      </c>
    </row>
    <row r="79" spans="1:4" x14ac:dyDescent="0.25">
      <c r="A79" s="86">
        <v>72</v>
      </c>
      <c r="B79" s="87">
        <v>12.79</v>
      </c>
      <c r="C79" s="87">
        <v>3.94</v>
      </c>
      <c r="D79" s="87">
        <v>2.41</v>
      </c>
    </row>
    <row r="80" spans="1:4" x14ac:dyDescent="0.25">
      <c r="A80" s="86">
        <v>73</v>
      </c>
      <c r="B80" s="87">
        <v>12.17</v>
      </c>
      <c r="C80" s="87">
        <v>3.9</v>
      </c>
      <c r="D80" s="87">
        <v>2.23</v>
      </c>
    </row>
    <row r="81" spans="1:4" x14ac:dyDescent="0.25">
      <c r="A81" s="86">
        <v>74</v>
      </c>
      <c r="B81" s="87">
        <v>11.56</v>
      </c>
      <c r="C81" s="87">
        <v>3.74</v>
      </c>
      <c r="D81" s="87">
        <v>2.04</v>
      </c>
    </row>
    <row r="82" spans="1:4" x14ac:dyDescent="0.25">
      <c r="A82" s="86">
        <v>75</v>
      </c>
      <c r="B82" s="87">
        <v>10.95</v>
      </c>
      <c r="C82" s="87">
        <v>3.56</v>
      </c>
      <c r="D82" s="87">
        <v>1.86</v>
      </c>
    </row>
    <row r="83" spans="1:4" x14ac:dyDescent="0.25">
      <c r="A83" s="86">
        <v>76</v>
      </c>
      <c r="B83" s="87">
        <v>10.36</v>
      </c>
      <c r="C83" s="87">
        <v>3.51</v>
      </c>
      <c r="D83" s="87">
        <v>1.7</v>
      </c>
    </row>
    <row r="84" spans="1:4" x14ac:dyDescent="0.25">
      <c r="A84" s="86">
        <v>77</v>
      </c>
      <c r="B84" s="87">
        <v>9.77</v>
      </c>
      <c r="C84" s="87">
        <v>3.45</v>
      </c>
      <c r="D84" s="87">
        <v>1.54</v>
      </c>
    </row>
    <row r="85" spans="1:4" x14ac:dyDescent="0.25">
      <c r="A85" s="86">
        <v>78</v>
      </c>
      <c r="B85" s="87">
        <v>9.19</v>
      </c>
      <c r="C85" s="87">
        <v>3.38</v>
      </c>
      <c r="D85" s="87">
        <v>1.4</v>
      </c>
    </row>
    <row r="86" spans="1:4" x14ac:dyDescent="0.25">
      <c r="A86" s="86">
        <v>79</v>
      </c>
      <c r="B86" s="87">
        <v>8.6300000000000008</v>
      </c>
      <c r="C86" s="87">
        <v>3.1</v>
      </c>
      <c r="D86" s="87">
        <v>1.25</v>
      </c>
    </row>
    <row r="87" spans="1:4" x14ac:dyDescent="0.25">
      <c r="A87" s="86">
        <v>80</v>
      </c>
      <c r="B87" s="87">
        <v>8.09</v>
      </c>
      <c r="C87" s="87">
        <v>2.82</v>
      </c>
      <c r="D87" s="87">
        <v>1.1100000000000001</v>
      </c>
    </row>
    <row r="88" spans="1:4" x14ac:dyDescent="0.25">
      <c r="A88" s="86">
        <v>81</v>
      </c>
      <c r="B88" s="87">
        <v>7.56</v>
      </c>
      <c r="C88" s="87">
        <v>2.74</v>
      </c>
      <c r="D88" s="87">
        <v>0.99</v>
      </c>
    </row>
    <row r="89" spans="1:4" x14ac:dyDescent="0.25">
      <c r="A89" s="86">
        <v>82</v>
      </c>
      <c r="B89" s="87">
        <v>7.05</v>
      </c>
      <c r="C89" s="87">
        <v>2.66</v>
      </c>
      <c r="D89" s="87">
        <v>0.88</v>
      </c>
    </row>
    <row r="90" spans="1:4" x14ac:dyDescent="0.25">
      <c r="A90" s="86">
        <v>83</v>
      </c>
      <c r="B90" s="87">
        <v>6.56</v>
      </c>
      <c r="C90" s="87">
        <v>2.56</v>
      </c>
      <c r="D90" s="87">
        <v>0.79</v>
      </c>
    </row>
    <row r="91" spans="1:4" x14ac:dyDescent="0.25">
      <c r="A91" s="86">
        <v>84</v>
      </c>
      <c r="B91" s="87">
        <v>6.1</v>
      </c>
      <c r="C91" s="87">
        <v>2.2400000000000002</v>
      </c>
      <c r="D91" s="87">
        <v>0.68</v>
      </c>
    </row>
    <row r="92" spans="1:4" x14ac:dyDescent="0.25">
      <c r="A92" s="86">
        <v>85</v>
      </c>
      <c r="B92" s="87">
        <v>5.65</v>
      </c>
      <c r="C92" s="87">
        <v>1.92</v>
      </c>
      <c r="D92" s="87">
        <v>0.57999999999999996</v>
      </c>
    </row>
  </sheetData>
  <sheetProtection algorithmName="SHA-512" hashValue="8tKGvT9IqQTk55Yh6HgqacqPnDBNQ8v1KkDza9mDQvvBYnp6RTU1Et15vn61m19iSpVR09gkqAIbHzaVD//UAQ==" saltValue="hd7s+dsSPEKi09UCn9HldQ==" spinCount="100000" sheet="1" objects="1" scenarios="1"/>
  <conditionalFormatting sqref="A6:A21">
    <cfRule type="expression" dxfId="633" priority="1" stopIfTrue="1">
      <formula>MOD(ROW(),2)=0</formula>
    </cfRule>
    <cfRule type="expression" dxfId="632" priority="2" stopIfTrue="1">
      <formula>MOD(ROW(),2)&lt;&gt;0</formula>
    </cfRule>
  </conditionalFormatting>
  <conditionalFormatting sqref="A26:A92">
    <cfRule type="expression" dxfId="631" priority="3" stopIfTrue="1">
      <formula>MOD(ROW(),2)=0</formula>
    </cfRule>
    <cfRule type="expression" dxfId="630" priority="4" stopIfTrue="1">
      <formula>MOD(ROW(),2)&lt;&gt;0</formula>
    </cfRule>
  </conditionalFormatting>
  <conditionalFormatting sqref="B17:B19">
    <cfRule type="expression" dxfId="629" priority="7" stopIfTrue="1">
      <formula>MOD(ROW(),2)=0</formula>
    </cfRule>
    <cfRule type="expression" dxfId="628" priority="8" stopIfTrue="1">
      <formula>MOD(ROW(),2)&lt;&gt;0</formula>
    </cfRule>
  </conditionalFormatting>
  <conditionalFormatting sqref="B6:D6 C7:D7 C17:D19 B20:D21">
    <cfRule type="expression" dxfId="627" priority="27" stopIfTrue="1">
      <formula>MOD(ROW(),2)=0</formula>
    </cfRule>
    <cfRule type="expression" dxfId="626" priority="28" stopIfTrue="1">
      <formula>MOD(ROW(),2)&lt;&gt;0</formula>
    </cfRule>
  </conditionalFormatting>
  <conditionalFormatting sqref="B6:D21">
    <cfRule type="expression" dxfId="625" priority="17" stopIfTrue="1">
      <formula>MOD(ROW(),2)=0</formula>
    </cfRule>
    <cfRule type="expression" dxfId="624" priority="18" stopIfTrue="1">
      <formula>MOD(ROW(),2)&lt;&gt;0</formula>
    </cfRule>
  </conditionalFormatting>
  <conditionalFormatting sqref="B8:D16">
    <cfRule type="expression" dxfId="623" priority="19" stopIfTrue="1">
      <formula>MOD(ROW(),2)=0</formula>
    </cfRule>
    <cfRule type="expression" dxfId="622" priority="20" stopIfTrue="1">
      <formula>MOD(ROW(),2)&lt;&gt;0</formula>
    </cfRule>
  </conditionalFormatting>
  <conditionalFormatting sqref="B26:D92">
    <cfRule type="expression" dxfId="621" priority="5" stopIfTrue="1">
      <formula>MOD(ROW(),2)=0</formula>
    </cfRule>
    <cfRule type="expression" dxfId="620" priority="6" stopIfTrue="1">
      <formula>MOD(ROW(),2)&lt;&gt;0</formula>
    </cfRule>
  </conditionalFormatting>
  <hyperlinks>
    <hyperlink ref="B24" location="Assumptions!A1" display="Assumptions" xr:uid="{6B3A3562-2C37-41B0-B73F-2982CAC3149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1"/>
  <dimension ref="A1:I92"/>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x-308</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2006</v>
      </c>
      <c r="C8" s="102"/>
      <c r="D8" s="102"/>
    </row>
    <row r="9" spans="1:9" x14ac:dyDescent="0.25">
      <c r="A9" s="72" t="s">
        <v>80</v>
      </c>
      <c r="B9" s="102" t="s">
        <v>140</v>
      </c>
      <c r="C9" s="102"/>
      <c r="D9" s="102"/>
    </row>
    <row r="10" spans="1:9" x14ac:dyDescent="0.25">
      <c r="A10" s="72" t="s">
        <v>6</v>
      </c>
      <c r="B10" s="102" t="s">
        <v>146</v>
      </c>
      <c r="C10" s="102"/>
      <c r="D10" s="102"/>
    </row>
    <row r="11" spans="1:9" x14ac:dyDescent="0.25">
      <c r="A11" s="72" t="s">
        <v>81</v>
      </c>
      <c r="B11" s="102" t="s">
        <v>100</v>
      </c>
      <c r="C11" s="102"/>
      <c r="D11" s="102"/>
    </row>
    <row r="12" spans="1:9" x14ac:dyDescent="0.25">
      <c r="A12" s="72" t="s">
        <v>82</v>
      </c>
      <c r="B12" s="102" t="s">
        <v>95</v>
      </c>
      <c r="C12" s="102"/>
      <c r="D12" s="102"/>
    </row>
    <row r="13" spans="1:9" hidden="1" x14ac:dyDescent="0.25">
      <c r="A13" s="72" t="s">
        <v>342</v>
      </c>
      <c r="B13" s="102">
        <v>1</v>
      </c>
      <c r="C13" s="102"/>
      <c r="D13" s="102"/>
    </row>
    <row r="14" spans="1:9" hidden="1" x14ac:dyDescent="0.25">
      <c r="A14" s="72" t="s">
        <v>84</v>
      </c>
      <c r="B14" s="102">
        <v>308</v>
      </c>
      <c r="C14" s="102"/>
      <c r="D14" s="102"/>
    </row>
    <row r="15" spans="1:9" x14ac:dyDescent="0.25">
      <c r="A15" s="72" t="s">
        <v>345</v>
      </c>
      <c r="B15" s="102" t="s">
        <v>154</v>
      </c>
      <c r="C15" s="102"/>
      <c r="D15" s="102"/>
    </row>
    <row r="16" spans="1:9" x14ac:dyDescent="0.25">
      <c r="A16" s="72" t="s">
        <v>86</v>
      </c>
      <c r="B16" s="102" t="s">
        <v>150</v>
      </c>
      <c r="C16" s="102"/>
      <c r="D16" s="102"/>
    </row>
    <row r="17" spans="1:4" ht="75"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9.6" customHeight="1" x14ac:dyDescent="0.25">
      <c r="A26" s="85" t="s">
        <v>415</v>
      </c>
      <c r="B26" s="85" t="s">
        <v>424</v>
      </c>
      <c r="C26" s="85" t="s">
        <v>432</v>
      </c>
      <c r="D26" s="85" t="s">
        <v>427</v>
      </c>
    </row>
    <row r="27" spans="1:4" x14ac:dyDescent="0.25">
      <c r="A27" s="86">
        <v>20</v>
      </c>
      <c r="B27" s="87">
        <v>39.64</v>
      </c>
      <c r="C27" s="87">
        <v>2.59</v>
      </c>
      <c r="D27" s="87"/>
    </row>
    <row r="28" spans="1:4" x14ac:dyDescent="0.25">
      <c r="A28" s="86">
        <v>21</v>
      </c>
      <c r="B28" s="87">
        <v>39.28</v>
      </c>
      <c r="C28" s="87">
        <v>2.64</v>
      </c>
      <c r="D28" s="87"/>
    </row>
    <row r="29" spans="1:4" x14ac:dyDescent="0.25">
      <c r="A29" s="86">
        <v>22</v>
      </c>
      <c r="B29" s="87">
        <v>38.92</v>
      </c>
      <c r="C29" s="87">
        <v>2.68</v>
      </c>
      <c r="D29" s="87"/>
    </row>
    <row r="30" spans="1:4" x14ac:dyDescent="0.25">
      <c r="A30" s="86">
        <v>23</v>
      </c>
      <c r="B30" s="87">
        <v>38.549999999999997</v>
      </c>
      <c r="C30" s="87">
        <v>2.72</v>
      </c>
      <c r="D30" s="87"/>
    </row>
    <row r="31" spans="1:4" x14ac:dyDescent="0.25">
      <c r="A31" s="86">
        <v>24</v>
      </c>
      <c r="B31" s="87">
        <v>38.17</v>
      </c>
      <c r="C31" s="87">
        <v>2.77</v>
      </c>
      <c r="D31" s="87"/>
    </row>
    <row r="32" spans="1:4" x14ac:dyDescent="0.25">
      <c r="A32" s="86">
        <v>25</v>
      </c>
      <c r="B32" s="87">
        <v>37.79</v>
      </c>
      <c r="C32" s="87">
        <v>2.81</v>
      </c>
      <c r="D32" s="87"/>
    </row>
    <row r="33" spans="1:4" x14ac:dyDescent="0.25">
      <c r="A33" s="86">
        <v>26</v>
      </c>
      <c r="B33" s="87">
        <v>37.4</v>
      </c>
      <c r="C33" s="87">
        <v>2.85</v>
      </c>
      <c r="D33" s="87"/>
    </row>
    <row r="34" spans="1:4" x14ac:dyDescent="0.25">
      <c r="A34" s="86">
        <v>27</v>
      </c>
      <c r="B34" s="87">
        <v>37.01</v>
      </c>
      <c r="C34" s="87">
        <v>2.9</v>
      </c>
      <c r="D34" s="87"/>
    </row>
    <row r="35" spans="1:4" x14ac:dyDescent="0.25">
      <c r="A35" s="86">
        <v>28</v>
      </c>
      <c r="B35" s="87">
        <v>36.61</v>
      </c>
      <c r="C35" s="87">
        <v>2.94</v>
      </c>
      <c r="D35" s="87"/>
    </row>
    <row r="36" spans="1:4" x14ac:dyDescent="0.25">
      <c r="A36" s="86">
        <v>29</v>
      </c>
      <c r="B36" s="87">
        <v>36.200000000000003</v>
      </c>
      <c r="C36" s="87">
        <v>2.99</v>
      </c>
      <c r="D36" s="87"/>
    </row>
    <row r="37" spans="1:4" x14ac:dyDescent="0.25">
      <c r="A37" s="86">
        <v>30</v>
      </c>
      <c r="B37" s="87">
        <v>35.79</v>
      </c>
      <c r="C37" s="87">
        <v>3.03</v>
      </c>
      <c r="D37" s="87"/>
    </row>
    <row r="38" spans="1:4" x14ac:dyDescent="0.25">
      <c r="A38" s="86">
        <v>31</v>
      </c>
      <c r="B38" s="87">
        <v>35.369999999999997</v>
      </c>
      <c r="C38" s="87">
        <v>3.07</v>
      </c>
      <c r="D38" s="87"/>
    </row>
    <row r="39" spans="1:4" x14ac:dyDescent="0.25">
      <c r="A39" s="86">
        <v>32</v>
      </c>
      <c r="B39" s="87">
        <v>34.950000000000003</v>
      </c>
      <c r="C39" s="87">
        <v>3.12</v>
      </c>
      <c r="D39" s="87"/>
    </row>
    <row r="40" spans="1:4" x14ac:dyDescent="0.25">
      <c r="A40" s="86">
        <v>33</v>
      </c>
      <c r="B40" s="87">
        <v>34.51</v>
      </c>
      <c r="C40" s="87">
        <v>3.16</v>
      </c>
      <c r="D40" s="87"/>
    </row>
    <row r="41" spans="1:4" x14ac:dyDescent="0.25">
      <c r="A41" s="86">
        <v>34</v>
      </c>
      <c r="B41" s="87">
        <v>34.08</v>
      </c>
      <c r="C41" s="87">
        <v>3.2</v>
      </c>
      <c r="D41" s="87"/>
    </row>
    <row r="42" spans="1:4" x14ac:dyDescent="0.25">
      <c r="A42" s="86">
        <v>35</v>
      </c>
      <c r="B42" s="87">
        <v>33.630000000000003</v>
      </c>
      <c r="C42" s="87">
        <v>3.24</v>
      </c>
      <c r="D42" s="87"/>
    </row>
    <row r="43" spans="1:4" x14ac:dyDescent="0.25">
      <c r="A43" s="86">
        <v>36</v>
      </c>
      <c r="B43" s="87">
        <v>33.18</v>
      </c>
      <c r="C43" s="87">
        <v>3.29</v>
      </c>
      <c r="D43" s="87"/>
    </row>
    <row r="44" spans="1:4" x14ac:dyDescent="0.25">
      <c r="A44" s="86">
        <v>37</v>
      </c>
      <c r="B44" s="87">
        <v>32.72</v>
      </c>
      <c r="C44" s="87">
        <v>3.33</v>
      </c>
      <c r="D44" s="87"/>
    </row>
    <row r="45" spans="1:4" x14ac:dyDescent="0.25">
      <c r="A45" s="86">
        <v>38</v>
      </c>
      <c r="B45" s="87">
        <v>32.26</v>
      </c>
      <c r="C45" s="87">
        <v>3.37</v>
      </c>
      <c r="D45" s="87"/>
    </row>
    <row r="46" spans="1:4" x14ac:dyDescent="0.25">
      <c r="A46" s="86">
        <v>39</v>
      </c>
      <c r="B46" s="87">
        <v>31.79</v>
      </c>
      <c r="C46" s="87">
        <v>3.41</v>
      </c>
      <c r="D46" s="87"/>
    </row>
    <row r="47" spans="1:4" x14ac:dyDescent="0.25">
      <c r="A47" s="86">
        <v>40</v>
      </c>
      <c r="B47" s="87">
        <v>31.31</v>
      </c>
      <c r="C47" s="87">
        <v>3.45</v>
      </c>
      <c r="D47" s="87"/>
    </row>
    <row r="48" spans="1:4" x14ac:dyDescent="0.25">
      <c r="A48" s="86">
        <v>41</v>
      </c>
      <c r="B48" s="87">
        <v>30.82</v>
      </c>
      <c r="C48" s="87">
        <v>3.49</v>
      </c>
      <c r="D48" s="87"/>
    </row>
    <row r="49" spans="1:4" x14ac:dyDescent="0.25">
      <c r="A49" s="86">
        <v>42</v>
      </c>
      <c r="B49" s="87">
        <v>30.33</v>
      </c>
      <c r="C49" s="87">
        <v>3.53</v>
      </c>
      <c r="D49" s="87"/>
    </row>
    <row r="50" spans="1:4" x14ac:dyDescent="0.25">
      <c r="A50" s="86">
        <v>43</v>
      </c>
      <c r="B50" s="87">
        <v>29.83</v>
      </c>
      <c r="C50" s="87">
        <v>3.57</v>
      </c>
      <c r="D50" s="87"/>
    </row>
    <row r="51" spans="1:4" x14ac:dyDescent="0.25">
      <c r="A51" s="86">
        <v>44</v>
      </c>
      <c r="B51" s="87">
        <v>29.33</v>
      </c>
      <c r="C51" s="87">
        <v>3.61</v>
      </c>
      <c r="D51" s="87"/>
    </row>
    <row r="52" spans="1:4" x14ac:dyDescent="0.25">
      <c r="A52" s="86">
        <v>45</v>
      </c>
      <c r="B52" s="87">
        <v>28.82</v>
      </c>
      <c r="C52" s="87">
        <v>3.64</v>
      </c>
      <c r="D52" s="87"/>
    </row>
    <row r="53" spans="1:4" x14ac:dyDescent="0.25">
      <c r="A53" s="86">
        <v>46</v>
      </c>
      <c r="B53" s="87">
        <v>28.3</v>
      </c>
      <c r="C53" s="87">
        <v>3.68</v>
      </c>
      <c r="D53" s="87"/>
    </row>
    <row r="54" spans="1:4" x14ac:dyDescent="0.25">
      <c r="A54" s="86">
        <v>47</v>
      </c>
      <c r="B54" s="87">
        <v>27.78</v>
      </c>
      <c r="C54" s="87">
        <v>3.71</v>
      </c>
      <c r="D54" s="87"/>
    </row>
    <row r="55" spans="1:4" x14ac:dyDescent="0.25">
      <c r="A55" s="86">
        <v>48</v>
      </c>
      <c r="B55" s="87">
        <v>27.25</v>
      </c>
      <c r="C55" s="87">
        <v>3.75</v>
      </c>
      <c r="D55" s="87"/>
    </row>
    <row r="56" spans="1:4" x14ac:dyDescent="0.25">
      <c r="A56" s="86">
        <v>49</v>
      </c>
      <c r="B56" s="87">
        <v>26.71</v>
      </c>
      <c r="C56" s="87">
        <v>3.78</v>
      </c>
      <c r="D56" s="87"/>
    </row>
    <row r="57" spans="1:4" x14ac:dyDescent="0.25">
      <c r="A57" s="86">
        <v>50</v>
      </c>
      <c r="B57" s="87">
        <v>26.16</v>
      </c>
      <c r="C57" s="87">
        <v>3.82</v>
      </c>
      <c r="D57" s="87"/>
    </row>
    <row r="58" spans="1:4" x14ac:dyDescent="0.25">
      <c r="A58" s="86">
        <v>51</v>
      </c>
      <c r="B58" s="87">
        <v>25.61</v>
      </c>
      <c r="C58" s="87">
        <v>3.85</v>
      </c>
      <c r="D58" s="87"/>
    </row>
    <row r="59" spans="1:4" x14ac:dyDescent="0.25">
      <c r="A59" s="86">
        <v>52</v>
      </c>
      <c r="B59" s="87">
        <v>25.05</v>
      </c>
      <c r="C59" s="87">
        <v>3.88</v>
      </c>
      <c r="D59" s="87"/>
    </row>
    <row r="60" spans="1:4" x14ac:dyDescent="0.25">
      <c r="A60" s="86">
        <v>53</v>
      </c>
      <c r="B60" s="87">
        <v>24.48</v>
      </c>
      <c r="C60" s="87">
        <v>3.91</v>
      </c>
      <c r="D60" s="87"/>
    </row>
    <row r="61" spans="1:4" x14ac:dyDescent="0.25">
      <c r="A61" s="86">
        <v>54</v>
      </c>
      <c r="B61" s="87">
        <v>23.91</v>
      </c>
      <c r="C61" s="87">
        <v>3.94</v>
      </c>
      <c r="D61" s="87"/>
    </row>
    <row r="62" spans="1:4" x14ac:dyDescent="0.25">
      <c r="A62" s="86">
        <v>55</v>
      </c>
      <c r="B62" s="87">
        <v>23.33</v>
      </c>
      <c r="C62" s="87">
        <v>3.97</v>
      </c>
      <c r="D62" s="87"/>
    </row>
    <row r="63" spans="1:4" x14ac:dyDescent="0.25">
      <c r="A63" s="86">
        <v>56</v>
      </c>
      <c r="B63" s="87">
        <v>22.74</v>
      </c>
      <c r="C63" s="87">
        <v>4</v>
      </c>
      <c r="D63" s="87"/>
    </row>
    <row r="64" spans="1:4" x14ac:dyDescent="0.25">
      <c r="A64" s="86">
        <v>57</v>
      </c>
      <c r="B64" s="87">
        <v>22.14</v>
      </c>
      <c r="C64" s="87">
        <v>4.0199999999999996</v>
      </c>
      <c r="D64" s="87"/>
    </row>
    <row r="65" spans="1:4" x14ac:dyDescent="0.25">
      <c r="A65" s="86">
        <v>58</v>
      </c>
      <c r="B65" s="87">
        <v>21.54</v>
      </c>
      <c r="C65" s="87">
        <v>4.05</v>
      </c>
      <c r="D65" s="87"/>
    </row>
    <row r="66" spans="1:4" x14ac:dyDescent="0.25">
      <c r="A66" s="86">
        <v>59</v>
      </c>
      <c r="B66" s="87">
        <v>20.93</v>
      </c>
      <c r="C66" s="87">
        <v>4.07</v>
      </c>
      <c r="D66" s="87"/>
    </row>
    <row r="67" spans="1:4" x14ac:dyDescent="0.25">
      <c r="A67" s="86">
        <v>60</v>
      </c>
      <c r="B67" s="87">
        <v>20.32</v>
      </c>
      <c r="C67" s="87">
        <v>4.09</v>
      </c>
      <c r="D67" s="87"/>
    </row>
    <row r="68" spans="1:4" x14ac:dyDescent="0.25">
      <c r="A68" s="86">
        <v>61</v>
      </c>
      <c r="B68" s="87">
        <v>19.7</v>
      </c>
      <c r="C68" s="87">
        <v>4.1100000000000003</v>
      </c>
      <c r="D68" s="87"/>
    </row>
    <row r="69" spans="1:4" x14ac:dyDescent="0.25">
      <c r="A69" s="86">
        <v>62</v>
      </c>
      <c r="B69" s="87">
        <v>19.079999999999998</v>
      </c>
      <c r="C69" s="87">
        <v>4.13</v>
      </c>
      <c r="D69" s="87"/>
    </row>
    <row r="70" spans="1:4" x14ac:dyDescent="0.25">
      <c r="A70" s="86">
        <v>63</v>
      </c>
      <c r="B70" s="87">
        <v>18.46</v>
      </c>
      <c r="C70" s="87">
        <v>4.1399999999999997</v>
      </c>
      <c r="D70" s="87"/>
    </row>
    <row r="71" spans="1:4" x14ac:dyDescent="0.25">
      <c r="A71" s="86">
        <v>64</v>
      </c>
      <c r="B71" s="87">
        <v>17.829999999999998</v>
      </c>
      <c r="C71" s="87">
        <v>4.1500000000000004</v>
      </c>
      <c r="D71" s="87"/>
    </row>
    <row r="72" spans="1:4" x14ac:dyDescent="0.25">
      <c r="A72" s="86">
        <v>65</v>
      </c>
      <c r="B72" s="87">
        <v>17.2</v>
      </c>
      <c r="C72" s="87">
        <v>4.1500000000000004</v>
      </c>
      <c r="D72" s="87"/>
    </row>
    <row r="73" spans="1:4" x14ac:dyDescent="0.25">
      <c r="A73" s="86">
        <v>66</v>
      </c>
      <c r="B73" s="87">
        <v>16.57</v>
      </c>
      <c r="C73" s="87">
        <v>4.1500000000000004</v>
      </c>
      <c r="D73" s="87"/>
    </row>
    <row r="74" spans="1:4" x14ac:dyDescent="0.25">
      <c r="A74" s="86">
        <v>67</v>
      </c>
      <c r="B74" s="87">
        <v>15.94</v>
      </c>
      <c r="C74" s="87">
        <v>4.1500000000000004</v>
      </c>
      <c r="D74" s="87"/>
    </row>
    <row r="75" spans="1:4" x14ac:dyDescent="0.25">
      <c r="A75" s="86">
        <v>68</v>
      </c>
      <c r="B75" s="87">
        <v>15.31</v>
      </c>
      <c r="C75" s="87">
        <v>4.1399999999999997</v>
      </c>
      <c r="D75" s="87"/>
    </row>
    <row r="76" spans="1:4" x14ac:dyDescent="0.25">
      <c r="A76" s="86">
        <v>69</v>
      </c>
      <c r="B76" s="87">
        <v>14.67</v>
      </c>
      <c r="C76" s="87">
        <v>4.07</v>
      </c>
      <c r="D76" s="87">
        <v>2.82</v>
      </c>
    </row>
    <row r="77" spans="1:4" x14ac:dyDescent="0.25">
      <c r="A77" s="86">
        <v>70</v>
      </c>
      <c r="B77" s="87">
        <v>14.04</v>
      </c>
      <c r="C77" s="87">
        <v>4</v>
      </c>
      <c r="D77" s="87">
        <v>2.62</v>
      </c>
    </row>
    <row r="78" spans="1:4" x14ac:dyDescent="0.25">
      <c r="A78" s="86">
        <v>71</v>
      </c>
      <c r="B78" s="87">
        <v>13.42</v>
      </c>
      <c r="C78" s="87">
        <v>3.97</v>
      </c>
      <c r="D78" s="87">
        <v>2.42</v>
      </c>
    </row>
    <row r="79" spans="1:4" x14ac:dyDescent="0.25">
      <c r="A79" s="86">
        <v>72</v>
      </c>
      <c r="B79" s="87">
        <v>12.79</v>
      </c>
      <c r="C79" s="87">
        <v>3.94</v>
      </c>
      <c r="D79" s="87">
        <v>2.23</v>
      </c>
    </row>
    <row r="80" spans="1:4" x14ac:dyDescent="0.25">
      <c r="A80" s="86">
        <v>73</v>
      </c>
      <c r="B80" s="87">
        <v>12.17</v>
      </c>
      <c r="C80" s="87">
        <v>3.9</v>
      </c>
      <c r="D80" s="87">
        <v>2.0499999999999998</v>
      </c>
    </row>
    <row r="81" spans="1:4" x14ac:dyDescent="0.25">
      <c r="A81" s="86">
        <v>74</v>
      </c>
      <c r="B81" s="87">
        <v>11.56</v>
      </c>
      <c r="C81" s="87">
        <v>3.74</v>
      </c>
      <c r="D81" s="87">
        <v>1.88</v>
      </c>
    </row>
    <row r="82" spans="1:4" x14ac:dyDescent="0.25">
      <c r="A82" s="86">
        <v>75</v>
      </c>
      <c r="B82" s="87">
        <v>10.95</v>
      </c>
      <c r="C82" s="87">
        <v>3.56</v>
      </c>
      <c r="D82" s="87">
        <v>1.71</v>
      </c>
    </row>
    <row r="83" spans="1:4" x14ac:dyDescent="0.25">
      <c r="A83" s="86">
        <v>76</v>
      </c>
      <c r="B83" s="87">
        <v>10.36</v>
      </c>
      <c r="C83" s="87">
        <v>3.51</v>
      </c>
      <c r="D83" s="87">
        <v>1.56</v>
      </c>
    </row>
    <row r="84" spans="1:4" x14ac:dyDescent="0.25">
      <c r="A84" s="86">
        <v>77</v>
      </c>
      <c r="B84" s="87">
        <v>9.77</v>
      </c>
      <c r="C84" s="87">
        <v>3.45</v>
      </c>
      <c r="D84" s="87">
        <v>1.41</v>
      </c>
    </row>
    <row r="85" spans="1:4" x14ac:dyDescent="0.25">
      <c r="A85" s="86">
        <v>78</v>
      </c>
      <c r="B85" s="87">
        <v>9.19</v>
      </c>
      <c r="C85" s="87">
        <v>3.38</v>
      </c>
      <c r="D85" s="87">
        <v>1.27</v>
      </c>
    </row>
    <row r="86" spans="1:4" x14ac:dyDescent="0.25">
      <c r="A86" s="86">
        <v>79</v>
      </c>
      <c r="B86" s="87">
        <v>8.6300000000000008</v>
      </c>
      <c r="C86" s="87">
        <v>3.1</v>
      </c>
      <c r="D86" s="87">
        <v>1.1299999999999999</v>
      </c>
    </row>
    <row r="87" spans="1:4" x14ac:dyDescent="0.25">
      <c r="A87" s="86">
        <v>80</v>
      </c>
      <c r="B87" s="87">
        <v>8.09</v>
      </c>
      <c r="C87" s="87">
        <v>2.82</v>
      </c>
      <c r="D87" s="87">
        <v>1.01</v>
      </c>
    </row>
    <row r="88" spans="1:4" x14ac:dyDescent="0.25">
      <c r="A88" s="86">
        <v>81</v>
      </c>
      <c r="B88" s="87">
        <v>7.56</v>
      </c>
      <c r="C88" s="87">
        <v>2.74</v>
      </c>
      <c r="D88" s="87">
        <v>0.9</v>
      </c>
    </row>
    <row r="89" spans="1:4" x14ac:dyDescent="0.25">
      <c r="A89" s="86">
        <v>82</v>
      </c>
      <c r="B89" s="87">
        <v>7.05</v>
      </c>
      <c r="C89" s="87">
        <v>2.66</v>
      </c>
      <c r="D89" s="87">
        <v>0.8</v>
      </c>
    </row>
    <row r="90" spans="1:4" x14ac:dyDescent="0.25">
      <c r="A90" s="86">
        <v>83</v>
      </c>
      <c r="B90" s="87">
        <v>6.56</v>
      </c>
      <c r="C90" s="87">
        <v>2.56</v>
      </c>
      <c r="D90" s="87">
        <v>0.7</v>
      </c>
    </row>
    <row r="91" spans="1:4" x14ac:dyDescent="0.25">
      <c r="A91" s="86">
        <v>84</v>
      </c>
      <c r="B91" s="87">
        <v>6.1</v>
      </c>
      <c r="C91" s="87">
        <v>2.2400000000000002</v>
      </c>
      <c r="D91" s="87">
        <v>0.61</v>
      </c>
    </row>
    <row r="92" spans="1:4" x14ac:dyDescent="0.25">
      <c r="A92" s="86">
        <v>85</v>
      </c>
      <c r="B92" s="87">
        <v>5.65</v>
      </c>
      <c r="C92" s="87">
        <v>1.92</v>
      </c>
      <c r="D92" s="87">
        <v>0.54</v>
      </c>
    </row>
  </sheetData>
  <sheetProtection algorithmName="SHA-512" hashValue="7YLlMwzwISPj6wvG1gmrqJSd/dE9xlNDHAZ1en1TkWUebqw+A6drM+vH8XJbOICJyZLSKQ5/Wd6BaxgFUOCJ1g==" saltValue="Ko6RtNhDonvpP8pOgfUMTQ==" spinCount="100000" sheet="1" objects="1" scenarios="1"/>
  <conditionalFormatting sqref="A6:A21">
    <cfRule type="expression" dxfId="619" priority="1" stopIfTrue="1">
      <formula>MOD(ROW(),2)=0</formula>
    </cfRule>
    <cfRule type="expression" dxfId="618" priority="2" stopIfTrue="1">
      <formula>MOD(ROW(),2)&lt;&gt;0</formula>
    </cfRule>
  </conditionalFormatting>
  <conditionalFormatting sqref="A26:A92">
    <cfRule type="expression" dxfId="617" priority="3" stopIfTrue="1">
      <formula>MOD(ROW(),2)=0</formula>
    </cfRule>
    <cfRule type="expression" dxfId="616" priority="4" stopIfTrue="1">
      <formula>MOD(ROW(),2)&lt;&gt;0</formula>
    </cfRule>
  </conditionalFormatting>
  <conditionalFormatting sqref="B17:B19">
    <cfRule type="expression" dxfId="615" priority="7" stopIfTrue="1">
      <formula>MOD(ROW(),2)=0</formula>
    </cfRule>
    <cfRule type="expression" dxfId="614" priority="8" stopIfTrue="1">
      <formula>MOD(ROW(),2)&lt;&gt;0</formula>
    </cfRule>
  </conditionalFormatting>
  <conditionalFormatting sqref="B6:D6 C7:D7 C17:D19 B20:D21">
    <cfRule type="expression" dxfId="613" priority="27" stopIfTrue="1">
      <formula>MOD(ROW(),2)=0</formula>
    </cfRule>
    <cfRule type="expression" dxfId="612" priority="28" stopIfTrue="1">
      <formula>MOD(ROW(),2)&lt;&gt;0</formula>
    </cfRule>
  </conditionalFormatting>
  <conditionalFormatting sqref="B6:D21">
    <cfRule type="expression" dxfId="611" priority="17" stopIfTrue="1">
      <formula>MOD(ROW(),2)=0</formula>
    </cfRule>
    <cfRule type="expression" dxfId="610" priority="18" stopIfTrue="1">
      <formula>MOD(ROW(),2)&lt;&gt;0</formula>
    </cfRule>
  </conditionalFormatting>
  <conditionalFormatting sqref="B8:D16">
    <cfRule type="expression" dxfId="609" priority="19" stopIfTrue="1">
      <formula>MOD(ROW(),2)=0</formula>
    </cfRule>
    <cfRule type="expression" dxfId="608" priority="20" stopIfTrue="1">
      <formula>MOD(ROW(),2)&lt;&gt;0</formula>
    </cfRule>
  </conditionalFormatting>
  <conditionalFormatting sqref="B26:D92">
    <cfRule type="expression" dxfId="607" priority="5" stopIfTrue="1">
      <formula>MOD(ROW(),2)=0</formula>
    </cfRule>
    <cfRule type="expression" dxfId="606" priority="6" stopIfTrue="1">
      <formula>MOD(ROW(),2)&lt;&gt;0</formula>
    </cfRule>
  </conditionalFormatting>
  <hyperlinks>
    <hyperlink ref="B24" location="Assumptions!A1" display="Assumptions" xr:uid="{814C7283-5A29-4B62-B6B5-CC2B4DF0FEA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2"/>
  <dimension ref="A1:I65"/>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x-309</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2015</v>
      </c>
      <c r="C8" s="102"/>
      <c r="D8" s="102"/>
    </row>
    <row r="9" spans="1:9" x14ac:dyDescent="0.25">
      <c r="A9" s="72" t="s">
        <v>80</v>
      </c>
      <c r="B9" s="102" t="s">
        <v>140</v>
      </c>
      <c r="C9" s="102"/>
      <c r="D9" s="102"/>
    </row>
    <row r="10" spans="1:9" x14ac:dyDescent="0.25">
      <c r="A10" s="72" t="s">
        <v>6</v>
      </c>
      <c r="B10" s="102" t="s">
        <v>141</v>
      </c>
      <c r="C10" s="102"/>
      <c r="D10" s="102"/>
    </row>
    <row r="11" spans="1:9" x14ac:dyDescent="0.25">
      <c r="A11" s="72" t="s">
        <v>81</v>
      </c>
      <c r="B11" s="102" t="s">
        <v>94</v>
      </c>
      <c r="C11" s="102"/>
      <c r="D11" s="102"/>
    </row>
    <row r="12" spans="1:9" x14ac:dyDescent="0.25">
      <c r="A12" s="72" t="s">
        <v>82</v>
      </c>
      <c r="B12" s="102" t="s">
        <v>95</v>
      </c>
      <c r="C12" s="102"/>
      <c r="D12" s="102"/>
    </row>
    <row r="13" spans="1:9" hidden="1" x14ac:dyDescent="0.25">
      <c r="A13" s="72" t="s">
        <v>342</v>
      </c>
      <c r="B13" s="102">
        <v>0</v>
      </c>
      <c r="C13" s="102"/>
      <c r="D13" s="102"/>
    </row>
    <row r="14" spans="1:9" hidden="1" x14ac:dyDescent="0.25">
      <c r="A14" s="72" t="s">
        <v>84</v>
      </c>
      <c r="B14" s="102">
        <v>309</v>
      </c>
      <c r="C14" s="102"/>
      <c r="D14" s="102"/>
    </row>
    <row r="15" spans="1:9" x14ac:dyDescent="0.25">
      <c r="A15" s="72" t="s">
        <v>345</v>
      </c>
      <c r="B15" s="102" t="s">
        <v>155</v>
      </c>
      <c r="C15" s="102"/>
      <c r="D15" s="102"/>
    </row>
    <row r="16" spans="1:9" x14ac:dyDescent="0.25">
      <c r="A16" s="72" t="s">
        <v>86</v>
      </c>
      <c r="B16" s="102" t="s">
        <v>97</v>
      </c>
      <c r="C16" s="102"/>
      <c r="D16" s="102"/>
    </row>
    <row r="17" spans="1:4" x14ac:dyDescent="0.25">
      <c r="A17" s="149"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6" customHeight="1" x14ac:dyDescent="0.25">
      <c r="A26" s="85" t="s">
        <v>415</v>
      </c>
      <c r="B26" s="85" t="s">
        <v>424</v>
      </c>
      <c r="C26" s="85" t="s">
        <v>432</v>
      </c>
      <c r="D26" s="85" t="s">
        <v>427</v>
      </c>
    </row>
    <row r="27" spans="1:4" x14ac:dyDescent="0.25">
      <c r="A27" s="86">
        <v>55</v>
      </c>
      <c r="B27" s="87">
        <v>23.37</v>
      </c>
      <c r="C27" s="87">
        <v>3.97</v>
      </c>
      <c r="D27" s="87"/>
    </row>
    <row r="28" spans="1:4" x14ac:dyDescent="0.25">
      <c r="A28" s="86">
        <v>56</v>
      </c>
      <c r="B28" s="87">
        <v>22.78</v>
      </c>
      <c r="C28" s="87">
        <v>4</v>
      </c>
      <c r="D28" s="87"/>
    </row>
    <row r="29" spans="1:4" x14ac:dyDescent="0.25">
      <c r="A29" s="86">
        <v>57</v>
      </c>
      <c r="B29" s="87">
        <v>22.19</v>
      </c>
      <c r="C29" s="87">
        <v>4.0199999999999996</v>
      </c>
      <c r="D29" s="87"/>
    </row>
    <row r="30" spans="1:4" x14ac:dyDescent="0.25">
      <c r="A30" s="86">
        <v>58</v>
      </c>
      <c r="B30" s="87">
        <v>21.6</v>
      </c>
      <c r="C30" s="87">
        <v>4.05</v>
      </c>
      <c r="D30" s="87"/>
    </row>
    <row r="31" spans="1:4" x14ac:dyDescent="0.25">
      <c r="A31" s="86">
        <v>59</v>
      </c>
      <c r="B31" s="87">
        <v>20.99</v>
      </c>
      <c r="C31" s="87">
        <v>4.07</v>
      </c>
      <c r="D31" s="87"/>
    </row>
    <row r="32" spans="1:4" x14ac:dyDescent="0.25">
      <c r="A32" s="86">
        <v>60</v>
      </c>
      <c r="B32" s="87">
        <v>20.37</v>
      </c>
      <c r="C32" s="87">
        <v>4.09</v>
      </c>
      <c r="D32" s="87"/>
    </row>
    <row r="33" spans="1:4" x14ac:dyDescent="0.25">
      <c r="A33" s="86">
        <v>61</v>
      </c>
      <c r="B33" s="87">
        <v>19.739999999999998</v>
      </c>
      <c r="C33" s="87">
        <v>4.1100000000000003</v>
      </c>
      <c r="D33" s="87"/>
    </row>
    <row r="34" spans="1:4" x14ac:dyDescent="0.25">
      <c r="A34" s="86">
        <v>62</v>
      </c>
      <c r="B34" s="87">
        <v>19.100000000000001</v>
      </c>
      <c r="C34" s="87">
        <v>4.13</v>
      </c>
      <c r="D34" s="87"/>
    </row>
    <row r="35" spans="1:4" x14ac:dyDescent="0.25">
      <c r="A35" s="86">
        <v>63</v>
      </c>
      <c r="B35" s="87">
        <v>18.46</v>
      </c>
      <c r="C35" s="87">
        <v>4.1399999999999997</v>
      </c>
      <c r="D35" s="87"/>
    </row>
    <row r="36" spans="1:4" x14ac:dyDescent="0.25">
      <c r="A36" s="86">
        <v>64</v>
      </c>
      <c r="B36" s="87">
        <v>17.829999999999998</v>
      </c>
      <c r="C36" s="87">
        <v>4.1500000000000004</v>
      </c>
      <c r="D36" s="87"/>
    </row>
    <row r="37" spans="1:4" x14ac:dyDescent="0.25">
      <c r="A37" s="86">
        <v>65</v>
      </c>
      <c r="B37" s="87">
        <v>17.2</v>
      </c>
      <c r="C37" s="87">
        <v>4.1500000000000004</v>
      </c>
      <c r="D37" s="87"/>
    </row>
    <row r="38" spans="1:4" x14ac:dyDescent="0.25">
      <c r="A38" s="86">
        <v>66</v>
      </c>
      <c r="B38" s="87">
        <v>16.57</v>
      </c>
      <c r="C38" s="87">
        <v>4.1500000000000004</v>
      </c>
      <c r="D38" s="87"/>
    </row>
    <row r="39" spans="1:4" x14ac:dyDescent="0.25">
      <c r="A39" s="86">
        <v>67</v>
      </c>
      <c r="B39" s="87">
        <v>15.94</v>
      </c>
      <c r="C39" s="87">
        <v>4.1500000000000004</v>
      </c>
      <c r="D39" s="87"/>
    </row>
    <row r="40" spans="1:4" x14ac:dyDescent="0.25">
      <c r="A40" s="86">
        <v>68</v>
      </c>
      <c r="B40" s="87">
        <v>15.31</v>
      </c>
      <c r="C40" s="87">
        <v>4.1399999999999997</v>
      </c>
      <c r="D40" s="87"/>
    </row>
    <row r="41" spans="1:4" x14ac:dyDescent="0.25">
      <c r="A41" s="86">
        <v>69</v>
      </c>
      <c r="B41" s="87">
        <v>14.67</v>
      </c>
      <c r="C41" s="87">
        <v>4.07</v>
      </c>
      <c r="D41" s="87">
        <v>3.01</v>
      </c>
    </row>
    <row r="42" spans="1:4" x14ac:dyDescent="0.25">
      <c r="A42" s="86">
        <v>70</v>
      </c>
      <c r="B42" s="87">
        <v>14.04</v>
      </c>
      <c r="C42" s="87">
        <v>4</v>
      </c>
      <c r="D42" s="87">
        <v>2.8</v>
      </c>
    </row>
    <row r="43" spans="1:4" x14ac:dyDescent="0.25">
      <c r="A43" s="86">
        <v>71</v>
      </c>
      <c r="B43" s="87">
        <v>13.42</v>
      </c>
      <c r="C43" s="87">
        <v>3.97</v>
      </c>
      <c r="D43" s="87">
        <v>2.6</v>
      </c>
    </row>
    <row r="44" spans="1:4" x14ac:dyDescent="0.25">
      <c r="A44" s="86">
        <v>72</v>
      </c>
      <c r="B44" s="87">
        <v>12.79</v>
      </c>
      <c r="C44" s="87">
        <v>3.94</v>
      </c>
      <c r="D44" s="87">
        <v>2.41</v>
      </c>
    </row>
    <row r="45" spans="1:4" x14ac:dyDescent="0.25">
      <c r="A45" s="86">
        <v>73</v>
      </c>
      <c r="B45" s="87">
        <v>12.17</v>
      </c>
      <c r="C45" s="87">
        <v>3.9</v>
      </c>
      <c r="D45" s="87">
        <v>2.23</v>
      </c>
    </row>
    <row r="46" spans="1:4" x14ac:dyDescent="0.25">
      <c r="A46" s="86">
        <v>74</v>
      </c>
      <c r="B46" s="87">
        <v>11.56</v>
      </c>
      <c r="C46" s="87">
        <v>3.74</v>
      </c>
      <c r="D46" s="87">
        <v>2.04</v>
      </c>
    </row>
    <row r="47" spans="1:4" x14ac:dyDescent="0.25">
      <c r="A47" s="86">
        <v>75</v>
      </c>
      <c r="B47" s="87">
        <v>10.95</v>
      </c>
      <c r="C47" s="87">
        <v>3.56</v>
      </c>
      <c r="D47" s="87">
        <v>1.86</v>
      </c>
    </row>
    <row r="48" spans="1:4" x14ac:dyDescent="0.25">
      <c r="A48" s="86">
        <v>76</v>
      </c>
      <c r="B48" s="87">
        <v>10.36</v>
      </c>
      <c r="C48" s="87">
        <v>3.51</v>
      </c>
      <c r="D48" s="87">
        <v>1.7</v>
      </c>
    </row>
    <row r="49" spans="1:4" x14ac:dyDescent="0.25">
      <c r="A49" s="86">
        <v>77</v>
      </c>
      <c r="B49" s="87">
        <v>9.77</v>
      </c>
      <c r="C49" s="87">
        <v>3.45</v>
      </c>
      <c r="D49" s="87">
        <v>1.54</v>
      </c>
    </row>
    <row r="50" spans="1:4" x14ac:dyDescent="0.25">
      <c r="A50" s="86">
        <v>78</v>
      </c>
      <c r="B50" s="87">
        <v>9.19</v>
      </c>
      <c r="C50" s="87">
        <v>3.38</v>
      </c>
      <c r="D50" s="87">
        <v>1.4</v>
      </c>
    </row>
    <row r="51" spans="1:4" x14ac:dyDescent="0.25">
      <c r="A51" s="86">
        <v>79</v>
      </c>
      <c r="B51" s="87">
        <v>8.6300000000000008</v>
      </c>
      <c r="C51" s="87">
        <v>3.1</v>
      </c>
      <c r="D51" s="87">
        <v>1.25</v>
      </c>
    </row>
    <row r="52" spans="1:4" x14ac:dyDescent="0.25">
      <c r="A52" s="86">
        <v>80</v>
      </c>
      <c r="B52" s="87">
        <v>8.09</v>
      </c>
      <c r="C52" s="87">
        <v>2.82</v>
      </c>
      <c r="D52" s="87">
        <v>1.1100000000000001</v>
      </c>
    </row>
    <row r="53" spans="1:4" x14ac:dyDescent="0.25">
      <c r="A53" s="86">
        <v>81</v>
      </c>
      <c r="B53" s="87">
        <v>7.56</v>
      </c>
      <c r="C53" s="87">
        <v>2.74</v>
      </c>
      <c r="D53" s="87">
        <v>0.99</v>
      </c>
    </row>
    <row r="54" spans="1:4" x14ac:dyDescent="0.25">
      <c r="A54" s="86">
        <v>82</v>
      </c>
      <c r="B54" s="87">
        <v>7.05</v>
      </c>
      <c r="C54" s="87">
        <v>2.66</v>
      </c>
      <c r="D54" s="87">
        <v>0.88</v>
      </c>
    </row>
    <row r="55" spans="1:4" x14ac:dyDescent="0.25">
      <c r="A55" s="86">
        <v>83</v>
      </c>
      <c r="B55" s="87">
        <v>6.56</v>
      </c>
      <c r="C55" s="87">
        <v>2.56</v>
      </c>
      <c r="D55" s="87">
        <v>0.79</v>
      </c>
    </row>
    <row r="56" spans="1:4" x14ac:dyDescent="0.25">
      <c r="A56" s="86">
        <v>84</v>
      </c>
      <c r="B56" s="87">
        <v>6.1</v>
      </c>
      <c r="C56" s="87">
        <v>2.2400000000000002</v>
      </c>
      <c r="D56" s="87">
        <v>0.68</v>
      </c>
    </row>
    <row r="57" spans="1:4" x14ac:dyDescent="0.25">
      <c r="A57" s="86">
        <v>85</v>
      </c>
      <c r="B57" s="87">
        <v>5.65</v>
      </c>
      <c r="C57" s="87">
        <v>1.92</v>
      </c>
      <c r="D57" s="87">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3iva9wtw8lNIMrUJoLjsYLMzUReP7cepXlsaSH4hmM7Tr/RGPtAlnEkgmOJ6aAqiVDe0ixjgzdPakrYk1rw/6Q==" saltValue="jG/OEx8zUa0bX9Y/KhaZhA==" spinCount="100000" sheet="1" objects="1" scenarios="1"/>
  <conditionalFormatting sqref="A6:A21">
    <cfRule type="expression" dxfId="605" priority="1" stopIfTrue="1">
      <formula>MOD(ROW(),2)=0</formula>
    </cfRule>
    <cfRule type="expression" dxfId="604" priority="2" stopIfTrue="1">
      <formula>MOD(ROW(),2)&lt;&gt;0</formula>
    </cfRule>
  </conditionalFormatting>
  <conditionalFormatting sqref="A26:A57">
    <cfRule type="expression" dxfId="603" priority="3" stopIfTrue="1">
      <formula>MOD(ROW(),2)=0</formula>
    </cfRule>
    <cfRule type="expression" dxfId="602" priority="4" stopIfTrue="1">
      <formula>MOD(ROW(),2)&lt;&gt;0</formula>
    </cfRule>
  </conditionalFormatting>
  <conditionalFormatting sqref="B18:B19">
    <cfRule type="expression" dxfId="601" priority="7" stopIfTrue="1">
      <formula>MOD(ROW(),2)=0</formula>
    </cfRule>
    <cfRule type="expression" dxfId="600" priority="8" stopIfTrue="1">
      <formula>MOD(ROW(),2)&lt;&gt;0</formula>
    </cfRule>
  </conditionalFormatting>
  <conditionalFormatting sqref="B6:D6 C7:D7 C18:D19 B20:D21">
    <cfRule type="expression" dxfId="599" priority="25" stopIfTrue="1">
      <formula>MOD(ROW(),2)=0</formula>
    </cfRule>
    <cfRule type="expression" dxfId="598" priority="26" stopIfTrue="1">
      <formula>MOD(ROW(),2)&lt;&gt;0</formula>
    </cfRule>
  </conditionalFormatting>
  <conditionalFormatting sqref="B6:D21">
    <cfRule type="expression" dxfId="597" priority="15" stopIfTrue="1">
      <formula>MOD(ROW(),2)=0</formula>
    </cfRule>
    <cfRule type="expression" dxfId="596" priority="16" stopIfTrue="1">
      <formula>MOD(ROW(),2)&lt;&gt;0</formula>
    </cfRule>
  </conditionalFormatting>
  <conditionalFormatting sqref="B8:D17">
    <cfRule type="expression" dxfId="595" priority="17" stopIfTrue="1">
      <formula>MOD(ROW(),2)=0</formula>
    </cfRule>
    <cfRule type="expression" dxfId="594" priority="18" stopIfTrue="1">
      <formula>MOD(ROW(),2)&lt;&gt;0</formula>
    </cfRule>
  </conditionalFormatting>
  <conditionalFormatting sqref="B26:D57">
    <cfRule type="expression" dxfId="593" priority="5" stopIfTrue="1">
      <formula>MOD(ROW(),2)=0</formula>
    </cfRule>
    <cfRule type="expression" dxfId="592" priority="6" stopIfTrue="1">
      <formula>MOD(ROW(),2)&lt;&gt;0</formula>
    </cfRule>
  </conditionalFormatting>
  <hyperlinks>
    <hyperlink ref="B24" location="Assumptions!A1" display="Assumptions" xr:uid="{0FF2805C-0BA7-498F-8526-C37588E658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3"/>
  <dimension ref="A1:I65"/>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x-310</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2015</v>
      </c>
      <c r="C8" s="102"/>
      <c r="D8" s="102"/>
    </row>
    <row r="9" spans="1:9" x14ac:dyDescent="0.25">
      <c r="A9" s="72" t="s">
        <v>80</v>
      </c>
      <c r="B9" s="102" t="s">
        <v>140</v>
      </c>
      <c r="C9" s="102"/>
      <c r="D9" s="102"/>
    </row>
    <row r="10" spans="1:9" x14ac:dyDescent="0.25">
      <c r="A10" s="72" t="s">
        <v>6</v>
      </c>
      <c r="B10" s="102" t="s">
        <v>141</v>
      </c>
      <c r="C10" s="102"/>
      <c r="D10" s="102"/>
    </row>
    <row r="11" spans="1:9" x14ac:dyDescent="0.25">
      <c r="A11" s="72" t="s">
        <v>81</v>
      </c>
      <c r="B11" s="102" t="s">
        <v>100</v>
      </c>
      <c r="C11" s="102"/>
      <c r="D11" s="102"/>
    </row>
    <row r="12" spans="1:9" x14ac:dyDescent="0.25">
      <c r="A12" s="72" t="s">
        <v>82</v>
      </c>
      <c r="B12" s="102" t="s">
        <v>95</v>
      </c>
      <c r="C12" s="102"/>
      <c r="D12" s="102"/>
    </row>
    <row r="13" spans="1:9" hidden="1" x14ac:dyDescent="0.25">
      <c r="A13" s="72" t="s">
        <v>342</v>
      </c>
      <c r="B13" s="102">
        <v>0</v>
      </c>
      <c r="C13" s="102"/>
      <c r="D13" s="102"/>
    </row>
    <row r="14" spans="1:9" hidden="1" x14ac:dyDescent="0.25">
      <c r="A14" s="72" t="s">
        <v>84</v>
      </c>
      <c r="B14" s="102">
        <v>310</v>
      </c>
      <c r="C14" s="102"/>
      <c r="D14" s="102"/>
    </row>
    <row r="15" spans="1:9" x14ac:dyDescent="0.25">
      <c r="A15" s="72" t="s">
        <v>345</v>
      </c>
      <c r="B15" s="102" t="s">
        <v>156</v>
      </c>
      <c r="C15" s="102"/>
      <c r="D15" s="102"/>
    </row>
    <row r="16" spans="1:9" x14ac:dyDescent="0.25">
      <c r="A16" s="72" t="s">
        <v>86</v>
      </c>
      <c r="B16" s="102" t="s">
        <v>102</v>
      </c>
      <c r="C16" s="102"/>
      <c r="D16" s="102"/>
    </row>
    <row r="17" spans="1:4" x14ac:dyDescent="0.25">
      <c r="A17" s="149"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6.6" customHeight="1" x14ac:dyDescent="0.25">
      <c r="A26" s="85" t="s">
        <v>415</v>
      </c>
      <c r="B26" s="85" t="s">
        <v>424</v>
      </c>
      <c r="C26" s="85" t="s">
        <v>432</v>
      </c>
      <c r="D26" s="85" t="s">
        <v>427</v>
      </c>
    </row>
    <row r="27" spans="1:4" x14ac:dyDescent="0.25">
      <c r="A27" s="86">
        <v>55</v>
      </c>
      <c r="B27" s="87">
        <v>23.37</v>
      </c>
      <c r="C27" s="87">
        <v>3.97</v>
      </c>
      <c r="D27" s="87"/>
    </row>
    <row r="28" spans="1:4" x14ac:dyDescent="0.25">
      <c r="A28" s="86">
        <v>56</v>
      </c>
      <c r="B28" s="87">
        <v>22.78</v>
      </c>
      <c r="C28" s="87">
        <v>4</v>
      </c>
      <c r="D28" s="87"/>
    </row>
    <row r="29" spans="1:4" x14ac:dyDescent="0.25">
      <c r="A29" s="86">
        <v>57</v>
      </c>
      <c r="B29" s="87">
        <v>22.19</v>
      </c>
      <c r="C29" s="87">
        <v>4.0199999999999996</v>
      </c>
      <c r="D29" s="87"/>
    </row>
    <row r="30" spans="1:4" x14ac:dyDescent="0.25">
      <c r="A30" s="86">
        <v>58</v>
      </c>
      <c r="B30" s="87">
        <v>21.6</v>
      </c>
      <c r="C30" s="87">
        <v>4.05</v>
      </c>
      <c r="D30" s="87"/>
    </row>
    <row r="31" spans="1:4" x14ac:dyDescent="0.25">
      <c r="A31" s="86">
        <v>59</v>
      </c>
      <c r="B31" s="87">
        <v>20.99</v>
      </c>
      <c r="C31" s="87">
        <v>4.07</v>
      </c>
      <c r="D31" s="87"/>
    </row>
    <row r="32" spans="1:4" x14ac:dyDescent="0.25">
      <c r="A32" s="86">
        <v>60</v>
      </c>
      <c r="B32" s="87">
        <v>20.37</v>
      </c>
      <c r="C32" s="87">
        <v>4.09</v>
      </c>
      <c r="D32" s="87"/>
    </row>
    <row r="33" spans="1:4" x14ac:dyDescent="0.25">
      <c r="A33" s="86">
        <v>61</v>
      </c>
      <c r="B33" s="87">
        <v>19.739999999999998</v>
      </c>
      <c r="C33" s="87">
        <v>4.1100000000000003</v>
      </c>
      <c r="D33" s="87"/>
    </row>
    <row r="34" spans="1:4" x14ac:dyDescent="0.25">
      <c r="A34" s="86">
        <v>62</v>
      </c>
      <c r="B34" s="87">
        <v>19.100000000000001</v>
      </c>
      <c r="C34" s="87">
        <v>4.13</v>
      </c>
      <c r="D34" s="87"/>
    </row>
    <row r="35" spans="1:4" x14ac:dyDescent="0.25">
      <c r="A35" s="86">
        <v>63</v>
      </c>
      <c r="B35" s="87">
        <v>18.46</v>
      </c>
      <c r="C35" s="87">
        <v>4.1399999999999997</v>
      </c>
      <c r="D35" s="87"/>
    </row>
    <row r="36" spans="1:4" x14ac:dyDescent="0.25">
      <c r="A36" s="86">
        <v>64</v>
      </c>
      <c r="B36" s="87">
        <v>17.829999999999998</v>
      </c>
      <c r="C36" s="87">
        <v>4.1500000000000004</v>
      </c>
      <c r="D36" s="87"/>
    </row>
    <row r="37" spans="1:4" x14ac:dyDescent="0.25">
      <c r="A37" s="86">
        <v>65</v>
      </c>
      <c r="B37" s="87">
        <v>17.2</v>
      </c>
      <c r="C37" s="87">
        <v>4.1500000000000004</v>
      </c>
      <c r="D37" s="87"/>
    </row>
    <row r="38" spans="1:4" x14ac:dyDescent="0.25">
      <c r="A38" s="86">
        <v>66</v>
      </c>
      <c r="B38" s="87">
        <v>16.57</v>
      </c>
      <c r="C38" s="87">
        <v>4.1500000000000004</v>
      </c>
      <c r="D38" s="87"/>
    </row>
    <row r="39" spans="1:4" x14ac:dyDescent="0.25">
      <c r="A39" s="86">
        <v>67</v>
      </c>
      <c r="B39" s="87">
        <v>15.94</v>
      </c>
      <c r="C39" s="87">
        <v>4.1500000000000004</v>
      </c>
      <c r="D39" s="87"/>
    </row>
    <row r="40" spans="1:4" x14ac:dyDescent="0.25">
      <c r="A40" s="86">
        <v>68</v>
      </c>
      <c r="B40" s="87">
        <v>15.31</v>
      </c>
      <c r="C40" s="87">
        <v>4.1399999999999997</v>
      </c>
      <c r="D40" s="87"/>
    </row>
    <row r="41" spans="1:4" x14ac:dyDescent="0.25">
      <c r="A41" s="86">
        <v>69</v>
      </c>
      <c r="B41" s="87">
        <v>14.67</v>
      </c>
      <c r="C41" s="87">
        <v>4.07</v>
      </c>
      <c r="D41" s="87">
        <v>2.82</v>
      </c>
    </row>
    <row r="42" spans="1:4" x14ac:dyDescent="0.25">
      <c r="A42" s="86">
        <v>70</v>
      </c>
      <c r="B42" s="87">
        <v>14.04</v>
      </c>
      <c r="C42" s="87">
        <v>4</v>
      </c>
      <c r="D42" s="87">
        <v>2.62</v>
      </c>
    </row>
    <row r="43" spans="1:4" x14ac:dyDescent="0.25">
      <c r="A43" s="86">
        <v>71</v>
      </c>
      <c r="B43" s="87">
        <v>13.42</v>
      </c>
      <c r="C43" s="87">
        <v>3.97</v>
      </c>
      <c r="D43" s="87">
        <v>2.42</v>
      </c>
    </row>
    <row r="44" spans="1:4" x14ac:dyDescent="0.25">
      <c r="A44" s="86">
        <v>72</v>
      </c>
      <c r="B44" s="87">
        <v>12.79</v>
      </c>
      <c r="C44" s="87">
        <v>3.94</v>
      </c>
      <c r="D44" s="87">
        <v>2.23</v>
      </c>
    </row>
    <row r="45" spans="1:4" x14ac:dyDescent="0.25">
      <c r="A45" s="86">
        <v>73</v>
      </c>
      <c r="B45" s="87">
        <v>12.17</v>
      </c>
      <c r="C45" s="87">
        <v>3.9</v>
      </c>
      <c r="D45" s="87">
        <v>2.0499999999999998</v>
      </c>
    </row>
    <row r="46" spans="1:4" x14ac:dyDescent="0.25">
      <c r="A46" s="86">
        <v>74</v>
      </c>
      <c r="B46" s="87">
        <v>11.56</v>
      </c>
      <c r="C46" s="87">
        <v>3.74</v>
      </c>
      <c r="D46" s="87">
        <v>1.88</v>
      </c>
    </row>
    <row r="47" spans="1:4" x14ac:dyDescent="0.25">
      <c r="A47" s="86">
        <v>75</v>
      </c>
      <c r="B47" s="87">
        <v>10.95</v>
      </c>
      <c r="C47" s="87">
        <v>3.56</v>
      </c>
      <c r="D47" s="87">
        <v>1.71</v>
      </c>
    </row>
    <row r="48" spans="1:4" x14ac:dyDescent="0.25">
      <c r="A48" s="86">
        <v>76</v>
      </c>
      <c r="B48" s="87">
        <v>10.36</v>
      </c>
      <c r="C48" s="87">
        <v>3.51</v>
      </c>
      <c r="D48" s="87">
        <v>1.56</v>
      </c>
    </row>
    <row r="49" spans="1:4" x14ac:dyDescent="0.25">
      <c r="A49" s="86">
        <v>77</v>
      </c>
      <c r="B49" s="87">
        <v>9.77</v>
      </c>
      <c r="C49" s="87">
        <v>3.45</v>
      </c>
      <c r="D49" s="87">
        <v>1.41</v>
      </c>
    </row>
    <row r="50" spans="1:4" x14ac:dyDescent="0.25">
      <c r="A50" s="86">
        <v>78</v>
      </c>
      <c r="B50" s="87">
        <v>9.19</v>
      </c>
      <c r="C50" s="87">
        <v>3.38</v>
      </c>
      <c r="D50" s="87">
        <v>1.27</v>
      </c>
    </row>
    <row r="51" spans="1:4" x14ac:dyDescent="0.25">
      <c r="A51" s="86">
        <v>79</v>
      </c>
      <c r="B51" s="87">
        <v>8.6300000000000008</v>
      </c>
      <c r="C51" s="87">
        <v>3.1</v>
      </c>
      <c r="D51" s="87">
        <v>1.1299999999999999</v>
      </c>
    </row>
    <row r="52" spans="1:4" x14ac:dyDescent="0.25">
      <c r="A52" s="86">
        <v>80</v>
      </c>
      <c r="B52" s="87">
        <v>8.09</v>
      </c>
      <c r="C52" s="87">
        <v>2.82</v>
      </c>
      <c r="D52" s="87">
        <v>1.01</v>
      </c>
    </row>
    <row r="53" spans="1:4" x14ac:dyDescent="0.25">
      <c r="A53" s="86">
        <v>81</v>
      </c>
      <c r="B53" s="87">
        <v>7.56</v>
      </c>
      <c r="C53" s="87">
        <v>2.74</v>
      </c>
      <c r="D53" s="87">
        <v>0.9</v>
      </c>
    </row>
    <row r="54" spans="1:4" x14ac:dyDescent="0.25">
      <c r="A54" s="86">
        <v>82</v>
      </c>
      <c r="B54" s="87">
        <v>7.05</v>
      </c>
      <c r="C54" s="87">
        <v>2.66</v>
      </c>
      <c r="D54" s="87">
        <v>0.8</v>
      </c>
    </row>
    <row r="55" spans="1:4" x14ac:dyDescent="0.25">
      <c r="A55" s="86">
        <v>83</v>
      </c>
      <c r="B55" s="87">
        <v>6.56</v>
      </c>
      <c r="C55" s="87">
        <v>2.56</v>
      </c>
      <c r="D55" s="87">
        <v>0.7</v>
      </c>
    </row>
    <row r="56" spans="1:4" x14ac:dyDescent="0.25">
      <c r="A56" s="86">
        <v>84</v>
      </c>
      <c r="B56" s="87">
        <v>6.1</v>
      </c>
      <c r="C56" s="87">
        <v>2.2400000000000002</v>
      </c>
      <c r="D56" s="87">
        <v>0.61</v>
      </c>
    </row>
    <row r="57" spans="1:4" x14ac:dyDescent="0.25">
      <c r="A57" s="86">
        <v>85</v>
      </c>
      <c r="B57" s="87">
        <v>5.65</v>
      </c>
      <c r="C57" s="87">
        <v>1.92</v>
      </c>
      <c r="D57" s="87">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VU6y7I4An9ck9pGjiNAjM1VpIX4FOQ/eaYvETqGfn9C+SlOeaG+BeK3zDOKw0Sn3njUmV/nRYzHi+UxarpBeWA==" saltValue="RK98D7m0t7Gu6hoo9O6cLg==" spinCount="100000" sheet="1" objects="1" scenarios="1"/>
  <conditionalFormatting sqref="A6:A21">
    <cfRule type="expression" dxfId="591" priority="1" stopIfTrue="1">
      <formula>MOD(ROW(),2)=0</formula>
    </cfRule>
    <cfRule type="expression" dxfId="590" priority="2" stopIfTrue="1">
      <formula>MOD(ROW(),2)&lt;&gt;0</formula>
    </cfRule>
  </conditionalFormatting>
  <conditionalFormatting sqref="A26:A57">
    <cfRule type="expression" dxfId="589" priority="3" stopIfTrue="1">
      <formula>MOD(ROW(),2)=0</formula>
    </cfRule>
    <cfRule type="expression" dxfId="588" priority="4" stopIfTrue="1">
      <formula>MOD(ROW(),2)&lt;&gt;0</formula>
    </cfRule>
  </conditionalFormatting>
  <conditionalFormatting sqref="B17:B19">
    <cfRule type="expression" dxfId="587" priority="7" stopIfTrue="1">
      <formula>MOD(ROW(),2)=0</formula>
    </cfRule>
    <cfRule type="expression" dxfId="586" priority="8" stopIfTrue="1">
      <formula>MOD(ROW(),2)&lt;&gt;0</formula>
    </cfRule>
  </conditionalFormatting>
  <conditionalFormatting sqref="B6:D6 C7:D7 C17:D19 B20:D21">
    <cfRule type="expression" dxfId="585" priority="27" stopIfTrue="1">
      <formula>MOD(ROW(),2)=0</formula>
    </cfRule>
    <cfRule type="expression" dxfId="584" priority="28" stopIfTrue="1">
      <formula>MOD(ROW(),2)&lt;&gt;0</formula>
    </cfRule>
  </conditionalFormatting>
  <conditionalFormatting sqref="B6:D21">
    <cfRule type="expression" dxfId="583" priority="17" stopIfTrue="1">
      <formula>MOD(ROW(),2)=0</formula>
    </cfRule>
    <cfRule type="expression" dxfId="582" priority="18" stopIfTrue="1">
      <formula>MOD(ROW(),2)&lt;&gt;0</formula>
    </cfRule>
  </conditionalFormatting>
  <conditionalFormatting sqref="B8:D16">
    <cfRule type="expression" dxfId="581" priority="19" stopIfTrue="1">
      <formula>MOD(ROW(),2)=0</formula>
    </cfRule>
    <cfRule type="expression" dxfId="580" priority="20" stopIfTrue="1">
      <formula>MOD(ROW(),2)&lt;&gt;0</formula>
    </cfRule>
  </conditionalFormatting>
  <conditionalFormatting sqref="B26:D57">
    <cfRule type="expression" dxfId="579" priority="5" stopIfTrue="1">
      <formula>MOD(ROW(),2)=0</formula>
    </cfRule>
    <cfRule type="expression" dxfId="578" priority="6" stopIfTrue="1">
      <formula>MOD(ROW(),2)&lt;&gt;0</formula>
    </cfRule>
  </conditionalFormatting>
  <hyperlinks>
    <hyperlink ref="B24" location="Assumptions!A1" display="Assumptions" xr:uid="{7CFEFC4B-A959-4D15-BC50-CB2CDC5748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4"/>
  <dimension ref="A1:I92"/>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x-311</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2015</v>
      </c>
      <c r="C8" s="102"/>
      <c r="D8" s="102"/>
    </row>
    <row r="9" spans="1:9" x14ac:dyDescent="0.25">
      <c r="A9" s="72" t="s">
        <v>80</v>
      </c>
      <c r="B9" s="102" t="s">
        <v>140</v>
      </c>
      <c r="C9" s="102"/>
      <c r="D9" s="102"/>
    </row>
    <row r="10" spans="1:9" x14ac:dyDescent="0.25">
      <c r="A10" s="72" t="s">
        <v>6</v>
      </c>
      <c r="B10" s="102" t="s">
        <v>146</v>
      </c>
      <c r="C10" s="102"/>
      <c r="D10" s="102"/>
    </row>
    <row r="11" spans="1:9" x14ac:dyDescent="0.25">
      <c r="A11" s="72" t="s">
        <v>81</v>
      </c>
      <c r="B11" s="102" t="s">
        <v>94</v>
      </c>
      <c r="C11" s="102"/>
      <c r="D11" s="102"/>
    </row>
    <row r="12" spans="1:9" x14ac:dyDescent="0.25">
      <c r="A12" s="72" t="s">
        <v>82</v>
      </c>
      <c r="B12" s="102" t="s">
        <v>95</v>
      </c>
      <c r="C12" s="102"/>
      <c r="D12" s="102"/>
    </row>
    <row r="13" spans="1:9" hidden="1" x14ac:dyDescent="0.25">
      <c r="A13" s="72" t="s">
        <v>342</v>
      </c>
      <c r="B13" s="102">
        <v>0</v>
      </c>
      <c r="C13" s="102"/>
      <c r="D13" s="102"/>
    </row>
    <row r="14" spans="1:9" hidden="1" x14ac:dyDescent="0.25">
      <c r="A14" s="72" t="s">
        <v>84</v>
      </c>
      <c r="B14" s="102">
        <v>311</v>
      </c>
      <c r="C14" s="102"/>
      <c r="D14" s="102"/>
    </row>
    <row r="15" spans="1:9" x14ac:dyDescent="0.25">
      <c r="A15" s="72" t="s">
        <v>345</v>
      </c>
      <c r="B15" s="102" t="s">
        <v>157</v>
      </c>
      <c r="C15" s="102"/>
      <c r="D15" s="102"/>
    </row>
    <row r="16" spans="1:9" x14ac:dyDescent="0.25">
      <c r="A16" s="72" t="s">
        <v>86</v>
      </c>
      <c r="B16" s="102" t="s">
        <v>111</v>
      </c>
      <c r="C16" s="102"/>
      <c r="D16" s="102"/>
    </row>
    <row r="17" spans="1:4" x14ac:dyDescent="0.25">
      <c r="A17" s="149"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6" customHeight="1" x14ac:dyDescent="0.25">
      <c r="A26" s="85" t="s">
        <v>415</v>
      </c>
      <c r="B26" s="85" t="s">
        <v>424</v>
      </c>
      <c r="C26" s="85" t="s">
        <v>432</v>
      </c>
      <c r="D26" s="85" t="s">
        <v>427</v>
      </c>
    </row>
    <row r="27" spans="1:4" x14ac:dyDescent="0.25">
      <c r="A27" s="86">
        <v>20</v>
      </c>
      <c r="B27" s="87">
        <v>39.64</v>
      </c>
      <c r="C27" s="87">
        <v>2.59</v>
      </c>
      <c r="D27" s="87"/>
    </row>
    <row r="28" spans="1:4" x14ac:dyDescent="0.25">
      <c r="A28" s="86">
        <v>21</v>
      </c>
      <c r="B28" s="87">
        <v>39.28</v>
      </c>
      <c r="C28" s="87">
        <v>2.64</v>
      </c>
      <c r="D28" s="87"/>
    </row>
    <row r="29" spans="1:4" x14ac:dyDescent="0.25">
      <c r="A29" s="86">
        <v>22</v>
      </c>
      <c r="B29" s="87">
        <v>38.92</v>
      </c>
      <c r="C29" s="87">
        <v>2.68</v>
      </c>
      <c r="D29" s="87"/>
    </row>
    <row r="30" spans="1:4" x14ac:dyDescent="0.25">
      <c r="A30" s="86">
        <v>23</v>
      </c>
      <c r="B30" s="87">
        <v>38.549999999999997</v>
      </c>
      <c r="C30" s="87">
        <v>2.72</v>
      </c>
      <c r="D30" s="87"/>
    </row>
    <row r="31" spans="1:4" x14ac:dyDescent="0.25">
      <c r="A31" s="86">
        <v>24</v>
      </c>
      <c r="B31" s="87">
        <v>38.17</v>
      </c>
      <c r="C31" s="87">
        <v>2.77</v>
      </c>
      <c r="D31" s="87"/>
    </row>
    <row r="32" spans="1:4" x14ac:dyDescent="0.25">
      <c r="A32" s="86">
        <v>25</v>
      </c>
      <c r="B32" s="87">
        <v>37.79</v>
      </c>
      <c r="C32" s="87">
        <v>2.81</v>
      </c>
      <c r="D32" s="87"/>
    </row>
    <row r="33" spans="1:4" x14ac:dyDescent="0.25">
      <c r="A33" s="86">
        <v>26</v>
      </c>
      <c r="B33" s="87">
        <v>37.4</v>
      </c>
      <c r="C33" s="87">
        <v>2.85</v>
      </c>
      <c r="D33" s="87"/>
    </row>
    <row r="34" spans="1:4" x14ac:dyDescent="0.25">
      <c r="A34" s="86">
        <v>27</v>
      </c>
      <c r="B34" s="87">
        <v>37.01</v>
      </c>
      <c r="C34" s="87">
        <v>2.9</v>
      </c>
      <c r="D34" s="87"/>
    </row>
    <row r="35" spans="1:4" x14ac:dyDescent="0.25">
      <c r="A35" s="86">
        <v>28</v>
      </c>
      <c r="B35" s="87">
        <v>36.61</v>
      </c>
      <c r="C35" s="87">
        <v>2.94</v>
      </c>
      <c r="D35" s="87"/>
    </row>
    <row r="36" spans="1:4" x14ac:dyDescent="0.25">
      <c r="A36" s="86">
        <v>29</v>
      </c>
      <c r="B36" s="87">
        <v>36.200000000000003</v>
      </c>
      <c r="C36" s="87">
        <v>2.99</v>
      </c>
      <c r="D36" s="87"/>
    </row>
    <row r="37" spans="1:4" x14ac:dyDescent="0.25">
      <c r="A37" s="86">
        <v>30</v>
      </c>
      <c r="B37" s="87">
        <v>35.79</v>
      </c>
      <c r="C37" s="87">
        <v>3.03</v>
      </c>
      <c r="D37" s="87"/>
    </row>
    <row r="38" spans="1:4" x14ac:dyDescent="0.25">
      <c r="A38" s="86">
        <v>31</v>
      </c>
      <c r="B38" s="87">
        <v>35.369999999999997</v>
      </c>
      <c r="C38" s="87">
        <v>3.07</v>
      </c>
      <c r="D38" s="87"/>
    </row>
    <row r="39" spans="1:4" x14ac:dyDescent="0.25">
      <c r="A39" s="86">
        <v>32</v>
      </c>
      <c r="B39" s="87">
        <v>34.950000000000003</v>
      </c>
      <c r="C39" s="87">
        <v>3.12</v>
      </c>
      <c r="D39" s="87"/>
    </row>
    <row r="40" spans="1:4" x14ac:dyDescent="0.25">
      <c r="A40" s="86">
        <v>33</v>
      </c>
      <c r="B40" s="87">
        <v>34.51</v>
      </c>
      <c r="C40" s="87">
        <v>3.16</v>
      </c>
      <c r="D40" s="87"/>
    </row>
    <row r="41" spans="1:4" x14ac:dyDescent="0.25">
      <c r="A41" s="86">
        <v>34</v>
      </c>
      <c r="B41" s="87">
        <v>34.08</v>
      </c>
      <c r="C41" s="87">
        <v>3.2</v>
      </c>
      <c r="D41" s="87"/>
    </row>
    <row r="42" spans="1:4" x14ac:dyDescent="0.25">
      <c r="A42" s="86">
        <v>35</v>
      </c>
      <c r="B42" s="87">
        <v>33.630000000000003</v>
      </c>
      <c r="C42" s="87">
        <v>3.24</v>
      </c>
      <c r="D42" s="87"/>
    </row>
    <row r="43" spans="1:4" x14ac:dyDescent="0.25">
      <c r="A43" s="86">
        <v>36</v>
      </c>
      <c r="B43" s="87">
        <v>33.18</v>
      </c>
      <c r="C43" s="87">
        <v>3.29</v>
      </c>
      <c r="D43" s="87"/>
    </row>
    <row r="44" spans="1:4" x14ac:dyDescent="0.25">
      <c r="A44" s="86">
        <v>37</v>
      </c>
      <c r="B44" s="87">
        <v>32.72</v>
      </c>
      <c r="C44" s="87">
        <v>3.33</v>
      </c>
      <c r="D44" s="87"/>
    </row>
    <row r="45" spans="1:4" x14ac:dyDescent="0.25">
      <c r="A45" s="86">
        <v>38</v>
      </c>
      <c r="B45" s="87">
        <v>32.26</v>
      </c>
      <c r="C45" s="87">
        <v>3.37</v>
      </c>
      <c r="D45" s="87"/>
    </row>
    <row r="46" spans="1:4" x14ac:dyDescent="0.25">
      <c r="A46" s="86">
        <v>39</v>
      </c>
      <c r="B46" s="87">
        <v>31.79</v>
      </c>
      <c r="C46" s="87">
        <v>3.41</v>
      </c>
      <c r="D46" s="87"/>
    </row>
    <row r="47" spans="1:4" x14ac:dyDescent="0.25">
      <c r="A47" s="86">
        <v>40</v>
      </c>
      <c r="B47" s="87">
        <v>31.31</v>
      </c>
      <c r="C47" s="87">
        <v>3.45</v>
      </c>
      <c r="D47" s="87"/>
    </row>
    <row r="48" spans="1:4" x14ac:dyDescent="0.25">
      <c r="A48" s="86">
        <v>41</v>
      </c>
      <c r="B48" s="87">
        <v>30.82</v>
      </c>
      <c r="C48" s="87">
        <v>3.49</v>
      </c>
      <c r="D48" s="87"/>
    </row>
    <row r="49" spans="1:4" x14ac:dyDescent="0.25">
      <c r="A49" s="86">
        <v>42</v>
      </c>
      <c r="B49" s="87">
        <v>30.33</v>
      </c>
      <c r="C49" s="87">
        <v>3.53</v>
      </c>
      <c r="D49" s="87"/>
    </row>
    <row r="50" spans="1:4" x14ac:dyDescent="0.25">
      <c r="A50" s="86">
        <v>43</v>
      </c>
      <c r="B50" s="87">
        <v>29.83</v>
      </c>
      <c r="C50" s="87">
        <v>3.57</v>
      </c>
      <c r="D50" s="87"/>
    </row>
    <row r="51" spans="1:4" x14ac:dyDescent="0.25">
      <c r="A51" s="86">
        <v>44</v>
      </c>
      <c r="B51" s="87">
        <v>29.33</v>
      </c>
      <c r="C51" s="87">
        <v>3.61</v>
      </c>
      <c r="D51" s="87"/>
    </row>
    <row r="52" spans="1:4" x14ac:dyDescent="0.25">
      <c r="A52" s="86">
        <v>45</v>
      </c>
      <c r="B52" s="87">
        <v>28.82</v>
      </c>
      <c r="C52" s="87">
        <v>3.64</v>
      </c>
      <c r="D52" s="87"/>
    </row>
    <row r="53" spans="1:4" x14ac:dyDescent="0.25">
      <c r="A53" s="86">
        <v>46</v>
      </c>
      <c r="B53" s="87">
        <v>28.3</v>
      </c>
      <c r="C53" s="87">
        <v>3.68</v>
      </c>
      <c r="D53" s="87"/>
    </row>
    <row r="54" spans="1:4" x14ac:dyDescent="0.25">
      <c r="A54" s="86">
        <v>47</v>
      </c>
      <c r="B54" s="87">
        <v>27.78</v>
      </c>
      <c r="C54" s="87">
        <v>3.71</v>
      </c>
      <c r="D54" s="87"/>
    </row>
    <row r="55" spans="1:4" x14ac:dyDescent="0.25">
      <c r="A55" s="86">
        <v>48</v>
      </c>
      <c r="B55" s="87">
        <v>27.25</v>
      </c>
      <c r="C55" s="87">
        <v>3.75</v>
      </c>
      <c r="D55" s="87"/>
    </row>
    <row r="56" spans="1:4" x14ac:dyDescent="0.25">
      <c r="A56" s="86">
        <v>49</v>
      </c>
      <c r="B56" s="87">
        <v>26.71</v>
      </c>
      <c r="C56" s="87">
        <v>3.78</v>
      </c>
      <c r="D56" s="87"/>
    </row>
    <row r="57" spans="1:4" x14ac:dyDescent="0.25">
      <c r="A57" s="86">
        <v>50</v>
      </c>
      <c r="B57" s="87">
        <v>26.16</v>
      </c>
      <c r="C57" s="87">
        <v>3.82</v>
      </c>
      <c r="D57" s="87"/>
    </row>
    <row r="58" spans="1:4" x14ac:dyDescent="0.25">
      <c r="A58" s="86">
        <v>51</v>
      </c>
      <c r="B58" s="87">
        <v>25.61</v>
      </c>
      <c r="C58" s="87">
        <v>3.85</v>
      </c>
      <c r="D58" s="87"/>
    </row>
    <row r="59" spans="1:4" x14ac:dyDescent="0.25">
      <c r="A59" s="86">
        <v>52</v>
      </c>
      <c r="B59" s="87">
        <v>25.05</v>
      </c>
      <c r="C59" s="87">
        <v>3.88</v>
      </c>
      <c r="D59" s="87"/>
    </row>
    <row r="60" spans="1:4" x14ac:dyDescent="0.25">
      <c r="A60" s="86">
        <v>53</v>
      </c>
      <c r="B60" s="87">
        <v>24.48</v>
      </c>
      <c r="C60" s="87">
        <v>3.91</v>
      </c>
      <c r="D60" s="87"/>
    </row>
    <row r="61" spans="1:4" x14ac:dyDescent="0.25">
      <c r="A61" s="86">
        <v>54</v>
      </c>
      <c r="B61" s="87">
        <v>23.91</v>
      </c>
      <c r="C61" s="87">
        <v>3.94</v>
      </c>
      <c r="D61" s="87"/>
    </row>
    <row r="62" spans="1:4" x14ac:dyDescent="0.25">
      <c r="A62" s="86">
        <v>55</v>
      </c>
      <c r="B62" s="87">
        <v>23.33</v>
      </c>
      <c r="C62" s="87">
        <v>3.97</v>
      </c>
      <c r="D62" s="87"/>
    </row>
    <row r="63" spans="1:4" x14ac:dyDescent="0.25">
      <c r="A63" s="86">
        <v>56</v>
      </c>
      <c r="B63" s="87">
        <v>22.74</v>
      </c>
      <c r="C63" s="87">
        <v>4</v>
      </c>
      <c r="D63" s="87"/>
    </row>
    <row r="64" spans="1:4" x14ac:dyDescent="0.25">
      <c r="A64" s="86">
        <v>57</v>
      </c>
      <c r="B64" s="87">
        <v>22.14</v>
      </c>
      <c r="C64" s="87">
        <v>4.0199999999999996</v>
      </c>
      <c r="D64" s="87"/>
    </row>
    <row r="65" spans="1:4" x14ac:dyDescent="0.25">
      <c r="A65" s="86">
        <v>58</v>
      </c>
      <c r="B65" s="87">
        <v>21.54</v>
      </c>
      <c r="C65" s="87">
        <v>4.05</v>
      </c>
      <c r="D65" s="87"/>
    </row>
    <row r="66" spans="1:4" x14ac:dyDescent="0.25">
      <c r="A66" s="86">
        <v>59</v>
      </c>
      <c r="B66" s="87">
        <v>20.93</v>
      </c>
      <c r="C66" s="87">
        <v>4.07</v>
      </c>
      <c r="D66" s="87"/>
    </row>
    <row r="67" spans="1:4" x14ac:dyDescent="0.25">
      <c r="A67" s="86">
        <v>60</v>
      </c>
      <c r="B67" s="87">
        <v>20.32</v>
      </c>
      <c r="C67" s="87">
        <v>4.09</v>
      </c>
      <c r="D67" s="87"/>
    </row>
    <row r="68" spans="1:4" x14ac:dyDescent="0.25">
      <c r="A68" s="86">
        <v>61</v>
      </c>
      <c r="B68" s="87">
        <v>19.7</v>
      </c>
      <c r="C68" s="87">
        <v>4.1100000000000003</v>
      </c>
      <c r="D68" s="87"/>
    </row>
    <row r="69" spans="1:4" x14ac:dyDescent="0.25">
      <c r="A69" s="86">
        <v>62</v>
      </c>
      <c r="B69" s="87">
        <v>19.079999999999998</v>
      </c>
      <c r="C69" s="87">
        <v>4.13</v>
      </c>
      <c r="D69" s="87"/>
    </row>
    <row r="70" spans="1:4" x14ac:dyDescent="0.25">
      <c r="A70" s="86">
        <v>63</v>
      </c>
      <c r="B70" s="87">
        <v>18.46</v>
      </c>
      <c r="C70" s="87">
        <v>4.1399999999999997</v>
      </c>
      <c r="D70" s="87"/>
    </row>
    <row r="71" spans="1:4" x14ac:dyDescent="0.25">
      <c r="A71" s="86">
        <v>64</v>
      </c>
      <c r="B71" s="87">
        <v>17.829999999999998</v>
      </c>
      <c r="C71" s="87">
        <v>4.1500000000000004</v>
      </c>
      <c r="D71" s="87"/>
    </row>
    <row r="72" spans="1:4" x14ac:dyDescent="0.25">
      <c r="A72" s="86">
        <v>65</v>
      </c>
      <c r="B72" s="87">
        <v>17.2</v>
      </c>
      <c r="C72" s="87">
        <v>4.1500000000000004</v>
      </c>
      <c r="D72" s="87"/>
    </row>
    <row r="73" spans="1:4" x14ac:dyDescent="0.25">
      <c r="A73" s="86">
        <v>66</v>
      </c>
      <c r="B73" s="87">
        <v>16.57</v>
      </c>
      <c r="C73" s="87">
        <v>4.1500000000000004</v>
      </c>
      <c r="D73" s="87"/>
    </row>
    <row r="74" spans="1:4" x14ac:dyDescent="0.25">
      <c r="A74" s="86">
        <v>67</v>
      </c>
      <c r="B74" s="87">
        <v>15.94</v>
      </c>
      <c r="C74" s="87">
        <v>4.1500000000000004</v>
      </c>
      <c r="D74" s="87"/>
    </row>
    <row r="75" spans="1:4" x14ac:dyDescent="0.25">
      <c r="A75" s="86">
        <v>68</v>
      </c>
      <c r="B75" s="87">
        <v>15.31</v>
      </c>
      <c r="C75" s="87">
        <v>4.1399999999999997</v>
      </c>
      <c r="D75" s="87"/>
    </row>
    <row r="76" spans="1:4" x14ac:dyDescent="0.25">
      <c r="A76" s="86">
        <v>69</v>
      </c>
      <c r="B76" s="87">
        <v>14.67</v>
      </c>
      <c r="C76" s="87">
        <v>4.07</v>
      </c>
      <c r="D76" s="87">
        <v>3.01</v>
      </c>
    </row>
    <row r="77" spans="1:4" x14ac:dyDescent="0.25">
      <c r="A77" s="86">
        <v>70</v>
      </c>
      <c r="B77" s="87">
        <v>14.04</v>
      </c>
      <c r="C77" s="87">
        <v>4</v>
      </c>
      <c r="D77" s="87">
        <v>2.8</v>
      </c>
    </row>
    <row r="78" spans="1:4" x14ac:dyDescent="0.25">
      <c r="A78" s="86">
        <v>71</v>
      </c>
      <c r="B78" s="87">
        <v>13.42</v>
      </c>
      <c r="C78" s="87">
        <v>3.97</v>
      </c>
      <c r="D78" s="87">
        <v>2.6</v>
      </c>
    </row>
    <row r="79" spans="1:4" x14ac:dyDescent="0.25">
      <c r="A79" s="86">
        <v>72</v>
      </c>
      <c r="B79" s="87">
        <v>12.79</v>
      </c>
      <c r="C79" s="87">
        <v>3.94</v>
      </c>
      <c r="D79" s="87">
        <v>2.41</v>
      </c>
    </row>
    <row r="80" spans="1:4" x14ac:dyDescent="0.25">
      <c r="A80" s="86">
        <v>73</v>
      </c>
      <c r="B80" s="87">
        <v>12.17</v>
      </c>
      <c r="C80" s="87">
        <v>3.9</v>
      </c>
      <c r="D80" s="87">
        <v>2.23</v>
      </c>
    </row>
    <row r="81" spans="1:4" x14ac:dyDescent="0.25">
      <c r="A81" s="86">
        <v>74</v>
      </c>
      <c r="B81" s="87">
        <v>11.56</v>
      </c>
      <c r="C81" s="87">
        <v>3.74</v>
      </c>
      <c r="D81" s="87">
        <v>2.04</v>
      </c>
    </row>
    <row r="82" spans="1:4" x14ac:dyDescent="0.25">
      <c r="A82" s="86">
        <v>75</v>
      </c>
      <c r="B82" s="87">
        <v>10.95</v>
      </c>
      <c r="C82" s="87">
        <v>3.56</v>
      </c>
      <c r="D82" s="87">
        <v>1.86</v>
      </c>
    </row>
    <row r="83" spans="1:4" x14ac:dyDescent="0.25">
      <c r="A83" s="86">
        <v>76</v>
      </c>
      <c r="B83" s="87">
        <v>10.36</v>
      </c>
      <c r="C83" s="87">
        <v>3.51</v>
      </c>
      <c r="D83" s="87">
        <v>1.7</v>
      </c>
    </row>
    <row r="84" spans="1:4" x14ac:dyDescent="0.25">
      <c r="A84" s="86">
        <v>77</v>
      </c>
      <c r="B84" s="87">
        <v>9.77</v>
      </c>
      <c r="C84" s="87">
        <v>3.45</v>
      </c>
      <c r="D84" s="87">
        <v>1.54</v>
      </c>
    </row>
    <row r="85" spans="1:4" x14ac:dyDescent="0.25">
      <c r="A85" s="86">
        <v>78</v>
      </c>
      <c r="B85" s="87">
        <v>9.19</v>
      </c>
      <c r="C85" s="87">
        <v>3.38</v>
      </c>
      <c r="D85" s="87">
        <v>1.4</v>
      </c>
    </row>
    <row r="86" spans="1:4" x14ac:dyDescent="0.25">
      <c r="A86" s="86">
        <v>79</v>
      </c>
      <c r="B86" s="87">
        <v>8.6300000000000008</v>
      </c>
      <c r="C86" s="87">
        <v>3.1</v>
      </c>
      <c r="D86" s="87">
        <v>1.25</v>
      </c>
    </row>
    <row r="87" spans="1:4" x14ac:dyDescent="0.25">
      <c r="A87" s="86">
        <v>80</v>
      </c>
      <c r="B87" s="87">
        <v>8.09</v>
      </c>
      <c r="C87" s="87">
        <v>2.82</v>
      </c>
      <c r="D87" s="87">
        <v>1.1100000000000001</v>
      </c>
    </row>
    <row r="88" spans="1:4" x14ac:dyDescent="0.25">
      <c r="A88" s="86">
        <v>81</v>
      </c>
      <c r="B88" s="87">
        <v>7.56</v>
      </c>
      <c r="C88" s="87">
        <v>2.74</v>
      </c>
      <c r="D88" s="87">
        <v>0.99</v>
      </c>
    </row>
    <row r="89" spans="1:4" x14ac:dyDescent="0.25">
      <c r="A89" s="86">
        <v>82</v>
      </c>
      <c r="B89" s="87">
        <v>7.05</v>
      </c>
      <c r="C89" s="87">
        <v>2.66</v>
      </c>
      <c r="D89" s="87">
        <v>0.88</v>
      </c>
    </row>
    <row r="90" spans="1:4" x14ac:dyDescent="0.25">
      <c r="A90" s="86">
        <v>83</v>
      </c>
      <c r="B90" s="87">
        <v>6.56</v>
      </c>
      <c r="C90" s="87">
        <v>2.56</v>
      </c>
      <c r="D90" s="87">
        <v>0.79</v>
      </c>
    </row>
    <row r="91" spans="1:4" x14ac:dyDescent="0.25">
      <c r="A91" s="86">
        <v>84</v>
      </c>
      <c r="B91" s="87">
        <v>6.1</v>
      </c>
      <c r="C91" s="87">
        <v>2.2400000000000002</v>
      </c>
      <c r="D91" s="87">
        <v>0.68</v>
      </c>
    </row>
    <row r="92" spans="1:4" x14ac:dyDescent="0.25">
      <c r="A92" s="86">
        <v>85</v>
      </c>
      <c r="B92" s="87">
        <v>5.65</v>
      </c>
      <c r="C92" s="87">
        <v>1.92</v>
      </c>
      <c r="D92" s="87">
        <v>0.57999999999999996</v>
      </c>
    </row>
  </sheetData>
  <sheetProtection algorithmName="SHA-512" hashValue="boChWcv4TB7O6mBSRwWWpXnKbZqJw0XQNfDc2aIWzWI7o7oYwtgD+WZZt6Pr4V0lSfL1ZlVpqLuLOWK24cO2Ww==" saltValue="F4zh+kl6B+9De5joD41N4w==" spinCount="100000" sheet="1" objects="1" scenarios="1"/>
  <conditionalFormatting sqref="A6:A21">
    <cfRule type="expression" dxfId="577" priority="1" stopIfTrue="1">
      <formula>MOD(ROW(),2)=0</formula>
    </cfRule>
    <cfRule type="expression" dxfId="576" priority="2" stopIfTrue="1">
      <formula>MOD(ROW(),2)&lt;&gt;0</formula>
    </cfRule>
  </conditionalFormatting>
  <conditionalFormatting sqref="A26:A92">
    <cfRule type="expression" dxfId="575" priority="3" stopIfTrue="1">
      <formula>MOD(ROW(),2)=0</formula>
    </cfRule>
    <cfRule type="expression" dxfId="574" priority="4" stopIfTrue="1">
      <formula>MOD(ROW(),2)&lt;&gt;0</formula>
    </cfRule>
  </conditionalFormatting>
  <conditionalFormatting sqref="B17:B19">
    <cfRule type="expression" dxfId="573" priority="7" stopIfTrue="1">
      <formula>MOD(ROW(),2)=0</formula>
    </cfRule>
    <cfRule type="expression" dxfId="572" priority="8" stopIfTrue="1">
      <formula>MOD(ROW(),2)&lt;&gt;0</formula>
    </cfRule>
  </conditionalFormatting>
  <conditionalFormatting sqref="B6:D6 C7:D7 C17:D19 B20:D21">
    <cfRule type="expression" dxfId="571" priority="27" stopIfTrue="1">
      <formula>MOD(ROW(),2)=0</formula>
    </cfRule>
    <cfRule type="expression" dxfId="570" priority="28" stopIfTrue="1">
      <formula>MOD(ROW(),2)&lt;&gt;0</formula>
    </cfRule>
  </conditionalFormatting>
  <conditionalFormatting sqref="B6:D21">
    <cfRule type="expression" dxfId="569" priority="17" stopIfTrue="1">
      <formula>MOD(ROW(),2)=0</formula>
    </cfRule>
    <cfRule type="expression" dxfId="568" priority="18" stopIfTrue="1">
      <formula>MOD(ROW(),2)&lt;&gt;0</formula>
    </cfRule>
  </conditionalFormatting>
  <conditionalFormatting sqref="B8:D16">
    <cfRule type="expression" dxfId="567" priority="19" stopIfTrue="1">
      <formula>MOD(ROW(),2)=0</formula>
    </cfRule>
    <cfRule type="expression" dxfId="566" priority="20" stopIfTrue="1">
      <formula>MOD(ROW(),2)&lt;&gt;0</formula>
    </cfRule>
  </conditionalFormatting>
  <conditionalFormatting sqref="B26:D92">
    <cfRule type="expression" dxfId="565" priority="5" stopIfTrue="1">
      <formula>MOD(ROW(),2)=0</formula>
    </cfRule>
    <cfRule type="expression" dxfId="564" priority="6" stopIfTrue="1">
      <formula>MOD(ROW(),2)&lt;&gt;0</formula>
    </cfRule>
  </conditionalFormatting>
  <hyperlinks>
    <hyperlink ref="B24" location="Assumptions!A1" display="Assumptions" xr:uid="{2620319B-4CAE-45CD-A98C-8E73E3EC975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5"/>
  <dimension ref="A1:I92"/>
  <sheetViews>
    <sheetView showGridLines="0" topLeftCell="A3" zoomScale="84" zoomScaleNormal="84"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Pensioner Cash Equivalent - x-312</v>
      </c>
      <c r="B3" s="42"/>
      <c r="C3" s="42"/>
      <c r="D3" s="42"/>
      <c r="E3" s="42"/>
      <c r="F3" s="42"/>
      <c r="G3" s="42"/>
      <c r="H3" s="42"/>
      <c r="I3" s="42"/>
    </row>
    <row r="4" spans="1:9" x14ac:dyDescent="0.25">
      <c r="A4" s="44"/>
    </row>
    <row r="6" spans="1:9" x14ac:dyDescent="0.25">
      <c r="A6" s="146" t="s">
        <v>334</v>
      </c>
      <c r="B6" s="102" t="s">
        <v>335</v>
      </c>
      <c r="C6" s="102"/>
      <c r="D6" s="102"/>
    </row>
    <row r="7" spans="1:9" x14ac:dyDescent="0.25">
      <c r="A7" s="72" t="s">
        <v>78</v>
      </c>
      <c r="B7" s="102" t="s">
        <v>67</v>
      </c>
      <c r="C7" s="102"/>
      <c r="D7" s="102"/>
    </row>
    <row r="8" spans="1:9" x14ac:dyDescent="0.25">
      <c r="A8" s="72" t="s">
        <v>79</v>
      </c>
      <c r="B8" s="102">
        <v>2015</v>
      </c>
      <c r="C8" s="102"/>
      <c r="D8" s="102"/>
    </row>
    <row r="9" spans="1:9" x14ac:dyDescent="0.25">
      <c r="A9" s="72" t="s">
        <v>80</v>
      </c>
      <c r="B9" s="102" t="s">
        <v>140</v>
      </c>
      <c r="C9" s="102"/>
      <c r="D9" s="102"/>
    </row>
    <row r="10" spans="1:9" x14ac:dyDescent="0.25">
      <c r="A10" s="72" t="s">
        <v>6</v>
      </c>
      <c r="B10" s="102" t="s">
        <v>146</v>
      </c>
      <c r="C10" s="102"/>
      <c r="D10" s="102"/>
    </row>
    <row r="11" spans="1:9" x14ac:dyDescent="0.25">
      <c r="A11" s="72" t="s">
        <v>81</v>
      </c>
      <c r="B11" s="102" t="s">
        <v>100</v>
      </c>
      <c r="C11" s="102"/>
      <c r="D11" s="102"/>
    </row>
    <row r="12" spans="1:9" x14ac:dyDescent="0.25">
      <c r="A12" s="72" t="s">
        <v>82</v>
      </c>
      <c r="B12" s="102" t="s">
        <v>95</v>
      </c>
      <c r="C12" s="102"/>
      <c r="D12" s="102"/>
    </row>
    <row r="13" spans="1:9" hidden="1" x14ac:dyDescent="0.25">
      <c r="A13" s="72" t="s">
        <v>342</v>
      </c>
      <c r="B13" s="102">
        <v>0</v>
      </c>
      <c r="C13" s="102"/>
      <c r="D13" s="102"/>
    </row>
    <row r="14" spans="1:9" hidden="1" x14ac:dyDescent="0.25">
      <c r="A14" s="72" t="s">
        <v>84</v>
      </c>
      <c r="B14" s="102">
        <v>312</v>
      </c>
      <c r="C14" s="102"/>
      <c r="D14" s="102"/>
    </row>
    <row r="15" spans="1:9" x14ac:dyDescent="0.25">
      <c r="A15" s="72" t="s">
        <v>345</v>
      </c>
      <c r="B15" s="102" t="s">
        <v>158</v>
      </c>
      <c r="C15" s="102"/>
      <c r="D15" s="102"/>
    </row>
    <row r="16" spans="1:9" x14ac:dyDescent="0.25">
      <c r="A16" s="72" t="s">
        <v>86</v>
      </c>
      <c r="B16" s="102" t="s">
        <v>113</v>
      </c>
      <c r="C16" s="102"/>
      <c r="D16" s="102"/>
    </row>
    <row r="17" spans="1:4" x14ac:dyDescent="0.25">
      <c r="A17" s="149"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7.5" customHeight="1" x14ac:dyDescent="0.25">
      <c r="A26" s="85" t="s">
        <v>415</v>
      </c>
      <c r="B26" s="85" t="s">
        <v>424</v>
      </c>
      <c r="C26" s="85" t="s">
        <v>432</v>
      </c>
      <c r="D26" s="85" t="s">
        <v>427</v>
      </c>
    </row>
    <row r="27" spans="1:4" x14ac:dyDescent="0.25">
      <c r="A27" s="86">
        <v>20</v>
      </c>
      <c r="B27" s="87">
        <v>39.64</v>
      </c>
      <c r="C27" s="87">
        <v>2.59</v>
      </c>
      <c r="D27" s="87"/>
    </row>
    <row r="28" spans="1:4" x14ac:dyDescent="0.25">
      <c r="A28" s="86">
        <v>21</v>
      </c>
      <c r="B28" s="87">
        <v>39.28</v>
      </c>
      <c r="C28" s="87">
        <v>2.64</v>
      </c>
      <c r="D28" s="87"/>
    </row>
    <row r="29" spans="1:4" x14ac:dyDescent="0.25">
      <c r="A29" s="86">
        <v>22</v>
      </c>
      <c r="B29" s="87">
        <v>38.92</v>
      </c>
      <c r="C29" s="87">
        <v>2.68</v>
      </c>
      <c r="D29" s="87"/>
    </row>
    <row r="30" spans="1:4" x14ac:dyDescent="0.25">
      <c r="A30" s="86">
        <v>23</v>
      </c>
      <c r="B30" s="87">
        <v>38.549999999999997</v>
      </c>
      <c r="C30" s="87">
        <v>2.72</v>
      </c>
      <c r="D30" s="87"/>
    </row>
    <row r="31" spans="1:4" x14ac:dyDescent="0.25">
      <c r="A31" s="86">
        <v>24</v>
      </c>
      <c r="B31" s="87">
        <v>38.17</v>
      </c>
      <c r="C31" s="87">
        <v>2.77</v>
      </c>
      <c r="D31" s="87"/>
    </row>
    <row r="32" spans="1:4" x14ac:dyDescent="0.25">
      <c r="A32" s="86">
        <v>25</v>
      </c>
      <c r="B32" s="87">
        <v>37.79</v>
      </c>
      <c r="C32" s="87">
        <v>2.81</v>
      </c>
      <c r="D32" s="87"/>
    </row>
    <row r="33" spans="1:4" x14ac:dyDescent="0.25">
      <c r="A33" s="86">
        <v>26</v>
      </c>
      <c r="B33" s="87">
        <v>37.4</v>
      </c>
      <c r="C33" s="87">
        <v>2.85</v>
      </c>
      <c r="D33" s="87"/>
    </row>
    <row r="34" spans="1:4" x14ac:dyDescent="0.25">
      <c r="A34" s="86">
        <v>27</v>
      </c>
      <c r="B34" s="87">
        <v>37.01</v>
      </c>
      <c r="C34" s="87">
        <v>2.9</v>
      </c>
      <c r="D34" s="87"/>
    </row>
    <row r="35" spans="1:4" x14ac:dyDescent="0.25">
      <c r="A35" s="86">
        <v>28</v>
      </c>
      <c r="B35" s="87">
        <v>36.61</v>
      </c>
      <c r="C35" s="87">
        <v>2.94</v>
      </c>
      <c r="D35" s="87"/>
    </row>
    <row r="36" spans="1:4" x14ac:dyDescent="0.25">
      <c r="A36" s="86">
        <v>29</v>
      </c>
      <c r="B36" s="87">
        <v>36.200000000000003</v>
      </c>
      <c r="C36" s="87">
        <v>2.99</v>
      </c>
      <c r="D36" s="87"/>
    </row>
    <row r="37" spans="1:4" x14ac:dyDescent="0.25">
      <c r="A37" s="86">
        <v>30</v>
      </c>
      <c r="B37" s="87">
        <v>35.79</v>
      </c>
      <c r="C37" s="87">
        <v>3.03</v>
      </c>
      <c r="D37" s="87"/>
    </row>
    <row r="38" spans="1:4" x14ac:dyDescent="0.25">
      <c r="A38" s="86">
        <v>31</v>
      </c>
      <c r="B38" s="87">
        <v>35.369999999999997</v>
      </c>
      <c r="C38" s="87">
        <v>3.07</v>
      </c>
      <c r="D38" s="87"/>
    </row>
    <row r="39" spans="1:4" x14ac:dyDescent="0.25">
      <c r="A39" s="86">
        <v>32</v>
      </c>
      <c r="B39" s="87">
        <v>34.950000000000003</v>
      </c>
      <c r="C39" s="87">
        <v>3.12</v>
      </c>
      <c r="D39" s="87"/>
    </row>
    <row r="40" spans="1:4" x14ac:dyDescent="0.25">
      <c r="A40" s="86">
        <v>33</v>
      </c>
      <c r="B40" s="87">
        <v>34.51</v>
      </c>
      <c r="C40" s="87">
        <v>3.16</v>
      </c>
      <c r="D40" s="87"/>
    </row>
    <row r="41" spans="1:4" x14ac:dyDescent="0.25">
      <c r="A41" s="86">
        <v>34</v>
      </c>
      <c r="B41" s="87">
        <v>34.08</v>
      </c>
      <c r="C41" s="87">
        <v>3.2</v>
      </c>
      <c r="D41" s="87"/>
    </row>
    <row r="42" spans="1:4" x14ac:dyDescent="0.25">
      <c r="A42" s="86">
        <v>35</v>
      </c>
      <c r="B42" s="87">
        <v>33.630000000000003</v>
      </c>
      <c r="C42" s="87">
        <v>3.24</v>
      </c>
      <c r="D42" s="87"/>
    </row>
    <row r="43" spans="1:4" x14ac:dyDescent="0.25">
      <c r="A43" s="86">
        <v>36</v>
      </c>
      <c r="B43" s="87">
        <v>33.18</v>
      </c>
      <c r="C43" s="87">
        <v>3.29</v>
      </c>
      <c r="D43" s="87"/>
    </row>
    <row r="44" spans="1:4" x14ac:dyDescent="0.25">
      <c r="A44" s="86">
        <v>37</v>
      </c>
      <c r="B44" s="87">
        <v>32.72</v>
      </c>
      <c r="C44" s="87">
        <v>3.33</v>
      </c>
      <c r="D44" s="87"/>
    </row>
    <row r="45" spans="1:4" x14ac:dyDescent="0.25">
      <c r="A45" s="86">
        <v>38</v>
      </c>
      <c r="B45" s="87">
        <v>32.26</v>
      </c>
      <c r="C45" s="87">
        <v>3.37</v>
      </c>
      <c r="D45" s="87"/>
    </row>
    <row r="46" spans="1:4" x14ac:dyDescent="0.25">
      <c r="A46" s="86">
        <v>39</v>
      </c>
      <c r="B46" s="87">
        <v>31.79</v>
      </c>
      <c r="C46" s="87">
        <v>3.41</v>
      </c>
      <c r="D46" s="87"/>
    </row>
    <row r="47" spans="1:4" x14ac:dyDescent="0.25">
      <c r="A47" s="86">
        <v>40</v>
      </c>
      <c r="B47" s="87">
        <v>31.31</v>
      </c>
      <c r="C47" s="87">
        <v>3.45</v>
      </c>
      <c r="D47" s="87"/>
    </row>
    <row r="48" spans="1:4" x14ac:dyDescent="0.25">
      <c r="A48" s="86">
        <v>41</v>
      </c>
      <c r="B48" s="87">
        <v>30.82</v>
      </c>
      <c r="C48" s="87">
        <v>3.49</v>
      </c>
      <c r="D48" s="87"/>
    </row>
    <row r="49" spans="1:4" x14ac:dyDescent="0.25">
      <c r="A49" s="86">
        <v>42</v>
      </c>
      <c r="B49" s="87">
        <v>30.33</v>
      </c>
      <c r="C49" s="87">
        <v>3.53</v>
      </c>
      <c r="D49" s="87"/>
    </row>
    <row r="50" spans="1:4" x14ac:dyDescent="0.25">
      <c r="A50" s="86">
        <v>43</v>
      </c>
      <c r="B50" s="87">
        <v>29.83</v>
      </c>
      <c r="C50" s="87">
        <v>3.57</v>
      </c>
      <c r="D50" s="87"/>
    </row>
    <row r="51" spans="1:4" x14ac:dyDescent="0.25">
      <c r="A51" s="86">
        <v>44</v>
      </c>
      <c r="B51" s="87">
        <v>29.33</v>
      </c>
      <c r="C51" s="87">
        <v>3.61</v>
      </c>
      <c r="D51" s="87"/>
    </row>
    <row r="52" spans="1:4" x14ac:dyDescent="0.25">
      <c r="A52" s="86">
        <v>45</v>
      </c>
      <c r="B52" s="87">
        <v>28.82</v>
      </c>
      <c r="C52" s="87">
        <v>3.64</v>
      </c>
      <c r="D52" s="87"/>
    </row>
    <row r="53" spans="1:4" x14ac:dyDescent="0.25">
      <c r="A53" s="86">
        <v>46</v>
      </c>
      <c r="B53" s="87">
        <v>28.3</v>
      </c>
      <c r="C53" s="87">
        <v>3.68</v>
      </c>
      <c r="D53" s="87"/>
    </row>
    <row r="54" spans="1:4" x14ac:dyDescent="0.25">
      <c r="A54" s="86">
        <v>47</v>
      </c>
      <c r="B54" s="87">
        <v>27.78</v>
      </c>
      <c r="C54" s="87">
        <v>3.71</v>
      </c>
      <c r="D54" s="87"/>
    </row>
    <row r="55" spans="1:4" x14ac:dyDescent="0.25">
      <c r="A55" s="86">
        <v>48</v>
      </c>
      <c r="B55" s="87">
        <v>27.25</v>
      </c>
      <c r="C55" s="87">
        <v>3.75</v>
      </c>
      <c r="D55" s="87"/>
    </row>
    <row r="56" spans="1:4" x14ac:dyDescent="0.25">
      <c r="A56" s="86">
        <v>49</v>
      </c>
      <c r="B56" s="87">
        <v>26.71</v>
      </c>
      <c r="C56" s="87">
        <v>3.78</v>
      </c>
      <c r="D56" s="87"/>
    </row>
    <row r="57" spans="1:4" x14ac:dyDescent="0.25">
      <c r="A57" s="86">
        <v>50</v>
      </c>
      <c r="B57" s="87">
        <v>26.16</v>
      </c>
      <c r="C57" s="87">
        <v>3.82</v>
      </c>
      <c r="D57" s="87"/>
    </row>
    <row r="58" spans="1:4" x14ac:dyDescent="0.25">
      <c r="A58" s="86">
        <v>51</v>
      </c>
      <c r="B58" s="87">
        <v>25.61</v>
      </c>
      <c r="C58" s="87">
        <v>3.85</v>
      </c>
      <c r="D58" s="87"/>
    </row>
    <row r="59" spans="1:4" x14ac:dyDescent="0.25">
      <c r="A59" s="86">
        <v>52</v>
      </c>
      <c r="B59" s="87">
        <v>25.05</v>
      </c>
      <c r="C59" s="87">
        <v>3.88</v>
      </c>
      <c r="D59" s="87"/>
    </row>
    <row r="60" spans="1:4" x14ac:dyDescent="0.25">
      <c r="A60" s="86">
        <v>53</v>
      </c>
      <c r="B60" s="87">
        <v>24.48</v>
      </c>
      <c r="C60" s="87">
        <v>3.91</v>
      </c>
      <c r="D60" s="87"/>
    </row>
    <row r="61" spans="1:4" x14ac:dyDescent="0.25">
      <c r="A61" s="86">
        <v>54</v>
      </c>
      <c r="B61" s="87">
        <v>23.91</v>
      </c>
      <c r="C61" s="87">
        <v>3.94</v>
      </c>
      <c r="D61" s="87"/>
    </row>
    <row r="62" spans="1:4" x14ac:dyDescent="0.25">
      <c r="A62" s="86">
        <v>55</v>
      </c>
      <c r="B62" s="87">
        <v>23.33</v>
      </c>
      <c r="C62" s="87">
        <v>3.97</v>
      </c>
      <c r="D62" s="87"/>
    </row>
    <row r="63" spans="1:4" x14ac:dyDescent="0.25">
      <c r="A63" s="86">
        <v>56</v>
      </c>
      <c r="B63" s="87">
        <v>22.74</v>
      </c>
      <c r="C63" s="87">
        <v>4</v>
      </c>
      <c r="D63" s="87"/>
    </row>
    <row r="64" spans="1:4" x14ac:dyDescent="0.25">
      <c r="A64" s="86">
        <v>57</v>
      </c>
      <c r="B64" s="87">
        <v>22.14</v>
      </c>
      <c r="C64" s="87">
        <v>4.0199999999999996</v>
      </c>
      <c r="D64" s="87"/>
    </row>
    <row r="65" spans="1:4" x14ac:dyDescent="0.25">
      <c r="A65" s="86">
        <v>58</v>
      </c>
      <c r="B65" s="87">
        <v>21.54</v>
      </c>
      <c r="C65" s="87">
        <v>4.05</v>
      </c>
      <c r="D65" s="87"/>
    </row>
    <row r="66" spans="1:4" x14ac:dyDescent="0.25">
      <c r="A66" s="86">
        <v>59</v>
      </c>
      <c r="B66" s="87">
        <v>20.93</v>
      </c>
      <c r="C66" s="87">
        <v>4.07</v>
      </c>
      <c r="D66" s="87"/>
    </row>
    <row r="67" spans="1:4" x14ac:dyDescent="0.25">
      <c r="A67" s="86">
        <v>60</v>
      </c>
      <c r="B67" s="87">
        <v>20.32</v>
      </c>
      <c r="C67" s="87">
        <v>4.09</v>
      </c>
      <c r="D67" s="87"/>
    </row>
    <row r="68" spans="1:4" x14ac:dyDescent="0.25">
      <c r="A68" s="86">
        <v>61</v>
      </c>
      <c r="B68" s="87">
        <v>19.7</v>
      </c>
      <c r="C68" s="87">
        <v>4.1100000000000003</v>
      </c>
      <c r="D68" s="87"/>
    </row>
    <row r="69" spans="1:4" x14ac:dyDescent="0.25">
      <c r="A69" s="86">
        <v>62</v>
      </c>
      <c r="B69" s="87">
        <v>19.079999999999998</v>
      </c>
      <c r="C69" s="87">
        <v>4.13</v>
      </c>
      <c r="D69" s="87"/>
    </row>
    <row r="70" spans="1:4" x14ac:dyDescent="0.25">
      <c r="A70" s="86">
        <v>63</v>
      </c>
      <c r="B70" s="87">
        <v>18.46</v>
      </c>
      <c r="C70" s="87">
        <v>4.1399999999999997</v>
      </c>
      <c r="D70" s="87"/>
    </row>
    <row r="71" spans="1:4" x14ac:dyDescent="0.25">
      <c r="A71" s="86">
        <v>64</v>
      </c>
      <c r="B71" s="87">
        <v>17.829999999999998</v>
      </c>
      <c r="C71" s="87">
        <v>4.1500000000000004</v>
      </c>
      <c r="D71" s="87"/>
    </row>
    <row r="72" spans="1:4" x14ac:dyDescent="0.25">
      <c r="A72" s="86">
        <v>65</v>
      </c>
      <c r="B72" s="87">
        <v>17.2</v>
      </c>
      <c r="C72" s="87">
        <v>4.1500000000000004</v>
      </c>
      <c r="D72" s="87"/>
    </row>
    <row r="73" spans="1:4" x14ac:dyDescent="0.25">
      <c r="A73" s="86">
        <v>66</v>
      </c>
      <c r="B73" s="87">
        <v>16.57</v>
      </c>
      <c r="C73" s="87">
        <v>4.1500000000000004</v>
      </c>
      <c r="D73" s="87"/>
    </row>
    <row r="74" spans="1:4" x14ac:dyDescent="0.25">
      <c r="A74" s="86">
        <v>67</v>
      </c>
      <c r="B74" s="87">
        <v>15.94</v>
      </c>
      <c r="C74" s="87">
        <v>4.1500000000000004</v>
      </c>
      <c r="D74" s="87"/>
    </row>
    <row r="75" spans="1:4" x14ac:dyDescent="0.25">
      <c r="A75" s="86">
        <v>68</v>
      </c>
      <c r="B75" s="87">
        <v>15.31</v>
      </c>
      <c r="C75" s="87">
        <v>4.1399999999999997</v>
      </c>
      <c r="D75" s="87"/>
    </row>
    <row r="76" spans="1:4" x14ac:dyDescent="0.25">
      <c r="A76" s="86">
        <v>69</v>
      </c>
      <c r="B76" s="87">
        <v>14.67</v>
      </c>
      <c r="C76" s="87">
        <v>4.07</v>
      </c>
      <c r="D76" s="87">
        <v>2.82</v>
      </c>
    </row>
    <row r="77" spans="1:4" x14ac:dyDescent="0.25">
      <c r="A77" s="86">
        <v>70</v>
      </c>
      <c r="B77" s="87">
        <v>14.04</v>
      </c>
      <c r="C77" s="87">
        <v>4</v>
      </c>
      <c r="D77" s="87">
        <v>2.62</v>
      </c>
    </row>
    <row r="78" spans="1:4" x14ac:dyDescent="0.25">
      <c r="A78" s="86">
        <v>71</v>
      </c>
      <c r="B78" s="87">
        <v>13.42</v>
      </c>
      <c r="C78" s="87">
        <v>3.97</v>
      </c>
      <c r="D78" s="87">
        <v>2.42</v>
      </c>
    </row>
    <row r="79" spans="1:4" x14ac:dyDescent="0.25">
      <c r="A79" s="86">
        <v>72</v>
      </c>
      <c r="B79" s="87">
        <v>12.79</v>
      </c>
      <c r="C79" s="87">
        <v>3.94</v>
      </c>
      <c r="D79" s="87">
        <v>2.23</v>
      </c>
    </row>
    <row r="80" spans="1:4" x14ac:dyDescent="0.25">
      <c r="A80" s="86">
        <v>73</v>
      </c>
      <c r="B80" s="87">
        <v>12.17</v>
      </c>
      <c r="C80" s="87">
        <v>3.9</v>
      </c>
      <c r="D80" s="87">
        <v>2.0499999999999998</v>
      </c>
    </row>
    <row r="81" spans="1:4" x14ac:dyDescent="0.25">
      <c r="A81" s="86">
        <v>74</v>
      </c>
      <c r="B81" s="87">
        <v>11.56</v>
      </c>
      <c r="C81" s="87">
        <v>3.74</v>
      </c>
      <c r="D81" s="87">
        <v>1.88</v>
      </c>
    </row>
    <row r="82" spans="1:4" x14ac:dyDescent="0.25">
      <c r="A82" s="86">
        <v>75</v>
      </c>
      <c r="B82" s="87">
        <v>10.95</v>
      </c>
      <c r="C82" s="87">
        <v>3.56</v>
      </c>
      <c r="D82" s="87">
        <v>1.71</v>
      </c>
    </row>
    <row r="83" spans="1:4" x14ac:dyDescent="0.25">
      <c r="A83" s="86">
        <v>76</v>
      </c>
      <c r="B83" s="87">
        <v>10.36</v>
      </c>
      <c r="C83" s="87">
        <v>3.51</v>
      </c>
      <c r="D83" s="87">
        <v>1.56</v>
      </c>
    </row>
    <row r="84" spans="1:4" x14ac:dyDescent="0.25">
      <c r="A84" s="86">
        <v>77</v>
      </c>
      <c r="B84" s="87">
        <v>9.77</v>
      </c>
      <c r="C84" s="87">
        <v>3.45</v>
      </c>
      <c r="D84" s="87">
        <v>1.41</v>
      </c>
    </row>
    <row r="85" spans="1:4" x14ac:dyDescent="0.25">
      <c r="A85" s="86">
        <v>78</v>
      </c>
      <c r="B85" s="87">
        <v>9.19</v>
      </c>
      <c r="C85" s="87">
        <v>3.38</v>
      </c>
      <c r="D85" s="87">
        <v>1.27</v>
      </c>
    </row>
    <row r="86" spans="1:4" x14ac:dyDescent="0.25">
      <c r="A86" s="86">
        <v>79</v>
      </c>
      <c r="B86" s="87">
        <v>8.6300000000000008</v>
      </c>
      <c r="C86" s="87">
        <v>3.1</v>
      </c>
      <c r="D86" s="87">
        <v>1.1299999999999999</v>
      </c>
    </row>
    <row r="87" spans="1:4" x14ac:dyDescent="0.25">
      <c r="A87" s="86">
        <v>80</v>
      </c>
      <c r="B87" s="87">
        <v>8.09</v>
      </c>
      <c r="C87" s="87">
        <v>2.82</v>
      </c>
      <c r="D87" s="87">
        <v>1.01</v>
      </c>
    </row>
    <row r="88" spans="1:4" x14ac:dyDescent="0.25">
      <c r="A88" s="86">
        <v>81</v>
      </c>
      <c r="B88" s="87">
        <v>7.56</v>
      </c>
      <c r="C88" s="87">
        <v>2.74</v>
      </c>
      <c r="D88" s="87">
        <v>0.9</v>
      </c>
    </row>
    <row r="89" spans="1:4" x14ac:dyDescent="0.25">
      <c r="A89" s="86">
        <v>82</v>
      </c>
      <c r="B89" s="87">
        <v>7.05</v>
      </c>
      <c r="C89" s="87">
        <v>2.66</v>
      </c>
      <c r="D89" s="87">
        <v>0.8</v>
      </c>
    </row>
    <row r="90" spans="1:4" x14ac:dyDescent="0.25">
      <c r="A90" s="86">
        <v>83</v>
      </c>
      <c r="B90" s="87">
        <v>6.56</v>
      </c>
      <c r="C90" s="87">
        <v>2.56</v>
      </c>
      <c r="D90" s="87">
        <v>0.7</v>
      </c>
    </row>
    <row r="91" spans="1:4" x14ac:dyDescent="0.25">
      <c r="A91" s="86">
        <v>84</v>
      </c>
      <c r="B91" s="87">
        <v>6.1</v>
      </c>
      <c r="C91" s="87">
        <v>2.2400000000000002</v>
      </c>
      <c r="D91" s="87">
        <v>0.61</v>
      </c>
    </row>
    <row r="92" spans="1:4" x14ac:dyDescent="0.25">
      <c r="A92" s="86">
        <v>85</v>
      </c>
      <c r="B92" s="87">
        <v>5.65</v>
      </c>
      <c r="C92" s="87">
        <v>1.92</v>
      </c>
      <c r="D92" s="87">
        <v>0.54</v>
      </c>
    </row>
  </sheetData>
  <sheetProtection algorithmName="SHA-512" hashValue="9tVSyjSIFYTAkRC1F6dF5Gq49kg5ezyOZDEbHQCEQtMEJ9RoveSBIXNmcwB6POGg1jdC47dR6zPY34TriAEfiw==" saltValue="s/WhZoL2c0HCreUFNTZEyg==" spinCount="100000" sheet="1" objects="1" scenarios="1"/>
  <conditionalFormatting sqref="A6:A21">
    <cfRule type="expression" dxfId="563" priority="1" stopIfTrue="1">
      <formula>MOD(ROW(),2)=0</formula>
    </cfRule>
    <cfRule type="expression" dxfId="562" priority="2" stopIfTrue="1">
      <formula>MOD(ROW(),2)&lt;&gt;0</formula>
    </cfRule>
  </conditionalFormatting>
  <conditionalFormatting sqref="A26:A92">
    <cfRule type="expression" dxfId="561" priority="3" stopIfTrue="1">
      <formula>MOD(ROW(),2)=0</formula>
    </cfRule>
    <cfRule type="expression" dxfId="560" priority="4" stopIfTrue="1">
      <formula>MOD(ROW(),2)&lt;&gt;0</formula>
    </cfRule>
  </conditionalFormatting>
  <conditionalFormatting sqref="B17:B19">
    <cfRule type="expression" dxfId="559" priority="7" stopIfTrue="1">
      <formula>MOD(ROW(),2)=0</formula>
    </cfRule>
    <cfRule type="expression" dxfId="558" priority="8" stopIfTrue="1">
      <formula>MOD(ROW(),2)&lt;&gt;0</formula>
    </cfRule>
  </conditionalFormatting>
  <conditionalFormatting sqref="B6:D6 C7:D7 C17:D19 B20:D21">
    <cfRule type="expression" dxfId="557" priority="27" stopIfTrue="1">
      <formula>MOD(ROW(),2)=0</formula>
    </cfRule>
    <cfRule type="expression" dxfId="556" priority="28" stopIfTrue="1">
      <formula>MOD(ROW(),2)&lt;&gt;0</formula>
    </cfRule>
  </conditionalFormatting>
  <conditionalFormatting sqref="B6:D21">
    <cfRule type="expression" dxfId="555" priority="17" stopIfTrue="1">
      <formula>MOD(ROW(),2)=0</formula>
    </cfRule>
    <cfRule type="expression" dxfId="554" priority="18" stopIfTrue="1">
      <formula>MOD(ROW(),2)&lt;&gt;0</formula>
    </cfRule>
  </conditionalFormatting>
  <conditionalFormatting sqref="B8:D16">
    <cfRule type="expression" dxfId="553" priority="19" stopIfTrue="1">
      <formula>MOD(ROW(),2)=0</formula>
    </cfRule>
    <cfRule type="expression" dxfId="552" priority="20" stopIfTrue="1">
      <formula>MOD(ROW(),2)&lt;&gt;0</formula>
    </cfRule>
  </conditionalFormatting>
  <conditionalFormatting sqref="B26:D92">
    <cfRule type="expression" dxfId="551" priority="5" stopIfTrue="1">
      <formula>MOD(ROW(),2)=0</formula>
    </cfRule>
    <cfRule type="expression" dxfId="550" priority="6" stopIfTrue="1">
      <formula>MOD(ROW(),2)&lt;&gt;0</formula>
    </cfRule>
  </conditionalFormatting>
  <hyperlinks>
    <hyperlink ref="B24" location="Assumptions!A1" display="Assumptions" xr:uid="{BFF68509-3A3C-4918-B2BE-A5A07C5943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99"/>
  <dimension ref="A1:I96"/>
  <sheetViews>
    <sheetView showGridLines="0"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Credit - x-313</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1992</v>
      </c>
      <c r="C8" s="148"/>
    </row>
    <row r="9" spans="1:9" x14ac:dyDescent="0.25">
      <c r="A9" s="76" t="s">
        <v>80</v>
      </c>
      <c r="B9" s="148" t="s">
        <v>159</v>
      </c>
      <c r="C9" s="148"/>
    </row>
    <row r="10" spans="1:9" x14ac:dyDescent="0.25">
      <c r="A10" s="76" t="s">
        <v>6</v>
      </c>
      <c r="B10" s="148" t="s">
        <v>160</v>
      </c>
      <c r="C10" s="148"/>
    </row>
    <row r="11" spans="1:9" x14ac:dyDescent="0.25">
      <c r="A11" s="76" t="s">
        <v>81</v>
      </c>
      <c r="B11" s="148" t="s">
        <v>161</v>
      </c>
      <c r="C11" s="148"/>
    </row>
    <row r="12" spans="1:9" x14ac:dyDescent="0.25">
      <c r="A12" s="76" t="s">
        <v>82</v>
      </c>
      <c r="B12" s="148" t="s">
        <v>95</v>
      </c>
      <c r="C12" s="148"/>
    </row>
    <row r="13" spans="1:9" hidden="1" x14ac:dyDescent="0.25">
      <c r="A13" s="76" t="s">
        <v>342</v>
      </c>
      <c r="B13" s="148">
        <v>2</v>
      </c>
      <c r="C13" s="148"/>
    </row>
    <row r="14" spans="1:9" hidden="1" x14ac:dyDescent="0.25">
      <c r="A14" s="76" t="s">
        <v>84</v>
      </c>
      <c r="B14" s="148">
        <v>313</v>
      </c>
      <c r="C14" s="148"/>
    </row>
    <row r="15" spans="1:9" x14ac:dyDescent="0.25">
      <c r="A15" s="76" t="s">
        <v>345</v>
      </c>
      <c r="B15" s="148" t="s">
        <v>162</v>
      </c>
      <c r="C15" s="148"/>
    </row>
    <row r="16" spans="1:9" x14ac:dyDescent="0.25">
      <c r="A16" s="76" t="s">
        <v>86</v>
      </c>
      <c r="B16" s="148" t="s">
        <v>163</v>
      </c>
      <c r="C16" s="148"/>
    </row>
    <row r="17" spans="1:3" ht="96.6" customHeight="1" x14ac:dyDescent="0.25">
      <c r="A17" s="76" t="s">
        <v>414</v>
      </c>
      <c r="B17" s="148"/>
      <c r="C17" s="148"/>
    </row>
    <row r="18" spans="1:3" x14ac:dyDescent="0.25">
      <c r="A18" s="76" t="s">
        <v>88</v>
      </c>
      <c r="B18" s="152">
        <v>45070</v>
      </c>
      <c r="C18" s="148"/>
    </row>
    <row r="19" spans="1:3" x14ac:dyDescent="0.25">
      <c r="A19" s="76" t="s">
        <v>89</v>
      </c>
      <c r="B19" s="152">
        <v>45014</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6" spans="1:3" ht="26.4" x14ac:dyDescent="0.25">
      <c r="A26" s="85" t="s">
        <v>415</v>
      </c>
      <c r="B26" s="85" t="s">
        <v>433</v>
      </c>
      <c r="C26" s="85" t="s">
        <v>434</v>
      </c>
    </row>
    <row r="27" spans="1:3" x14ac:dyDescent="0.25">
      <c r="A27" s="86">
        <v>16</v>
      </c>
      <c r="B27" s="87">
        <v>11.09</v>
      </c>
      <c r="C27" s="87">
        <v>11.09</v>
      </c>
    </row>
    <row r="28" spans="1:3" x14ac:dyDescent="0.25">
      <c r="A28" s="86">
        <v>17</v>
      </c>
      <c r="B28" s="87">
        <v>11.25</v>
      </c>
      <c r="C28" s="87">
        <v>11.25</v>
      </c>
    </row>
    <row r="29" spans="1:3" x14ac:dyDescent="0.25">
      <c r="A29" s="86">
        <v>18</v>
      </c>
      <c r="B29" s="87">
        <v>11.41</v>
      </c>
      <c r="C29" s="87">
        <v>11.41</v>
      </c>
    </row>
    <row r="30" spans="1:3" x14ac:dyDescent="0.25">
      <c r="A30" s="86">
        <v>19</v>
      </c>
      <c r="B30" s="87">
        <v>11.58</v>
      </c>
      <c r="C30" s="87">
        <v>11.58</v>
      </c>
    </row>
    <row r="31" spans="1:3" x14ac:dyDescent="0.25">
      <c r="A31" s="86">
        <v>20</v>
      </c>
      <c r="B31" s="87">
        <v>11.75</v>
      </c>
      <c r="C31" s="87">
        <v>11.75</v>
      </c>
    </row>
    <row r="32" spans="1:3" x14ac:dyDescent="0.25">
      <c r="A32" s="86">
        <v>21</v>
      </c>
      <c r="B32" s="87">
        <v>11.92</v>
      </c>
      <c r="C32" s="87">
        <v>11.92</v>
      </c>
    </row>
    <row r="33" spans="1:3" x14ac:dyDescent="0.25">
      <c r="A33" s="86">
        <v>22</v>
      </c>
      <c r="B33" s="87">
        <v>12.09</v>
      </c>
      <c r="C33" s="87">
        <v>12.09</v>
      </c>
    </row>
    <row r="34" spans="1:3" x14ac:dyDescent="0.25">
      <c r="A34" s="86">
        <v>23</v>
      </c>
      <c r="B34" s="87">
        <v>12.26</v>
      </c>
      <c r="C34" s="87">
        <v>12.26</v>
      </c>
    </row>
    <row r="35" spans="1:3" x14ac:dyDescent="0.25">
      <c r="A35" s="86">
        <v>24</v>
      </c>
      <c r="B35" s="87">
        <v>12.44</v>
      </c>
      <c r="C35" s="87">
        <v>12.44</v>
      </c>
    </row>
    <row r="36" spans="1:3" x14ac:dyDescent="0.25">
      <c r="A36" s="86">
        <v>25</v>
      </c>
      <c r="B36" s="87">
        <v>12.62</v>
      </c>
      <c r="C36" s="87">
        <v>12.62</v>
      </c>
    </row>
    <row r="37" spans="1:3" x14ac:dyDescent="0.25">
      <c r="A37" s="86">
        <v>26</v>
      </c>
      <c r="B37" s="87">
        <v>12.81</v>
      </c>
      <c r="C37" s="87">
        <v>12.81</v>
      </c>
    </row>
    <row r="38" spans="1:3" x14ac:dyDescent="0.25">
      <c r="A38" s="86">
        <v>27</v>
      </c>
      <c r="B38" s="87">
        <v>12.99</v>
      </c>
      <c r="C38" s="87">
        <v>12.99</v>
      </c>
    </row>
    <row r="39" spans="1:3" x14ac:dyDescent="0.25">
      <c r="A39" s="86">
        <v>28</v>
      </c>
      <c r="B39" s="87">
        <v>13.18</v>
      </c>
      <c r="C39" s="87">
        <v>13.18</v>
      </c>
    </row>
    <row r="40" spans="1:3" x14ac:dyDescent="0.25">
      <c r="A40" s="86">
        <v>29</v>
      </c>
      <c r="B40" s="87">
        <v>13.37</v>
      </c>
      <c r="C40" s="87">
        <v>13.37</v>
      </c>
    </row>
    <row r="41" spans="1:3" x14ac:dyDescent="0.25">
      <c r="A41" s="86">
        <v>30</v>
      </c>
      <c r="B41" s="87">
        <v>13.57</v>
      </c>
      <c r="C41" s="87">
        <v>13.57</v>
      </c>
    </row>
    <row r="42" spans="1:3" x14ac:dyDescent="0.25">
      <c r="A42" s="86">
        <v>31</v>
      </c>
      <c r="B42" s="87">
        <v>13.77</v>
      </c>
      <c r="C42" s="87">
        <v>13.77</v>
      </c>
    </row>
    <row r="43" spans="1:3" x14ac:dyDescent="0.25">
      <c r="A43" s="86">
        <v>32</v>
      </c>
      <c r="B43" s="87">
        <v>13.97</v>
      </c>
      <c r="C43" s="87">
        <v>13.97</v>
      </c>
    </row>
    <row r="44" spans="1:3" x14ac:dyDescent="0.25">
      <c r="A44" s="86">
        <v>33</v>
      </c>
      <c r="B44" s="87">
        <v>14.17</v>
      </c>
      <c r="C44" s="87">
        <v>14.17</v>
      </c>
    </row>
    <row r="45" spans="1:3" x14ac:dyDescent="0.25">
      <c r="A45" s="86">
        <v>34</v>
      </c>
      <c r="B45" s="87">
        <v>14.38</v>
      </c>
      <c r="C45" s="87">
        <v>14.38</v>
      </c>
    </row>
    <row r="46" spans="1:3" x14ac:dyDescent="0.25">
      <c r="A46" s="86">
        <v>35</v>
      </c>
      <c r="B46" s="87">
        <v>14.59</v>
      </c>
      <c r="C46" s="87">
        <v>14.59</v>
      </c>
    </row>
    <row r="47" spans="1:3" x14ac:dyDescent="0.25">
      <c r="A47" s="86">
        <v>36</v>
      </c>
      <c r="B47" s="87">
        <v>14.81</v>
      </c>
      <c r="C47" s="87">
        <v>14.81</v>
      </c>
    </row>
    <row r="48" spans="1:3" x14ac:dyDescent="0.25">
      <c r="A48" s="86">
        <v>37</v>
      </c>
      <c r="B48" s="87">
        <v>15.03</v>
      </c>
      <c r="C48" s="87">
        <v>15.03</v>
      </c>
    </row>
    <row r="49" spans="1:3" x14ac:dyDescent="0.25">
      <c r="A49" s="86">
        <v>38</v>
      </c>
      <c r="B49" s="87">
        <v>15.25</v>
      </c>
      <c r="C49" s="87">
        <v>15.25</v>
      </c>
    </row>
    <row r="50" spans="1:3" x14ac:dyDescent="0.25">
      <c r="A50" s="86">
        <v>39</v>
      </c>
      <c r="B50" s="87">
        <v>15.48</v>
      </c>
      <c r="C50" s="87">
        <v>15.48</v>
      </c>
    </row>
    <row r="51" spans="1:3" x14ac:dyDescent="0.25">
      <c r="A51" s="86">
        <v>40</v>
      </c>
      <c r="B51" s="87">
        <v>15.71</v>
      </c>
      <c r="C51" s="87">
        <v>15.71</v>
      </c>
    </row>
    <row r="52" spans="1:3" x14ac:dyDescent="0.25">
      <c r="A52" s="86">
        <v>41</v>
      </c>
      <c r="B52" s="87">
        <v>15.95</v>
      </c>
      <c r="C52" s="87">
        <v>15.95</v>
      </c>
    </row>
    <row r="53" spans="1:3" x14ac:dyDescent="0.25">
      <c r="A53" s="86">
        <v>42</v>
      </c>
      <c r="B53" s="87">
        <v>16.190000000000001</v>
      </c>
      <c r="C53" s="87">
        <v>16.190000000000001</v>
      </c>
    </row>
    <row r="54" spans="1:3" x14ac:dyDescent="0.25">
      <c r="A54" s="86">
        <v>43</v>
      </c>
      <c r="B54" s="87">
        <v>16.440000000000001</v>
      </c>
      <c r="C54" s="87">
        <v>16.440000000000001</v>
      </c>
    </row>
    <row r="55" spans="1:3" x14ac:dyDescent="0.25">
      <c r="A55" s="86">
        <v>44</v>
      </c>
      <c r="B55" s="87">
        <v>16.7</v>
      </c>
      <c r="C55" s="87">
        <v>16.7</v>
      </c>
    </row>
    <row r="56" spans="1:3" x14ac:dyDescent="0.25">
      <c r="A56" s="86">
        <v>45</v>
      </c>
      <c r="B56" s="87">
        <v>16.96</v>
      </c>
      <c r="C56" s="87">
        <v>16.96</v>
      </c>
    </row>
    <row r="57" spans="1:3" x14ac:dyDescent="0.25">
      <c r="A57" s="86">
        <v>46</v>
      </c>
      <c r="B57" s="87">
        <v>17.23</v>
      </c>
      <c r="C57" s="87">
        <v>17.23</v>
      </c>
    </row>
    <row r="58" spans="1:3" x14ac:dyDescent="0.25">
      <c r="A58" s="86">
        <v>47</v>
      </c>
      <c r="B58" s="87">
        <v>17.5</v>
      </c>
      <c r="C58" s="87">
        <v>17.5</v>
      </c>
    </row>
    <row r="59" spans="1:3" x14ac:dyDescent="0.25">
      <c r="A59" s="86">
        <v>48</v>
      </c>
      <c r="B59" s="87">
        <v>17.79</v>
      </c>
      <c r="C59" s="87">
        <v>17.79</v>
      </c>
    </row>
    <row r="60" spans="1:3" x14ac:dyDescent="0.25">
      <c r="A60" s="86">
        <v>49</v>
      </c>
      <c r="B60" s="87">
        <v>18.079999999999998</v>
      </c>
      <c r="C60" s="87">
        <v>18.079999999999998</v>
      </c>
    </row>
    <row r="61" spans="1:3" x14ac:dyDescent="0.25">
      <c r="A61" s="86">
        <v>50</v>
      </c>
      <c r="B61" s="87">
        <v>18.38</v>
      </c>
      <c r="C61" s="87">
        <v>18.38</v>
      </c>
    </row>
    <row r="62" spans="1:3" x14ac:dyDescent="0.25">
      <c r="A62" s="86">
        <v>51</v>
      </c>
      <c r="B62" s="87">
        <v>18.690000000000001</v>
      </c>
      <c r="C62" s="87">
        <v>18.690000000000001</v>
      </c>
    </row>
    <row r="63" spans="1:3" x14ac:dyDescent="0.25">
      <c r="A63" s="86">
        <v>52</v>
      </c>
      <c r="B63" s="87">
        <v>19</v>
      </c>
      <c r="C63" s="87">
        <v>19</v>
      </c>
    </row>
    <row r="64" spans="1:3" x14ac:dyDescent="0.25">
      <c r="A64" s="86">
        <v>53</v>
      </c>
      <c r="B64" s="87">
        <v>19.329999999999998</v>
      </c>
      <c r="C64" s="87">
        <v>19.329999999999998</v>
      </c>
    </row>
    <row r="65" spans="1:3" x14ac:dyDescent="0.25">
      <c r="A65" s="86">
        <v>54</v>
      </c>
      <c r="B65" s="87">
        <v>19.670000000000002</v>
      </c>
      <c r="C65" s="87">
        <v>19.670000000000002</v>
      </c>
    </row>
    <row r="66" spans="1:3" x14ac:dyDescent="0.25">
      <c r="A66" s="86">
        <v>55</v>
      </c>
      <c r="B66" s="87">
        <v>20.02</v>
      </c>
      <c r="C66" s="87">
        <v>20.02</v>
      </c>
    </row>
    <row r="67" spans="1:3" x14ac:dyDescent="0.25">
      <c r="A67" s="86">
        <v>56</v>
      </c>
      <c r="B67" s="87">
        <v>20.38</v>
      </c>
      <c r="C67" s="87">
        <v>20.38</v>
      </c>
    </row>
    <row r="68" spans="1:3" x14ac:dyDescent="0.25">
      <c r="A68" s="86">
        <v>57</v>
      </c>
      <c r="B68" s="87">
        <v>20.75</v>
      </c>
      <c r="C68" s="87">
        <v>20.75</v>
      </c>
    </row>
    <row r="69" spans="1:3" x14ac:dyDescent="0.25">
      <c r="A69" s="86">
        <v>58</v>
      </c>
      <c r="B69" s="87">
        <v>21.13</v>
      </c>
      <c r="C69" s="87">
        <v>21.13</v>
      </c>
    </row>
    <row r="70" spans="1:3" x14ac:dyDescent="0.25">
      <c r="A70" s="86">
        <v>59</v>
      </c>
      <c r="B70" s="87">
        <v>21.53</v>
      </c>
      <c r="C70" s="87">
        <v>21.53</v>
      </c>
    </row>
    <row r="71" spans="1:3" x14ac:dyDescent="0.25">
      <c r="A71" s="86">
        <v>60</v>
      </c>
      <c r="B71" s="87">
        <v>21.44</v>
      </c>
      <c r="C71" s="87">
        <v>21.44</v>
      </c>
    </row>
    <row r="72" spans="1:3" x14ac:dyDescent="0.25">
      <c r="A72" s="86">
        <v>61</v>
      </c>
      <c r="B72" s="87">
        <v>20.85</v>
      </c>
      <c r="C72" s="87">
        <v>20.85</v>
      </c>
    </row>
    <row r="73" spans="1:3" x14ac:dyDescent="0.25">
      <c r="A73" s="86">
        <v>62</v>
      </c>
      <c r="B73" s="87">
        <v>20.25</v>
      </c>
      <c r="C73" s="87">
        <v>20.25</v>
      </c>
    </row>
    <row r="74" spans="1:3" x14ac:dyDescent="0.25">
      <c r="A74" s="86">
        <v>63</v>
      </c>
      <c r="B74" s="87">
        <v>19.649999999999999</v>
      </c>
      <c r="C74" s="87">
        <v>19.649999999999999</v>
      </c>
    </row>
    <row r="75" spans="1:3" x14ac:dyDescent="0.25">
      <c r="A75" s="86">
        <v>64</v>
      </c>
      <c r="B75" s="87">
        <v>19.05</v>
      </c>
      <c r="C75" s="87">
        <v>19.05</v>
      </c>
    </row>
    <row r="76" spans="1:3" x14ac:dyDescent="0.25">
      <c r="A76" s="86">
        <v>65</v>
      </c>
      <c r="B76" s="87">
        <v>18.440000000000001</v>
      </c>
      <c r="C76" s="87">
        <v>18.440000000000001</v>
      </c>
    </row>
    <row r="77" spans="1:3" x14ac:dyDescent="0.25">
      <c r="A77" s="86">
        <v>66</v>
      </c>
      <c r="B77" s="87">
        <v>17.829999999999998</v>
      </c>
      <c r="C77" s="87">
        <v>17.829999999999998</v>
      </c>
    </row>
    <row r="78" spans="1:3" x14ac:dyDescent="0.25">
      <c r="A78" s="86">
        <v>67</v>
      </c>
      <c r="B78" s="87">
        <v>17.21</v>
      </c>
      <c r="C78" s="87">
        <v>17.21</v>
      </c>
    </row>
    <row r="79" spans="1:3" x14ac:dyDescent="0.25">
      <c r="A79" s="86">
        <v>68</v>
      </c>
      <c r="B79" s="87">
        <v>16.600000000000001</v>
      </c>
      <c r="C79" s="87">
        <v>16.600000000000001</v>
      </c>
    </row>
    <row r="80" spans="1:3" x14ac:dyDescent="0.25">
      <c r="A80" s="86">
        <v>69</v>
      </c>
      <c r="B80" s="87">
        <v>15.97</v>
      </c>
      <c r="C80" s="87">
        <v>15.97</v>
      </c>
    </row>
    <row r="81" spans="1:3" x14ac:dyDescent="0.25">
      <c r="A81" s="86">
        <v>70</v>
      </c>
      <c r="B81" s="87">
        <v>15.35</v>
      </c>
      <c r="C81" s="87">
        <v>15.35</v>
      </c>
    </row>
    <row r="82" spans="1:3" x14ac:dyDescent="0.25">
      <c r="A82" s="86">
        <v>71</v>
      </c>
      <c r="B82" s="87">
        <v>14.72</v>
      </c>
      <c r="C82" s="87">
        <v>14.72</v>
      </c>
    </row>
    <row r="83" spans="1:3" x14ac:dyDescent="0.25">
      <c r="A83" s="86">
        <v>72</v>
      </c>
      <c r="B83" s="87">
        <v>14.1</v>
      </c>
      <c r="C83" s="87">
        <v>14.1</v>
      </c>
    </row>
    <row r="84" spans="1:3" x14ac:dyDescent="0.25">
      <c r="A84" s="86">
        <v>73</v>
      </c>
      <c r="B84" s="87">
        <v>13.48</v>
      </c>
      <c r="C84" s="87">
        <v>13.48</v>
      </c>
    </row>
    <row r="85" spans="1:3" x14ac:dyDescent="0.25">
      <c r="A85" s="86">
        <v>74</v>
      </c>
      <c r="B85" s="87">
        <v>12.86</v>
      </c>
      <c r="C85" s="87">
        <v>12.86</v>
      </c>
    </row>
    <row r="86" spans="1:3" x14ac:dyDescent="0.25">
      <c r="A86" s="86">
        <v>75</v>
      </c>
      <c r="B86" s="87">
        <v>12.24</v>
      </c>
      <c r="C86" s="87">
        <v>12.24</v>
      </c>
    </row>
    <row r="87" spans="1:3" x14ac:dyDescent="0.25">
      <c r="A87" s="86">
        <v>76</v>
      </c>
      <c r="B87" s="87">
        <v>11.63</v>
      </c>
      <c r="C87" s="87">
        <v>11.63</v>
      </c>
    </row>
    <row r="88" spans="1:3" x14ac:dyDescent="0.25">
      <c r="A88" s="86">
        <v>77</v>
      </c>
      <c r="B88" s="87">
        <v>11.02</v>
      </c>
      <c r="C88" s="87">
        <v>11.02</v>
      </c>
    </row>
    <row r="89" spans="1:3" x14ac:dyDescent="0.25">
      <c r="A89" s="86">
        <v>78</v>
      </c>
      <c r="B89" s="87">
        <v>10.42</v>
      </c>
      <c r="C89" s="87">
        <v>10.42</v>
      </c>
    </row>
    <row r="90" spans="1:3" x14ac:dyDescent="0.25">
      <c r="A90" s="86">
        <v>79</v>
      </c>
      <c r="B90" s="87">
        <v>9.83</v>
      </c>
      <c r="C90" s="87">
        <v>9.83</v>
      </c>
    </row>
    <row r="91" spans="1:3" x14ac:dyDescent="0.25">
      <c r="A91" s="86">
        <v>80</v>
      </c>
      <c r="B91" s="87">
        <v>9.26</v>
      </c>
      <c r="C91" s="87">
        <v>9.26</v>
      </c>
    </row>
    <row r="92" spans="1:3" x14ac:dyDescent="0.25">
      <c r="A92" s="86">
        <v>81</v>
      </c>
      <c r="B92" s="87">
        <v>8.69</v>
      </c>
      <c r="C92" s="87">
        <v>8.69</v>
      </c>
    </row>
    <row r="93" spans="1:3" x14ac:dyDescent="0.25">
      <c r="A93" s="86">
        <v>82</v>
      </c>
      <c r="B93" s="87">
        <v>8.14</v>
      </c>
      <c r="C93" s="87">
        <v>8.14</v>
      </c>
    </row>
    <row r="94" spans="1:3" x14ac:dyDescent="0.25">
      <c r="A94" s="86">
        <v>83</v>
      </c>
      <c r="B94" s="87">
        <v>7.6</v>
      </c>
      <c r="C94" s="87">
        <v>7.6</v>
      </c>
    </row>
    <row r="95" spans="1:3" x14ac:dyDescent="0.25">
      <c r="A95" s="86">
        <v>84</v>
      </c>
      <c r="B95" s="87">
        <v>7.08</v>
      </c>
      <c r="C95" s="87">
        <v>7.08</v>
      </c>
    </row>
    <row r="96" spans="1:3" x14ac:dyDescent="0.25">
      <c r="A96" s="86">
        <v>85</v>
      </c>
      <c r="B96" s="87">
        <v>6.58</v>
      </c>
      <c r="C96" s="87">
        <v>6.58</v>
      </c>
    </row>
  </sheetData>
  <sheetProtection algorithmName="SHA-512" hashValue="xD7kN5bUVhxc6l+YlQmFXG/BjAaagOY2G1KnstL0gVmC0E3bgv8JlA8wIUr+n5iL4qrkqya75o7F+VGmBaMhYw==" saltValue="kA+lmsKghlBeHhiZtgQN3w==" spinCount="100000" sheet="1" objects="1" scenarios="1"/>
  <conditionalFormatting sqref="A6:A21">
    <cfRule type="expression" dxfId="549" priority="1" stopIfTrue="1">
      <formula>MOD(ROW(),2)=0</formula>
    </cfRule>
    <cfRule type="expression" dxfId="548" priority="2" stopIfTrue="1">
      <formula>MOD(ROW(),2)&lt;&gt;0</formula>
    </cfRule>
  </conditionalFormatting>
  <conditionalFormatting sqref="A26:A96">
    <cfRule type="expression" dxfId="547" priority="3" stopIfTrue="1">
      <formula>MOD(ROW(),2)=0</formula>
    </cfRule>
    <cfRule type="expression" dxfId="546" priority="4" stopIfTrue="1">
      <formula>MOD(ROW(),2)&lt;&gt;0</formula>
    </cfRule>
  </conditionalFormatting>
  <conditionalFormatting sqref="B17:B21">
    <cfRule type="expression" dxfId="545" priority="7" stopIfTrue="1">
      <formula>MOD(ROW(),2)=0</formula>
    </cfRule>
    <cfRule type="expression" dxfId="544" priority="8" stopIfTrue="1">
      <formula>MOD(ROW(),2)&lt;&gt;0</formula>
    </cfRule>
  </conditionalFormatting>
  <conditionalFormatting sqref="B6:C21">
    <cfRule type="expression" dxfId="543" priority="19" stopIfTrue="1">
      <formula>MOD(ROW(),2)=0</formula>
    </cfRule>
    <cfRule type="expression" dxfId="542" priority="20" stopIfTrue="1">
      <formula>MOD(ROW(),2)&lt;&gt;0</formula>
    </cfRule>
  </conditionalFormatting>
  <conditionalFormatting sqref="B26:C96">
    <cfRule type="expression" dxfId="541" priority="5" stopIfTrue="1">
      <formula>MOD(ROW(),2)=0</formula>
    </cfRule>
    <cfRule type="expression" dxfId="540" priority="6" stopIfTrue="1">
      <formula>MOD(ROW(),2)&lt;&gt;0</formula>
    </cfRule>
  </conditionalFormatting>
  <hyperlinks>
    <hyperlink ref="B24" location="Assumptions!A1" display="Assumptions" xr:uid="{35842C4C-56F5-4E0E-8242-FF4C7EC65F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0"/>
  <dimension ref="A1:I96"/>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2.5546875" style="27" customWidth="1"/>
    <col min="3" max="3" width="26.4414062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Credit - x-314</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2006</v>
      </c>
      <c r="C8" s="148"/>
    </row>
    <row r="9" spans="1:9" x14ac:dyDescent="0.25">
      <c r="A9" s="76" t="s">
        <v>80</v>
      </c>
      <c r="B9" s="148" t="s">
        <v>159</v>
      </c>
      <c r="C9" s="148"/>
    </row>
    <row r="10" spans="1:9" x14ac:dyDescent="0.25">
      <c r="A10" s="76" t="s">
        <v>6</v>
      </c>
      <c r="B10" s="148" t="s">
        <v>160</v>
      </c>
      <c r="C10" s="148"/>
    </row>
    <row r="11" spans="1:9" x14ac:dyDescent="0.25">
      <c r="A11" s="76" t="s">
        <v>81</v>
      </c>
      <c r="B11" s="148" t="s">
        <v>161</v>
      </c>
      <c r="C11" s="148"/>
    </row>
    <row r="12" spans="1:9" x14ac:dyDescent="0.25">
      <c r="A12" s="76" t="s">
        <v>82</v>
      </c>
      <c r="B12" s="148" t="s">
        <v>95</v>
      </c>
      <c r="C12" s="148"/>
    </row>
    <row r="13" spans="1:9" hidden="1" x14ac:dyDescent="0.25">
      <c r="A13" s="76" t="s">
        <v>342</v>
      </c>
      <c r="B13" s="148">
        <v>1</v>
      </c>
      <c r="C13" s="148"/>
    </row>
    <row r="14" spans="1:9" hidden="1" x14ac:dyDescent="0.25">
      <c r="A14" s="76" t="s">
        <v>84</v>
      </c>
      <c r="B14" s="148">
        <v>314</v>
      </c>
      <c r="C14" s="148"/>
    </row>
    <row r="15" spans="1:9" x14ac:dyDescent="0.25">
      <c r="A15" s="76" t="s">
        <v>345</v>
      </c>
      <c r="B15" s="148" t="s">
        <v>164</v>
      </c>
      <c r="C15" s="148"/>
    </row>
    <row r="16" spans="1:9" x14ac:dyDescent="0.25">
      <c r="A16" s="76" t="s">
        <v>86</v>
      </c>
      <c r="B16" s="148" t="s">
        <v>163</v>
      </c>
      <c r="C16" s="148"/>
    </row>
    <row r="17" spans="1:3" x14ac:dyDescent="0.25">
      <c r="A17" s="76" t="s">
        <v>414</v>
      </c>
      <c r="B17" s="148"/>
      <c r="C17" s="148"/>
    </row>
    <row r="18" spans="1:3" x14ac:dyDescent="0.25">
      <c r="A18" s="76" t="s">
        <v>88</v>
      </c>
      <c r="B18" s="152">
        <v>45070</v>
      </c>
      <c r="C18" s="148"/>
    </row>
    <row r="19" spans="1:3" x14ac:dyDescent="0.25">
      <c r="A19" s="76" t="s">
        <v>89</v>
      </c>
      <c r="B19" s="152">
        <v>45014</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6" spans="1:3" ht="26.4" x14ac:dyDescent="0.25">
      <c r="A26" s="85" t="s">
        <v>415</v>
      </c>
      <c r="B26" s="85" t="s">
        <v>433</v>
      </c>
      <c r="C26" s="85" t="s">
        <v>434</v>
      </c>
    </row>
    <row r="27" spans="1:3" x14ac:dyDescent="0.25">
      <c r="A27" s="86">
        <v>16</v>
      </c>
      <c r="B27" s="87">
        <v>8.92</v>
      </c>
      <c r="C27" s="87">
        <v>8.92</v>
      </c>
    </row>
    <row r="28" spans="1:3" x14ac:dyDescent="0.25">
      <c r="A28" s="86">
        <v>17</v>
      </c>
      <c r="B28" s="87">
        <v>9.0399999999999991</v>
      </c>
      <c r="C28" s="87">
        <v>9.0399999999999991</v>
      </c>
    </row>
    <row r="29" spans="1:3" x14ac:dyDescent="0.25">
      <c r="A29" s="86">
        <v>18</v>
      </c>
      <c r="B29" s="87">
        <v>9.17</v>
      </c>
      <c r="C29" s="87">
        <v>9.17</v>
      </c>
    </row>
    <row r="30" spans="1:3" x14ac:dyDescent="0.25">
      <c r="A30" s="86">
        <v>19</v>
      </c>
      <c r="B30" s="87">
        <v>9.3000000000000007</v>
      </c>
      <c r="C30" s="87">
        <v>9.3000000000000007</v>
      </c>
    </row>
    <row r="31" spans="1:3" x14ac:dyDescent="0.25">
      <c r="A31" s="86">
        <v>20</v>
      </c>
      <c r="B31" s="87">
        <v>9.43</v>
      </c>
      <c r="C31" s="87">
        <v>9.43</v>
      </c>
    </row>
    <row r="32" spans="1:3" x14ac:dyDescent="0.25">
      <c r="A32" s="86">
        <v>21</v>
      </c>
      <c r="B32" s="87">
        <v>9.56</v>
      </c>
      <c r="C32" s="87">
        <v>9.56</v>
      </c>
    </row>
    <row r="33" spans="1:3" x14ac:dyDescent="0.25">
      <c r="A33" s="86">
        <v>22</v>
      </c>
      <c r="B33" s="87">
        <v>9.69</v>
      </c>
      <c r="C33" s="87">
        <v>9.69</v>
      </c>
    </row>
    <row r="34" spans="1:3" x14ac:dyDescent="0.25">
      <c r="A34" s="86">
        <v>23</v>
      </c>
      <c r="B34" s="87">
        <v>9.83</v>
      </c>
      <c r="C34" s="87">
        <v>9.83</v>
      </c>
    </row>
    <row r="35" spans="1:3" x14ac:dyDescent="0.25">
      <c r="A35" s="86">
        <v>24</v>
      </c>
      <c r="B35" s="87">
        <v>9.9700000000000006</v>
      </c>
      <c r="C35" s="87">
        <v>9.9700000000000006</v>
      </c>
    </row>
    <row r="36" spans="1:3" x14ac:dyDescent="0.25">
      <c r="A36" s="86">
        <v>25</v>
      </c>
      <c r="B36" s="87">
        <v>10.11</v>
      </c>
      <c r="C36" s="87">
        <v>10.11</v>
      </c>
    </row>
    <row r="37" spans="1:3" x14ac:dyDescent="0.25">
      <c r="A37" s="86">
        <v>26</v>
      </c>
      <c r="B37" s="87">
        <v>10.25</v>
      </c>
      <c r="C37" s="87">
        <v>10.25</v>
      </c>
    </row>
    <row r="38" spans="1:3" x14ac:dyDescent="0.25">
      <c r="A38" s="86">
        <v>27</v>
      </c>
      <c r="B38" s="87">
        <v>10.39</v>
      </c>
      <c r="C38" s="87">
        <v>10.39</v>
      </c>
    </row>
    <row r="39" spans="1:3" x14ac:dyDescent="0.25">
      <c r="A39" s="86">
        <v>28</v>
      </c>
      <c r="B39" s="87">
        <v>10.54</v>
      </c>
      <c r="C39" s="87">
        <v>10.54</v>
      </c>
    </row>
    <row r="40" spans="1:3" x14ac:dyDescent="0.25">
      <c r="A40" s="86">
        <v>29</v>
      </c>
      <c r="B40" s="87">
        <v>10.69</v>
      </c>
      <c r="C40" s="87">
        <v>10.69</v>
      </c>
    </row>
    <row r="41" spans="1:3" x14ac:dyDescent="0.25">
      <c r="A41" s="86">
        <v>30</v>
      </c>
      <c r="B41" s="87">
        <v>10.84</v>
      </c>
      <c r="C41" s="87">
        <v>10.84</v>
      </c>
    </row>
    <row r="42" spans="1:3" x14ac:dyDescent="0.25">
      <c r="A42" s="86">
        <v>31</v>
      </c>
      <c r="B42" s="87">
        <v>10.99</v>
      </c>
      <c r="C42" s="87">
        <v>10.99</v>
      </c>
    </row>
    <row r="43" spans="1:3" x14ac:dyDescent="0.25">
      <c r="A43" s="86">
        <v>32</v>
      </c>
      <c r="B43" s="87">
        <v>11.15</v>
      </c>
      <c r="C43" s="87">
        <v>11.15</v>
      </c>
    </row>
    <row r="44" spans="1:3" x14ac:dyDescent="0.25">
      <c r="A44" s="86">
        <v>33</v>
      </c>
      <c r="B44" s="87">
        <v>11.3</v>
      </c>
      <c r="C44" s="87">
        <v>11.3</v>
      </c>
    </row>
    <row r="45" spans="1:3" x14ac:dyDescent="0.25">
      <c r="A45" s="86">
        <v>34</v>
      </c>
      <c r="B45" s="87">
        <v>11.46</v>
      </c>
      <c r="C45" s="87">
        <v>11.46</v>
      </c>
    </row>
    <row r="46" spans="1:3" x14ac:dyDescent="0.25">
      <c r="A46" s="86">
        <v>35</v>
      </c>
      <c r="B46" s="87">
        <v>11.63</v>
      </c>
      <c r="C46" s="87">
        <v>11.63</v>
      </c>
    </row>
    <row r="47" spans="1:3" x14ac:dyDescent="0.25">
      <c r="A47" s="86">
        <v>36</v>
      </c>
      <c r="B47" s="87">
        <v>11.79</v>
      </c>
      <c r="C47" s="87">
        <v>11.79</v>
      </c>
    </row>
    <row r="48" spans="1:3" x14ac:dyDescent="0.25">
      <c r="A48" s="86">
        <v>37</v>
      </c>
      <c r="B48" s="87">
        <v>11.96</v>
      </c>
      <c r="C48" s="87">
        <v>11.96</v>
      </c>
    </row>
    <row r="49" spans="1:3" x14ac:dyDescent="0.25">
      <c r="A49" s="86">
        <v>38</v>
      </c>
      <c r="B49" s="87">
        <v>12.13</v>
      </c>
      <c r="C49" s="87">
        <v>12.13</v>
      </c>
    </row>
    <row r="50" spans="1:3" x14ac:dyDescent="0.25">
      <c r="A50" s="86">
        <v>39</v>
      </c>
      <c r="B50" s="87">
        <v>12.31</v>
      </c>
      <c r="C50" s="87">
        <v>12.31</v>
      </c>
    </row>
    <row r="51" spans="1:3" x14ac:dyDescent="0.25">
      <c r="A51" s="86">
        <v>40</v>
      </c>
      <c r="B51" s="87">
        <v>12.48</v>
      </c>
      <c r="C51" s="87">
        <v>12.48</v>
      </c>
    </row>
    <row r="52" spans="1:3" x14ac:dyDescent="0.25">
      <c r="A52" s="86">
        <v>41</v>
      </c>
      <c r="B52" s="87">
        <v>12.67</v>
      </c>
      <c r="C52" s="87">
        <v>12.67</v>
      </c>
    </row>
    <row r="53" spans="1:3" x14ac:dyDescent="0.25">
      <c r="A53" s="86">
        <v>42</v>
      </c>
      <c r="B53" s="87">
        <v>12.85</v>
      </c>
      <c r="C53" s="87">
        <v>12.85</v>
      </c>
    </row>
    <row r="54" spans="1:3" x14ac:dyDescent="0.25">
      <c r="A54" s="86">
        <v>43</v>
      </c>
      <c r="B54" s="87">
        <v>13.04</v>
      </c>
      <c r="C54" s="87">
        <v>13.04</v>
      </c>
    </row>
    <row r="55" spans="1:3" x14ac:dyDescent="0.25">
      <c r="A55" s="86">
        <v>44</v>
      </c>
      <c r="B55" s="87">
        <v>13.24</v>
      </c>
      <c r="C55" s="87">
        <v>13.24</v>
      </c>
    </row>
    <row r="56" spans="1:3" x14ac:dyDescent="0.25">
      <c r="A56" s="86">
        <v>45</v>
      </c>
      <c r="B56" s="87">
        <v>13.44</v>
      </c>
      <c r="C56" s="87">
        <v>13.44</v>
      </c>
    </row>
    <row r="57" spans="1:3" x14ac:dyDescent="0.25">
      <c r="A57" s="86">
        <v>46</v>
      </c>
      <c r="B57" s="87">
        <v>13.64</v>
      </c>
      <c r="C57" s="87">
        <v>13.64</v>
      </c>
    </row>
    <row r="58" spans="1:3" x14ac:dyDescent="0.25">
      <c r="A58" s="86">
        <v>47</v>
      </c>
      <c r="B58" s="87">
        <v>13.85</v>
      </c>
      <c r="C58" s="87">
        <v>13.85</v>
      </c>
    </row>
    <row r="59" spans="1:3" x14ac:dyDescent="0.25">
      <c r="A59" s="86">
        <v>48</v>
      </c>
      <c r="B59" s="87">
        <v>14.07</v>
      </c>
      <c r="C59" s="87">
        <v>14.07</v>
      </c>
    </row>
    <row r="60" spans="1:3" x14ac:dyDescent="0.25">
      <c r="A60" s="86">
        <v>49</v>
      </c>
      <c r="B60" s="87">
        <v>14.29</v>
      </c>
      <c r="C60" s="87">
        <v>14.29</v>
      </c>
    </row>
    <row r="61" spans="1:3" x14ac:dyDescent="0.25">
      <c r="A61" s="86">
        <v>50</v>
      </c>
      <c r="B61" s="87">
        <v>14.52</v>
      </c>
      <c r="C61" s="87">
        <v>14.52</v>
      </c>
    </row>
    <row r="62" spans="1:3" x14ac:dyDescent="0.25">
      <c r="A62" s="86">
        <v>51</v>
      </c>
      <c r="B62" s="87">
        <v>14.76</v>
      </c>
      <c r="C62" s="87">
        <v>14.76</v>
      </c>
    </row>
    <row r="63" spans="1:3" x14ac:dyDescent="0.25">
      <c r="A63" s="86">
        <v>52</v>
      </c>
      <c r="B63" s="87">
        <v>15</v>
      </c>
      <c r="C63" s="87">
        <v>15</v>
      </c>
    </row>
    <row r="64" spans="1:3" x14ac:dyDescent="0.25">
      <c r="A64" s="86">
        <v>53</v>
      </c>
      <c r="B64" s="87">
        <v>15.25</v>
      </c>
      <c r="C64" s="87">
        <v>15.25</v>
      </c>
    </row>
    <row r="65" spans="1:3" x14ac:dyDescent="0.25">
      <c r="A65" s="86">
        <v>54</v>
      </c>
      <c r="B65" s="87">
        <v>15.51</v>
      </c>
      <c r="C65" s="87">
        <v>15.51</v>
      </c>
    </row>
    <row r="66" spans="1:3" x14ac:dyDescent="0.25">
      <c r="A66" s="86">
        <v>55</v>
      </c>
      <c r="B66" s="87">
        <v>15.77</v>
      </c>
      <c r="C66" s="87">
        <v>15.77</v>
      </c>
    </row>
    <row r="67" spans="1:3" x14ac:dyDescent="0.25">
      <c r="A67" s="86">
        <v>56</v>
      </c>
      <c r="B67" s="87">
        <v>16.04</v>
      </c>
      <c r="C67" s="87">
        <v>16.04</v>
      </c>
    </row>
    <row r="68" spans="1:3" x14ac:dyDescent="0.25">
      <c r="A68" s="86">
        <v>57</v>
      </c>
      <c r="B68" s="87">
        <v>16.329999999999998</v>
      </c>
      <c r="C68" s="87">
        <v>16.329999999999998</v>
      </c>
    </row>
    <row r="69" spans="1:3" x14ac:dyDescent="0.25">
      <c r="A69" s="86">
        <v>58</v>
      </c>
      <c r="B69" s="87">
        <v>16.62</v>
      </c>
      <c r="C69" s="87">
        <v>16.62</v>
      </c>
    </row>
    <row r="70" spans="1:3" x14ac:dyDescent="0.25">
      <c r="A70" s="86">
        <v>59</v>
      </c>
      <c r="B70" s="87">
        <v>16.920000000000002</v>
      </c>
      <c r="C70" s="87">
        <v>16.920000000000002</v>
      </c>
    </row>
    <row r="71" spans="1:3" x14ac:dyDescent="0.25">
      <c r="A71" s="86">
        <v>60</v>
      </c>
      <c r="B71" s="87">
        <v>17.239999999999998</v>
      </c>
      <c r="C71" s="87">
        <v>17.239999999999998</v>
      </c>
    </row>
    <row r="72" spans="1:3" x14ac:dyDescent="0.25">
      <c r="A72" s="86">
        <v>61</v>
      </c>
      <c r="B72" s="87">
        <v>17.57</v>
      </c>
      <c r="C72" s="87">
        <v>17.57</v>
      </c>
    </row>
    <row r="73" spans="1:3" x14ac:dyDescent="0.25">
      <c r="A73" s="86">
        <v>62</v>
      </c>
      <c r="B73" s="87">
        <v>17.91</v>
      </c>
      <c r="C73" s="87">
        <v>17.91</v>
      </c>
    </row>
    <row r="74" spans="1:3" x14ac:dyDescent="0.25">
      <c r="A74" s="86">
        <v>63</v>
      </c>
      <c r="B74" s="87">
        <v>18.27</v>
      </c>
      <c r="C74" s="87">
        <v>18.27</v>
      </c>
    </row>
    <row r="75" spans="1:3" x14ac:dyDescent="0.25">
      <c r="A75" s="86">
        <v>64</v>
      </c>
      <c r="B75" s="87">
        <v>18.64</v>
      </c>
      <c r="C75" s="87">
        <v>18.64</v>
      </c>
    </row>
    <row r="76" spans="1:3" x14ac:dyDescent="0.25">
      <c r="A76" s="86">
        <v>65</v>
      </c>
      <c r="B76" s="87">
        <v>18.52</v>
      </c>
      <c r="C76" s="87">
        <v>18.52</v>
      </c>
    </row>
    <row r="77" spans="1:3" x14ac:dyDescent="0.25">
      <c r="A77" s="86">
        <v>66</v>
      </c>
      <c r="B77" s="87">
        <v>17.88</v>
      </c>
      <c r="C77" s="87">
        <v>17.88</v>
      </c>
    </row>
    <row r="78" spans="1:3" x14ac:dyDescent="0.25">
      <c r="A78" s="86">
        <v>67</v>
      </c>
      <c r="B78" s="87">
        <v>17.239999999999998</v>
      </c>
      <c r="C78" s="87">
        <v>17.239999999999998</v>
      </c>
    </row>
    <row r="79" spans="1:3" x14ac:dyDescent="0.25">
      <c r="A79" s="86">
        <v>68</v>
      </c>
      <c r="B79" s="87">
        <v>16.61</v>
      </c>
      <c r="C79" s="87">
        <v>16.61</v>
      </c>
    </row>
    <row r="80" spans="1:3" x14ac:dyDescent="0.25">
      <c r="A80" s="86">
        <v>69</v>
      </c>
      <c r="B80" s="87">
        <v>15.98</v>
      </c>
      <c r="C80" s="87">
        <v>15.98</v>
      </c>
    </row>
    <row r="81" spans="1:3" x14ac:dyDescent="0.25">
      <c r="A81" s="86">
        <v>70</v>
      </c>
      <c r="B81" s="87">
        <v>15.35</v>
      </c>
      <c r="C81" s="87">
        <v>15.35</v>
      </c>
    </row>
    <row r="82" spans="1:3" x14ac:dyDescent="0.25">
      <c r="A82" s="86">
        <v>71</v>
      </c>
      <c r="B82" s="87">
        <v>14.72</v>
      </c>
      <c r="C82" s="87">
        <v>14.72</v>
      </c>
    </row>
    <row r="83" spans="1:3" x14ac:dyDescent="0.25">
      <c r="A83" s="86">
        <v>72</v>
      </c>
      <c r="B83" s="87">
        <v>14.1</v>
      </c>
      <c r="C83" s="87">
        <v>14.1</v>
      </c>
    </row>
    <row r="84" spans="1:3" x14ac:dyDescent="0.25">
      <c r="A84" s="86">
        <v>73</v>
      </c>
      <c r="B84" s="87">
        <v>13.48</v>
      </c>
      <c r="C84" s="87">
        <v>13.48</v>
      </c>
    </row>
    <row r="85" spans="1:3" x14ac:dyDescent="0.25">
      <c r="A85" s="86">
        <v>74</v>
      </c>
      <c r="B85" s="87">
        <v>12.86</v>
      </c>
      <c r="C85" s="87">
        <v>12.86</v>
      </c>
    </row>
    <row r="86" spans="1:3" x14ac:dyDescent="0.25">
      <c r="A86" s="86">
        <v>75</v>
      </c>
      <c r="B86" s="87">
        <v>12.24</v>
      </c>
      <c r="C86" s="87">
        <v>12.24</v>
      </c>
    </row>
    <row r="87" spans="1:3" x14ac:dyDescent="0.25">
      <c r="A87" s="86">
        <v>76</v>
      </c>
      <c r="B87" s="87">
        <v>11.63</v>
      </c>
      <c r="C87" s="87">
        <v>11.63</v>
      </c>
    </row>
    <row r="88" spans="1:3" x14ac:dyDescent="0.25">
      <c r="A88" s="86">
        <v>77</v>
      </c>
      <c r="B88" s="87">
        <v>11.02</v>
      </c>
      <c r="C88" s="87">
        <v>11.02</v>
      </c>
    </row>
    <row r="89" spans="1:3" x14ac:dyDescent="0.25">
      <c r="A89" s="86">
        <v>78</v>
      </c>
      <c r="B89" s="87">
        <v>10.42</v>
      </c>
      <c r="C89" s="87">
        <v>10.42</v>
      </c>
    </row>
    <row r="90" spans="1:3" x14ac:dyDescent="0.25">
      <c r="A90" s="86">
        <v>79</v>
      </c>
      <c r="B90" s="87">
        <v>9.83</v>
      </c>
      <c r="C90" s="87">
        <v>9.83</v>
      </c>
    </row>
    <row r="91" spans="1:3" x14ac:dyDescent="0.25">
      <c r="A91" s="86">
        <v>80</v>
      </c>
      <c r="B91" s="87">
        <v>9.26</v>
      </c>
      <c r="C91" s="87">
        <v>9.26</v>
      </c>
    </row>
    <row r="92" spans="1:3" x14ac:dyDescent="0.25">
      <c r="A92" s="86">
        <v>81</v>
      </c>
      <c r="B92" s="87">
        <v>8.69</v>
      </c>
      <c r="C92" s="87">
        <v>8.69</v>
      </c>
    </row>
    <row r="93" spans="1:3" x14ac:dyDescent="0.25">
      <c r="A93" s="86">
        <v>82</v>
      </c>
      <c r="B93" s="87">
        <v>8.14</v>
      </c>
      <c r="C93" s="87">
        <v>8.14</v>
      </c>
    </row>
    <row r="94" spans="1:3" x14ac:dyDescent="0.25">
      <c r="A94" s="86">
        <v>83</v>
      </c>
      <c r="B94" s="87">
        <v>7.6</v>
      </c>
      <c r="C94" s="87">
        <v>7.6</v>
      </c>
    </row>
    <row r="95" spans="1:3" x14ac:dyDescent="0.25">
      <c r="A95" s="86">
        <v>84</v>
      </c>
      <c r="B95" s="87">
        <v>7.08</v>
      </c>
      <c r="C95" s="87">
        <v>7.08</v>
      </c>
    </row>
    <row r="96" spans="1:3" x14ac:dyDescent="0.25">
      <c r="A96" s="86">
        <v>85</v>
      </c>
      <c r="B96" s="87">
        <v>6.58</v>
      </c>
      <c r="C96" s="87">
        <v>6.58</v>
      </c>
    </row>
  </sheetData>
  <sheetProtection algorithmName="SHA-512" hashValue="WKIB7WZ9yx9a1qparG7mtkdULlg2nhYd5Abd4sqDNUfBTAnxUtcvorXxjIJx0Qex1GlEENxCmRatGgRsQzLNSQ==" saltValue="z0kUl3KJ3fjZC+eQFxcS/Q==" spinCount="100000" sheet="1" objects="1" scenarios="1"/>
  <conditionalFormatting sqref="A6:A21">
    <cfRule type="expression" dxfId="539" priority="1" stopIfTrue="1">
      <formula>MOD(ROW(),2)=0</formula>
    </cfRule>
    <cfRule type="expression" dxfId="538" priority="2" stopIfTrue="1">
      <formula>MOD(ROW(),2)&lt;&gt;0</formula>
    </cfRule>
  </conditionalFormatting>
  <conditionalFormatting sqref="A26:A96">
    <cfRule type="expression" dxfId="537" priority="3" stopIfTrue="1">
      <formula>MOD(ROW(),2)=0</formula>
    </cfRule>
    <cfRule type="expression" dxfId="536" priority="4" stopIfTrue="1">
      <formula>MOD(ROW(),2)&lt;&gt;0</formula>
    </cfRule>
  </conditionalFormatting>
  <conditionalFormatting sqref="B17:B21">
    <cfRule type="expression" dxfId="535" priority="7" stopIfTrue="1">
      <formula>MOD(ROW(),2)=0</formula>
    </cfRule>
    <cfRule type="expression" dxfId="534" priority="8" stopIfTrue="1">
      <formula>MOD(ROW(),2)&lt;&gt;0</formula>
    </cfRule>
  </conditionalFormatting>
  <conditionalFormatting sqref="B6:C21">
    <cfRule type="expression" dxfId="533" priority="19" stopIfTrue="1">
      <formula>MOD(ROW(),2)=0</formula>
    </cfRule>
    <cfRule type="expression" dxfId="532" priority="20" stopIfTrue="1">
      <formula>MOD(ROW(),2)&lt;&gt;0</formula>
    </cfRule>
  </conditionalFormatting>
  <conditionalFormatting sqref="B26:C96">
    <cfRule type="expression" dxfId="531" priority="5" stopIfTrue="1">
      <formula>MOD(ROW(),2)=0</formula>
    </cfRule>
    <cfRule type="expression" dxfId="530" priority="6" stopIfTrue="1">
      <formula>MOD(ROW(),2)&lt;&gt;0</formula>
    </cfRule>
  </conditionalFormatting>
  <hyperlinks>
    <hyperlink ref="B24" location="Assumptions!A1" display="Assumptions" xr:uid="{7E37DFC3-E63B-48CD-B4B1-79DCC37BAB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1"/>
  <dimension ref="A1:I96"/>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2.5546875" style="27" customWidth="1"/>
    <col min="3" max="3" width="28.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Credit - x-315</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2006</v>
      </c>
      <c r="C8" s="148"/>
    </row>
    <row r="9" spans="1:9" x14ac:dyDescent="0.25">
      <c r="A9" s="76" t="s">
        <v>80</v>
      </c>
      <c r="B9" s="148" t="s">
        <v>159</v>
      </c>
      <c r="C9" s="148"/>
    </row>
    <row r="10" spans="1:9" x14ac:dyDescent="0.25">
      <c r="A10" s="76" t="s">
        <v>6</v>
      </c>
      <c r="B10" s="148" t="s">
        <v>165</v>
      </c>
      <c r="C10" s="148"/>
    </row>
    <row r="11" spans="1:9" x14ac:dyDescent="0.25">
      <c r="A11" s="76" t="s">
        <v>81</v>
      </c>
      <c r="B11" s="148" t="s">
        <v>161</v>
      </c>
      <c r="C11" s="148"/>
    </row>
    <row r="12" spans="1:9" x14ac:dyDescent="0.25">
      <c r="A12" s="76" t="s">
        <v>82</v>
      </c>
      <c r="B12" s="148" t="s">
        <v>95</v>
      </c>
      <c r="C12" s="148"/>
    </row>
    <row r="13" spans="1:9" hidden="1" x14ac:dyDescent="0.25">
      <c r="A13" s="76" t="s">
        <v>342</v>
      </c>
      <c r="B13" s="148">
        <v>1</v>
      </c>
      <c r="C13" s="148"/>
    </row>
    <row r="14" spans="1:9" hidden="1" x14ac:dyDescent="0.25">
      <c r="A14" s="76" t="s">
        <v>84</v>
      </c>
      <c r="B14" s="148">
        <v>315</v>
      </c>
      <c r="C14" s="148"/>
    </row>
    <row r="15" spans="1:9" x14ac:dyDescent="0.25">
      <c r="A15" s="76" t="s">
        <v>345</v>
      </c>
      <c r="B15" s="148" t="s">
        <v>166</v>
      </c>
      <c r="C15" s="148"/>
    </row>
    <row r="16" spans="1:9" x14ac:dyDescent="0.25">
      <c r="A16" s="76" t="s">
        <v>86</v>
      </c>
      <c r="B16" s="148" t="s">
        <v>167</v>
      </c>
      <c r="C16" s="148"/>
    </row>
    <row r="17" spans="1:3" x14ac:dyDescent="0.25">
      <c r="A17" s="76" t="s">
        <v>414</v>
      </c>
      <c r="B17" s="148"/>
      <c r="C17" s="148"/>
    </row>
    <row r="18" spans="1:3" x14ac:dyDescent="0.25">
      <c r="A18" s="76" t="s">
        <v>88</v>
      </c>
      <c r="B18" s="152">
        <v>45070</v>
      </c>
      <c r="C18" s="148"/>
    </row>
    <row r="19" spans="1:3" x14ac:dyDescent="0.25">
      <c r="A19" s="76" t="s">
        <v>89</v>
      </c>
      <c r="B19" s="152">
        <v>45014</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6" spans="1:3" ht="26.4" x14ac:dyDescent="0.25">
      <c r="A26" s="85" t="s">
        <v>415</v>
      </c>
      <c r="B26" s="85" t="s">
        <v>433</v>
      </c>
      <c r="C26" s="85" t="s">
        <v>434</v>
      </c>
    </row>
    <row r="27" spans="1:3" x14ac:dyDescent="0.25">
      <c r="A27" s="86">
        <v>16</v>
      </c>
      <c r="B27" s="87">
        <v>11.11</v>
      </c>
      <c r="C27" s="87">
        <v>11.11</v>
      </c>
    </row>
    <row r="28" spans="1:3" x14ac:dyDescent="0.25">
      <c r="A28" s="86">
        <v>17</v>
      </c>
      <c r="B28" s="87">
        <v>11.27</v>
      </c>
      <c r="C28" s="87">
        <v>11.27</v>
      </c>
    </row>
    <row r="29" spans="1:3" x14ac:dyDescent="0.25">
      <c r="A29" s="86">
        <v>18</v>
      </c>
      <c r="B29" s="87">
        <v>11.43</v>
      </c>
      <c r="C29" s="87">
        <v>11.43</v>
      </c>
    </row>
    <row r="30" spans="1:3" x14ac:dyDescent="0.25">
      <c r="A30" s="86">
        <v>19</v>
      </c>
      <c r="B30" s="87">
        <v>11.6</v>
      </c>
      <c r="C30" s="87">
        <v>11.6</v>
      </c>
    </row>
    <row r="31" spans="1:3" x14ac:dyDescent="0.25">
      <c r="A31" s="86">
        <v>20</v>
      </c>
      <c r="B31" s="87">
        <v>11.77</v>
      </c>
      <c r="C31" s="87">
        <v>11.77</v>
      </c>
    </row>
    <row r="32" spans="1:3" x14ac:dyDescent="0.25">
      <c r="A32" s="86">
        <v>21</v>
      </c>
      <c r="B32" s="87">
        <v>11.94</v>
      </c>
      <c r="C32" s="87">
        <v>11.94</v>
      </c>
    </row>
    <row r="33" spans="1:3" x14ac:dyDescent="0.25">
      <c r="A33" s="86">
        <v>22</v>
      </c>
      <c r="B33" s="87">
        <v>12.11</v>
      </c>
      <c r="C33" s="87">
        <v>12.11</v>
      </c>
    </row>
    <row r="34" spans="1:3" x14ac:dyDescent="0.25">
      <c r="A34" s="86">
        <v>23</v>
      </c>
      <c r="B34" s="87">
        <v>12.29</v>
      </c>
      <c r="C34" s="87">
        <v>12.29</v>
      </c>
    </row>
    <row r="35" spans="1:3" x14ac:dyDescent="0.25">
      <c r="A35" s="86">
        <v>24</v>
      </c>
      <c r="B35" s="87">
        <v>12.46</v>
      </c>
      <c r="C35" s="87">
        <v>12.46</v>
      </c>
    </row>
    <row r="36" spans="1:3" x14ac:dyDescent="0.25">
      <c r="A36" s="86">
        <v>25</v>
      </c>
      <c r="B36" s="87">
        <v>12.65</v>
      </c>
      <c r="C36" s="87">
        <v>12.65</v>
      </c>
    </row>
    <row r="37" spans="1:3" x14ac:dyDescent="0.25">
      <c r="A37" s="86">
        <v>26</v>
      </c>
      <c r="B37" s="87">
        <v>12.83</v>
      </c>
      <c r="C37" s="87">
        <v>12.83</v>
      </c>
    </row>
    <row r="38" spans="1:3" x14ac:dyDescent="0.25">
      <c r="A38" s="86">
        <v>27</v>
      </c>
      <c r="B38" s="87">
        <v>13.02</v>
      </c>
      <c r="C38" s="87">
        <v>13.02</v>
      </c>
    </row>
    <row r="39" spans="1:3" x14ac:dyDescent="0.25">
      <c r="A39" s="86">
        <v>28</v>
      </c>
      <c r="B39" s="87">
        <v>13.21</v>
      </c>
      <c r="C39" s="87">
        <v>13.21</v>
      </c>
    </row>
    <row r="40" spans="1:3" x14ac:dyDescent="0.25">
      <c r="A40" s="86">
        <v>29</v>
      </c>
      <c r="B40" s="87">
        <v>13.4</v>
      </c>
      <c r="C40" s="87">
        <v>13.4</v>
      </c>
    </row>
    <row r="41" spans="1:3" x14ac:dyDescent="0.25">
      <c r="A41" s="86">
        <v>30</v>
      </c>
      <c r="B41" s="87">
        <v>13.59</v>
      </c>
      <c r="C41" s="87">
        <v>13.59</v>
      </c>
    </row>
    <row r="42" spans="1:3" x14ac:dyDescent="0.25">
      <c r="A42" s="86">
        <v>31</v>
      </c>
      <c r="B42" s="87">
        <v>13.79</v>
      </c>
      <c r="C42" s="87">
        <v>13.79</v>
      </c>
    </row>
    <row r="43" spans="1:3" x14ac:dyDescent="0.25">
      <c r="A43" s="86">
        <v>32</v>
      </c>
      <c r="B43" s="87">
        <v>13.99</v>
      </c>
      <c r="C43" s="87">
        <v>13.99</v>
      </c>
    </row>
    <row r="44" spans="1:3" x14ac:dyDescent="0.25">
      <c r="A44" s="86">
        <v>33</v>
      </c>
      <c r="B44" s="87">
        <v>14.2</v>
      </c>
      <c r="C44" s="87">
        <v>14.2</v>
      </c>
    </row>
    <row r="45" spans="1:3" x14ac:dyDescent="0.25">
      <c r="A45" s="86">
        <v>34</v>
      </c>
      <c r="B45" s="87">
        <v>14.41</v>
      </c>
      <c r="C45" s="87">
        <v>14.41</v>
      </c>
    </row>
    <row r="46" spans="1:3" x14ac:dyDescent="0.25">
      <c r="A46" s="86">
        <v>35</v>
      </c>
      <c r="B46" s="87">
        <v>14.62</v>
      </c>
      <c r="C46" s="87">
        <v>14.62</v>
      </c>
    </row>
    <row r="47" spans="1:3" x14ac:dyDescent="0.25">
      <c r="A47" s="86">
        <v>36</v>
      </c>
      <c r="B47" s="87">
        <v>14.84</v>
      </c>
      <c r="C47" s="87">
        <v>14.84</v>
      </c>
    </row>
    <row r="48" spans="1:3" x14ac:dyDescent="0.25">
      <c r="A48" s="86">
        <v>37</v>
      </c>
      <c r="B48" s="87">
        <v>15.06</v>
      </c>
      <c r="C48" s="87">
        <v>15.06</v>
      </c>
    </row>
    <row r="49" spans="1:3" x14ac:dyDescent="0.25">
      <c r="A49" s="86">
        <v>38</v>
      </c>
      <c r="B49" s="87">
        <v>15.28</v>
      </c>
      <c r="C49" s="87">
        <v>15.28</v>
      </c>
    </row>
    <row r="50" spans="1:3" x14ac:dyDescent="0.25">
      <c r="A50" s="86">
        <v>39</v>
      </c>
      <c r="B50" s="87">
        <v>15.51</v>
      </c>
      <c r="C50" s="87">
        <v>15.51</v>
      </c>
    </row>
    <row r="51" spans="1:3" x14ac:dyDescent="0.25">
      <c r="A51" s="86">
        <v>40</v>
      </c>
      <c r="B51" s="87">
        <v>15.75</v>
      </c>
      <c r="C51" s="87">
        <v>15.75</v>
      </c>
    </row>
    <row r="52" spans="1:3" x14ac:dyDescent="0.25">
      <c r="A52" s="86">
        <v>41</v>
      </c>
      <c r="B52" s="87">
        <v>15.98</v>
      </c>
      <c r="C52" s="87">
        <v>15.98</v>
      </c>
    </row>
    <row r="53" spans="1:3" x14ac:dyDescent="0.25">
      <c r="A53" s="86">
        <v>42</v>
      </c>
      <c r="B53" s="87">
        <v>16.23</v>
      </c>
      <c r="C53" s="87">
        <v>16.23</v>
      </c>
    </row>
    <row r="54" spans="1:3" x14ac:dyDescent="0.25">
      <c r="A54" s="86">
        <v>43</v>
      </c>
      <c r="B54" s="87">
        <v>16.48</v>
      </c>
      <c r="C54" s="87">
        <v>16.48</v>
      </c>
    </row>
    <row r="55" spans="1:3" x14ac:dyDescent="0.25">
      <c r="A55" s="86">
        <v>44</v>
      </c>
      <c r="B55" s="87">
        <v>16.73</v>
      </c>
      <c r="C55" s="87">
        <v>16.73</v>
      </c>
    </row>
    <row r="56" spans="1:3" x14ac:dyDescent="0.25">
      <c r="A56" s="86">
        <v>45</v>
      </c>
      <c r="B56" s="87">
        <v>17</v>
      </c>
      <c r="C56" s="87">
        <v>17</v>
      </c>
    </row>
    <row r="57" spans="1:3" x14ac:dyDescent="0.25">
      <c r="A57" s="86">
        <v>46</v>
      </c>
      <c r="B57" s="87">
        <v>17.27</v>
      </c>
      <c r="C57" s="87">
        <v>17.27</v>
      </c>
    </row>
    <row r="58" spans="1:3" x14ac:dyDescent="0.25">
      <c r="A58" s="86">
        <v>47</v>
      </c>
      <c r="B58" s="87">
        <v>17.54</v>
      </c>
      <c r="C58" s="87">
        <v>17.54</v>
      </c>
    </row>
    <row r="59" spans="1:3" x14ac:dyDescent="0.25">
      <c r="A59" s="86">
        <v>48</v>
      </c>
      <c r="B59" s="87">
        <v>17.829999999999998</v>
      </c>
      <c r="C59" s="87">
        <v>17.829999999999998</v>
      </c>
    </row>
    <row r="60" spans="1:3" x14ac:dyDescent="0.25">
      <c r="A60" s="86">
        <v>49</v>
      </c>
      <c r="B60" s="87">
        <v>18.12</v>
      </c>
      <c r="C60" s="87">
        <v>18.12</v>
      </c>
    </row>
    <row r="61" spans="1:3" x14ac:dyDescent="0.25">
      <c r="A61" s="86">
        <v>50</v>
      </c>
      <c r="B61" s="87">
        <v>18.420000000000002</v>
      </c>
      <c r="C61" s="87">
        <v>18.420000000000002</v>
      </c>
    </row>
    <row r="62" spans="1:3" x14ac:dyDescent="0.25">
      <c r="A62" s="86">
        <v>51</v>
      </c>
      <c r="B62" s="87">
        <v>18.73</v>
      </c>
      <c r="C62" s="87">
        <v>18.73</v>
      </c>
    </row>
    <row r="63" spans="1:3" x14ac:dyDescent="0.25">
      <c r="A63" s="86">
        <v>52</v>
      </c>
      <c r="B63" s="87">
        <v>19.05</v>
      </c>
      <c r="C63" s="87">
        <v>19.05</v>
      </c>
    </row>
    <row r="64" spans="1:3" x14ac:dyDescent="0.25">
      <c r="A64" s="86">
        <v>53</v>
      </c>
      <c r="B64" s="87">
        <v>19.38</v>
      </c>
      <c r="C64" s="87">
        <v>19.38</v>
      </c>
    </row>
    <row r="65" spans="1:3" x14ac:dyDescent="0.25">
      <c r="A65" s="86">
        <v>54</v>
      </c>
      <c r="B65" s="87">
        <v>19.72</v>
      </c>
      <c r="C65" s="87">
        <v>19.72</v>
      </c>
    </row>
    <row r="66" spans="1:3" x14ac:dyDescent="0.25">
      <c r="A66" s="86">
        <v>55</v>
      </c>
      <c r="B66" s="87">
        <v>20.07</v>
      </c>
      <c r="C66" s="87">
        <v>20.07</v>
      </c>
    </row>
    <row r="67" spans="1:3" x14ac:dyDescent="0.25">
      <c r="A67" s="86">
        <v>56</v>
      </c>
      <c r="B67" s="87">
        <v>20.43</v>
      </c>
      <c r="C67" s="87">
        <v>20.43</v>
      </c>
    </row>
    <row r="68" spans="1:3" x14ac:dyDescent="0.25">
      <c r="A68" s="86">
        <v>57</v>
      </c>
      <c r="B68" s="87">
        <v>20.8</v>
      </c>
      <c r="C68" s="87">
        <v>20.8</v>
      </c>
    </row>
    <row r="69" spans="1:3" x14ac:dyDescent="0.25">
      <c r="A69" s="86">
        <v>58</v>
      </c>
      <c r="B69" s="87">
        <v>21.19</v>
      </c>
      <c r="C69" s="87">
        <v>21.19</v>
      </c>
    </row>
    <row r="70" spans="1:3" x14ac:dyDescent="0.25">
      <c r="A70" s="86">
        <v>59</v>
      </c>
      <c r="B70" s="87">
        <v>21.59</v>
      </c>
      <c r="C70" s="87">
        <v>21.59</v>
      </c>
    </row>
    <row r="71" spans="1:3" x14ac:dyDescent="0.25">
      <c r="A71" s="86">
        <v>60</v>
      </c>
      <c r="B71" s="87">
        <v>21.49</v>
      </c>
      <c r="C71" s="87">
        <v>21.49</v>
      </c>
    </row>
    <row r="72" spans="1:3" x14ac:dyDescent="0.25">
      <c r="A72" s="86">
        <v>61</v>
      </c>
      <c r="B72" s="87">
        <v>20.88</v>
      </c>
      <c r="C72" s="87">
        <v>20.88</v>
      </c>
    </row>
    <row r="73" spans="1:3" x14ac:dyDescent="0.25">
      <c r="A73" s="86">
        <v>62</v>
      </c>
      <c r="B73" s="87">
        <v>20.27</v>
      </c>
      <c r="C73" s="87">
        <v>20.27</v>
      </c>
    </row>
    <row r="74" spans="1:3" x14ac:dyDescent="0.25">
      <c r="A74" s="86">
        <v>63</v>
      </c>
      <c r="B74" s="87">
        <v>19.66</v>
      </c>
      <c r="C74" s="87">
        <v>19.66</v>
      </c>
    </row>
    <row r="75" spans="1:3" x14ac:dyDescent="0.25">
      <c r="A75" s="86">
        <v>64</v>
      </c>
      <c r="B75" s="87">
        <v>19.05</v>
      </c>
      <c r="C75" s="87">
        <v>19.05</v>
      </c>
    </row>
    <row r="76" spans="1:3" x14ac:dyDescent="0.25">
      <c r="A76" s="86">
        <v>65</v>
      </c>
      <c r="B76" s="87">
        <v>18.440000000000001</v>
      </c>
      <c r="C76" s="87">
        <v>18.440000000000001</v>
      </c>
    </row>
    <row r="77" spans="1:3" x14ac:dyDescent="0.25">
      <c r="A77" s="86">
        <v>66</v>
      </c>
      <c r="B77" s="87">
        <v>17.829999999999998</v>
      </c>
      <c r="C77" s="87">
        <v>17.829999999999998</v>
      </c>
    </row>
    <row r="78" spans="1:3" x14ac:dyDescent="0.25">
      <c r="A78" s="86">
        <v>67</v>
      </c>
      <c r="B78" s="87">
        <v>17.21</v>
      </c>
      <c r="C78" s="87">
        <v>17.21</v>
      </c>
    </row>
    <row r="79" spans="1:3" x14ac:dyDescent="0.25">
      <c r="A79" s="86">
        <v>68</v>
      </c>
      <c r="B79" s="87">
        <v>16.600000000000001</v>
      </c>
      <c r="C79" s="87">
        <v>16.600000000000001</v>
      </c>
    </row>
    <row r="80" spans="1:3" x14ac:dyDescent="0.25">
      <c r="A80" s="86">
        <v>69</v>
      </c>
      <c r="B80" s="87">
        <v>15.97</v>
      </c>
      <c r="C80" s="87">
        <v>15.97</v>
      </c>
    </row>
    <row r="81" spans="1:3" x14ac:dyDescent="0.25">
      <c r="A81" s="86">
        <v>70</v>
      </c>
      <c r="B81" s="87">
        <v>15.35</v>
      </c>
      <c r="C81" s="87">
        <v>15.35</v>
      </c>
    </row>
    <row r="82" spans="1:3" x14ac:dyDescent="0.25">
      <c r="A82" s="86">
        <v>71</v>
      </c>
      <c r="B82" s="87">
        <v>14.72</v>
      </c>
      <c r="C82" s="87">
        <v>14.72</v>
      </c>
    </row>
    <row r="83" spans="1:3" x14ac:dyDescent="0.25">
      <c r="A83" s="86">
        <v>72</v>
      </c>
      <c r="B83" s="87">
        <v>14.1</v>
      </c>
      <c r="C83" s="87">
        <v>14.1</v>
      </c>
    </row>
    <row r="84" spans="1:3" x14ac:dyDescent="0.25">
      <c r="A84" s="86">
        <v>73</v>
      </c>
      <c r="B84" s="87">
        <v>13.48</v>
      </c>
      <c r="C84" s="87">
        <v>13.48</v>
      </c>
    </row>
    <row r="85" spans="1:3" x14ac:dyDescent="0.25">
      <c r="A85" s="86">
        <v>74</v>
      </c>
      <c r="B85" s="87">
        <v>12.86</v>
      </c>
      <c r="C85" s="87">
        <v>12.86</v>
      </c>
    </row>
    <row r="86" spans="1:3" x14ac:dyDescent="0.25">
      <c r="A86" s="86">
        <v>75</v>
      </c>
      <c r="B86" s="87">
        <v>12.24</v>
      </c>
      <c r="C86" s="87">
        <v>12.24</v>
      </c>
    </row>
    <row r="87" spans="1:3" x14ac:dyDescent="0.25">
      <c r="A87" s="86">
        <v>76</v>
      </c>
      <c r="B87" s="87">
        <v>11.63</v>
      </c>
      <c r="C87" s="87">
        <v>11.63</v>
      </c>
    </row>
    <row r="88" spans="1:3" x14ac:dyDescent="0.25">
      <c r="A88" s="86">
        <v>77</v>
      </c>
      <c r="B88" s="87">
        <v>11.02</v>
      </c>
      <c r="C88" s="87">
        <v>11.02</v>
      </c>
    </row>
    <row r="89" spans="1:3" x14ac:dyDescent="0.25">
      <c r="A89" s="86">
        <v>78</v>
      </c>
      <c r="B89" s="87">
        <v>10.42</v>
      </c>
      <c r="C89" s="87">
        <v>10.42</v>
      </c>
    </row>
    <row r="90" spans="1:3" x14ac:dyDescent="0.25">
      <c r="A90" s="86">
        <v>79</v>
      </c>
      <c r="B90" s="87">
        <v>9.83</v>
      </c>
      <c r="C90" s="87">
        <v>9.83</v>
      </c>
    </row>
    <row r="91" spans="1:3" x14ac:dyDescent="0.25">
      <c r="A91" s="86">
        <v>80</v>
      </c>
      <c r="B91" s="87">
        <v>9.26</v>
      </c>
      <c r="C91" s="87">
        <v>9.26</v>
      </c>
    </row>
    <row r="92" spans="1:3" x14ac:dyDescent="0.25">
      <c r="A92" s="86">
        <v>81</v>
      </c>
      <c r="B92" s="87">
        <v>8.69</v>
      </c>
      <c r="C92" s="87">
        <v>8.69</v>
      </c>
    </row>
    <row r="93" spans="1:3" x14ac:dyDescent="0.25">
      <c r="A93" s="86">
        <v>82</v>
      </c>
      <c r="B93" s="87">
        <v>8.14</v>
      </c>
      <c r="C93" s="87">
        <v>8.14</v>
      </c>
    </row>
    <row r="94" spans="1:3" x14ac:dyDescent="0.25">
      <c r="A94" s="86">
        <v>83</v>
      </c>
      <c r="B94" s="87">
        <v>7.6</v>
      </c>
      <c r="C94" s="87">
        <v>7.6</v>
      </c>
    </row>
    <row r="95" spans="1:3" x14ac:dyDescent="0.25">
      <c r="A95" s="86">
        <v>84</v>
      </c>
      <c r="B95" s="87">
        <v>7.08</v>
      </c>
      <c r="C95" s="87">
        <v>7.08</v>
      </c>
    </row>
    <row r="96" spans="1:3" x14ac:dyDescent="0.25">
      <c r="A96" s="86">
        <v>85</v>
      </c>
      <c r="B96" s="87">
        <v>6.58</v>
      </c>
      <c r="C96" s="87">
        <v>6.58</v>
      </c>
    </row>
  </sheetData>
  <sheetProtection algorithmName="SHA-512" hashValue="rT1sgWQioJiPPddC8yJpmmXtDwdhz3oxWHHfJGlxpW6/HhaEiQZwbEA53Dbin3Z5QmNr1YIJffrwbLChEtg5HA==" saltValue="X2touaLwBrrJtAmCtuLeDA==" spinCount="100000" sheet="1" objects="1" scenarios="1"/>
  <conditionalFormatting sqref="A6:A21">
    <cfRule type="expression" dxfId="529" priority="1" stopIfTrue="1">
      <formula>MOD(ROW(),2)=0</formula>
    </cfRule>
    <cfRule type="expression" dxfId="528" priority="2" stopIfTrue="1">
      <formula>MOD(ROW(),2)&lt;&gt;0</formula>
    </cfRule>
  </conditionalFormatting>
  <conditionalFormatting sqref="A26:A96">
    <cfRule type="expression" dxfId="527" priority="3" stopIfTrue="1">
      <formula>MOD(ROW(),2)=0</formula>
    </cfRule>
    <cfRule type="expression" dxfId="526" priority="4" stopIfTrue="1">
      <formula>MOD(ROW(),2)&lt;&gt;0</formula>
    </cfRule>
  </conditionalFormatting>
  <conditionalFormatting sqref="B17:B21">
    <cfRule type="expression" dxfId="525" priority="7" stopIfTrue="1">
      <formula>MOD(ROW(),2)=0</formula>
    </cfRule>
    <cfRule type="expression" dxfId="524" priority="8" stopIfTrue="1">
      <formula>MOD(ROW(),2)&lt;&gt;0</formula>
    </cfRule>
  </conditionalFormatting>
  <conditionalFormatting sqref="B6:C21">
    <cfRule type="expression" dxfId="523" priority="19" stopIfTrue="1">
      <formula>MOD(ROW(),2)=0</formula>
    </cfRule>
    <cfRule type="expression" dxfId="522" priority="20" stopIfTrue="1">
      <formula>MOD(ROW(),2)&lt;&gt;0</formula>
    </cfRule>
  </conditionalFormatting>
  <conditionalFormatting sqref="B26:C96">
    <cfRule type="expression" dxfId="521" priority="5" stopIfTrue="1">
      <formula>MOD(ROW(),2)=0</formula>
    </cfRule>
    <cfRule type="expression" dxfId="520" priority="6" stopIfTrue="1">
      <formula>MOD(ROW(),2)&lt;&gt;0</formula>
    </cfRule>
  </conditionalFormatting>
  <hyperlinks>
    <hyperlink ref="B24" location="Assumptions!A1" display="Assumptions" xr:uid="{E41C3817-0533-48E6-AB2D-E5875D8F43B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sheetPr>
  <dimension ref="A1:I224"/>
  <sheetViews>
    <sheetView workbookViewId="0">
      <selection activeCell="B19" sqref="B19"/>
    </sheetView>
  </sheetViews>
  <sheetFormatPr defaultRowHeight="13.2" x14ac:dyDescent="0.25"/>
  <cols>
    <col min="2" max="2" width="3.44140625" style="12" customWidth="1"/>
    <col min="3" max="3" width="7" style="12" customWidth="1"/>
    <col min="4" max="4" width="62" customWidth="1"/>
    <col min="5" max="6" width="16.5546875" style="12" customWidth="1"/>
    <col min="7" max="7" width="19.44140625" style="12" customWidth="1"/>
  </cols>
  <sheetData>
    <row r="1" spans="1:9" ht="21" x14ac:dyDescent="0.4">
      <c r="A1" s="4" t="s">
        <v>0</v>
      </c>
      <c r="B1" s="13"/>
      <c r="C1" s="13"/>
      <c r="D1" s="10"/>
      <c r="E1" s="13"/>
      <c r="F1" s="13"/>
      <c r="G1" s="13"/>
      <c r="H1" s="10"/>
      <c r="I1" s="10"/>
    </row>
    <row r="2" spans="1:9" ht="15.6" x14ac:dyDescent="0.3">
      <c r="A2" s="11" t="str">
        <f>IF(title="&gt; Enter workbook title here","Enter workbook title in Cover sheet",title)</f>
        <v>Fire England - Consolidated Factor Spreadsheet</v>
      </c>
      <c r="B2" s="14"/>
      <c r="C2" s="14"/>
      <c r="D2" s="9"/>
      <c r="E2" s="14"/>
      <c r="F2" s="14"/>
      <c r="G2" s="14"/>
      <c r="H2" s="9"/>
      <c r="I2" s="9"/>
    </row>
    <row r="3" spans="1:9" ht="15.6" x14ac:dyDescent="0.3">
      <c r="A3" s="6" t="s">
        <v>63</v>
      </c>
      <c r="B3" s="14"/>
      <c r="C3" s="14"/>
      <c r="D3" s="9"/>
      <c r="E3" s="14"/>
      <c r="F3" s="14"/>
      <c r="G3" s="14"/>
      <c r="H3" s="9"/>
      <c r="I3" s="9"/>
    </row>
    <row r="4" spans="1:9" x14ac:dyDescent="0.25">
      <c r="A4" s="7" t="str">
        <f ca="1">CELL("filename",A1)</f>
        <v>https://tris42.sharepoint.com/sites/gad_wrkgrp_actuarial/pspsactuarialwork/Central/Factors &amp; Guidance/2024 Guidance Review/4. Online portal/3. Import data/3. Factor tables/0_client_friendly/Ready to be uploaded/2025-03/[Fire E Consolidated Factors 2025-02.xlsx]Summary - Fire_E</v>
      </c>
    </row>
    <row r="7" spans="1:9" x14ac:dyDescent="0.25">
      <c r="E7" s="30" t="s">
        <v>64</v>
      </c>
      <c r="F7" s="30" t="s">
        <v>65</v>
      </c>
      <c r="G7" s="30" t="s">
        <v>66</v>
      </c>
    </row>
    <row r="8" spans="1:9" x14ac:dyDescent="0.25">
      <c r="B8" s="32" t="s">
        <v>67</v>
      </c>
      <c r="C8" s="21"/>
      <c r="D8" s="15"/>
      <c r="E8" s="31">
        <v>2015</v>
      </c>
      <c r="F8" s="31">
        <v>2006</v>
      </c>
      <c r="G8" s="34">
        <v>1992</v>
      </c>
    </row>
    <row r="9" spans="1:9" x14ac:dyDescent="0.25">
      <c r="B9" s="23"/>
      <c r="C9" s="22"/>
      <c r="D9" s="17"/>
      <c r="E9" s="16"/>
      <c r="F9" s="16"/>
      <c r="G9" s="16"/>
    </row>
    <row r="10" spans="1:9" x14ac:dyDescent="0.25">
      <c r="B10" s="33" t="s">
        <v>68</v>
      </c>
      <c r="D10" s="18"/>
      <c r="E10" s="20"/>
      <c r="F10" s="20"/>
      <c r="G10" s="20"/>
    </row>
    <row r="11" spans="1:9" x14ac:dyDescent="0.25">
      <c r="B11" s="24" t="s">
        <v>69</v>
      </c>
      <c r="C11" s="12">
        <v>101</v>
      </c>
      <c r="D11" s="18"/>
      <c r="E11" s="35"/>
      <c r="F11" s="35"/>
      <c r="G11" s="35"/>
    </row>
    <row r="12" spans="1:9" x14ac:dyDescent="0.25">
      <c r="B12" s="24" t="s">
        <v>69</v>
      </c>
      <c r="C12" s="12">
        <v>102</v>
      </c>
      <c r="D12" s="18"/>
      <c r="E12" s="35"/>
      <c r="F12" s="35"/>
      <c r="G12" s="35"/>
    </row>
    <row r="13" spans="1:9" x14ac:dyDescent="0.25">
      <c r="B13" s="24" t="s">
        <v>69</v>
      </c>
      <c r="C13" s="12">
        <v>103</v>
      </c>
      <c r="D13" s="18"/>
      <c r="E13" s="35"/>
      <c r="F13" s="35"/>
      <c r="G13" s="35"/>
    </row>
    <row r="14" spans="1:9" x14ac:dyDescent="0.25">
      <c r="B14" s="24" t="s">
        <v>69</v>
      </c>
      <c r="C14" s="12">
        <v>104</v>
      </c>
      <c r="D14" s="18"/>
      <c r="E14" s="35"/>
      <c r="F14" s="35"/>
      <c r="G14" s="35"/>
    </row>
    <row r="15" spans="1:9" x14ac:dyDescent="0.25">
      <c r="B15" s="24" t="s">
        <v>69</v>
      </c>
      <c r="C15" s="12">
        <v>105</v>
      </c>
      <c r="D15" s="18"/>
      <c r="E15" s="35"/>
      <c r="F15" s="35"/>
      <c r="G15" s="35"/>
    </row>
    <row r="16" spans="1:9" x14ac:dyDescent="0.25">
      <c r="B16" s="24" t="s">
        <v>69</v>
      </c>
      <c r="C16" s="12">
        <v>106</v>
      </c>
      <c r="D16" s="18"/>
      <c r="E16" s="35"/>
      <c r="F16" s="35"/>
      <c r="G16" s="35"/>
    </row>
    <row r="17" spans="2:8" x14ac:dyDescent="0.25">
      <c r="B17" s="24" t="s">
        <v>69</v>
      </c>
      <c r="C17" s="12">
        <v>107</v>
      </c>
      <c r="D17" s="18"/>
      <c r="E17" s="35"/>
      <c r="F17" s="35"/>
      <c r="G17" s="35"/>
    </row>
    <row r="18" spans="2:8" x14ac:dyDescent="0.25">
      <c r="B18" s="24" t="s">
        <v>69</v>
      </c>
      <c r="C18" s="12">
        <v>108</v>
      </c>
      <c r="D18" s="18"/>
      <c r="E18" s="35"/>
      <c r="F18" s="35"/>
      <c r="G18" s="35"/>
    </row>
    <row r="19" spans="2:8" x14ac:dyDescent="0.25">
      <c r="B19" s="84" t="s">
        <v>69</v>
      </c>
      <c r="C19" s="12">
        <v>109</v>
      </c>
      <c r="D19" s="18"/>
      <c r="E19" s="35"/>
      <c r="F19" s="35"/>
      <c r="G19" s="35"/>
    </row>
    <row r="20" spans="2:8" x14ac:dyDescent="0.25">
      <c r="B20" s="24" t="s">
        <v>69</v>
      </c>
      <c r="C20" s="12">
        <v>110</v>
      </c>
      <c r="D20" s="18"/>
      <c r="E20" s="35"/>
      <c r="F20" s="35"/>
      <c r="G20" s="35"/>
    </row>
    <row r="21" spans="2:8" x14ac:dyDescent="0.25">
      <c r="B21" s="24" t="s">
        <v>69</v>
      </c>
      <c r="C21" s="12">
        <v>111</v>
      </c>
      <c r="D21" s="18"/>
      <c r="E21" s="35"/>
      <c r="F21" s="35"/>
      <c r="G21" s="35"/>
    </row>
    <row r="22" spans="2:8" x14ac:dyDescent="0.25">
      <c r="B22" s="24" t="s">
        <v>69</v>
      </c>
      <c r="C22" s="12">
        <v>112</v>
      </c>
      <c r="D22" s="18"/>
      <c r="E22" s="35"/>
      <c r="F22" s="35"/>
      <c r="G22" s="35"/>
    </row>
    <row r="23" spans="2:8" x14ac:dyDescent="0.25">
      <c r="B23" s="24" t="s">
        <v>69</v>
      </c>
      <c r="C23" s="12">
        <v>113</v>
      </c>
      <c r="D23" s="18"/>
      <c r="E23" s="35"/>
      <c r="F23" s="35"/>
      <c r="G23" s="35"/>
    </row>
    <row r="24" spans="2:8" x14ac:dyDescent="0.25">
      <c r="B24" s="24" t="s">
        <v>69</v>
      </c>
      <c r="C24" s="12">
        <v>114</v>
      </c>
      <c r="D24" s="18"/>
      <c r="E24" s="35"/>
      <c r="F24" s="35"/>
      <c r="G24" s="35"/>
    </row>
    <row r="25" spans="2:8" x14ac:dyDescent="0.25">
      <c r="B25" s="24" t="s">
        <v>69</v>
      </c>
      <c r="C25" s="12">
        <v>115</v>
      </c>
      <c r="D25" s="18"/>
      <c r="E25" s="35"/>
      <c r="F25" s="35"/>
      <c r="G25" s="35"/>
    </row>
    <row r="26" spans="2:8" x14ac:dyDescent="0.25">
      <c r="B26" s="24" t="s">
        <v>69</v>
      </c>
      <c r="C26" s="12">
        <v>116</v>
      </c>
      <c r="D26" s="18"/>
      <c r="E26" s="35"/>
      <c r="F26" s="35"/>
      <c r="G26" s="35"/>
    </row>
    <row r="27" spans="2:8" x14ac:dyDescent="0.25">
      <c r="B27" s="24" t="s">
        <v>69</v>
      </c>
      <c r="C27" s="12">
        <v>117</v>
      </c>
      <c r="D27" s="18"/>
      <c r="E27" s="35"/>
      <c r="F27" s="35"/>
      <c r="G27" s="35"/>
    </row>
    <row r="28" spans="2:8" x14ac:dyDescent="0.25">
      <c r="B28" s="24" t="s">
        <v>69</v>
      </c>
      <c r="C28" s="12">
        <v>118</v>
      </c>
      <c r="D28" s="18"/>
      <c r="E28" s="35"/>
      <c r="F28" s="35"/>
      <c r="G28" s="35"/>
    </row>
    <row r="29" spans="2:8" x14ac:dyDescent="0.25">
      <c r="B29" s="24" t="s">
        <v>69</v>
      </c>
      <c r="C29" s="12">
        <v>119</v>
      </c>
      <c r="D29" s="18"/>
      <c r="E29" s="35"/>
      <c r="F29" s="35"/>
      <c r="G29" s="35"/>
    </row>
    <row r="30" spans="2:8" x14ac:dyDescent="0.25">
      <c r="B30" s="24" t="s">
        <v>69</v>
      </c>
      <c r="C30" s="12">
        <v>120</v>
      </c>
      <c r="D30" s="18"/>
      <c r="E30" s="35"/>
      <c r="F30" s="35"/>
      <c r="G30" s="35"/>
    </row>
    <row r="31" spans="2:8" x14ac:dyDescent="0.25">
      <c r="B31" s="24" t="s">
        <v>69</v>
      </c>
      <c r="C31" s="12">
        <v>121</v>
      </c>
      <c r="E31" s="36"/>
      <c r="F31" s="36"/>
      <c r="G31" s="36"/>
      <c r="H31" s="29"/>
    </row>
    <row r="32" spans="2:8" x14ac:dyDescent="0.25">
      <c r="B32" s="24" t="s">
        <v>69</v>
      </c>
      <c r="C32" s="12">
        <v>122</v>
      </c>
      <c r="D32" s="18"/>
      <c r="E32" s="35"/>
      <c r="F32" s="35"/>
      <c r="G32" s="35"/>
    </row>
    <row r="33" spans="2:8" x14ac:dyDescent="0.25">
      <c r="B33" s="24" t="s">
        <v>69</v>
      </c>
      <c r="C33" s="12">
        <v>123</v>
      </c>
      <c r="D33" s="18"/>
      <c r="E33" s="35"/>
      <c r="F33" s="35"/>
      <c r="G33" s="35"/>
    </row>
    <row r="34" spans="2:8" x14ac:dyDescent="0.25">
      <c r="B34" s="24" t="s">
        <v>69</v>
      </c>
      <c r="C34" s="12">
        <v>124</v>
      </c>
      <c r="D34" s="18"/>
      <c r="E34" s="35"/>
      <c r="F34" s="35"/>
      <c r="G34" s="35"/>
    </row>
    <row r="35" spans="2:8" x14ac:dyDescent="0.25">
      <c r="B35" s="24" t="s">
        <v>69</v>
      </c>
      <c r="C35" s="12">
        <v>125</v>
      </c>
      <c r="D35" s="18"/>
      <c r="E35" s="35"/>
      <c r="F35" s="35"/>
      <c r="G35" s="35"/>
      <c r="H35" s="28"/>
    </row>
    <row r="36" spans="2:8" x14ac:dyDescent="0.25">
      <c r="B36" s="25"/>
      <c r="C36" s="22"/>
      <c r="D36" s="17"/>
      <c r="E36" s="37"/>
      <c r="F36" s="37"/>
      <c r="G36" s="37"/>
    </row>
    <row r="37" spans="2:8" x14ac:dyDescent="0.25">
      <c r="B37" s="33" t="s">
        <v>70</v>
      </c>
      <c r="D37" s="18"/>
      <c r="E37" s="35"/>
      <c r="F37" s="35"/>
      <c r="G37" s="35"/>
    </row>
    <row r="38" spans="2:8" x14ac:dyDescent="0.25">
      <c r="B38" s="24" t="s">
        <v>69</v>
      </c>
      <c r="C38" s="12">
        <v>201</v>
      </c>
      <c r="D38" s="18"/>
      <c r="E38" s="35"/>
      <c r="F38" s="35"/>
      <c r="G38" s="35"/>
    </row>
    <row r="39" spans="2:8" x14ac:dyDescent="0.25">
      <c r="B39" s="24" t="s">
        <v>69</v>
      </c>
      <c r="C39" s="12">
        <v>202</v>
      </c>
      <c r="D39" s="18"/>
      <c r="E39" s="35"/>
      <c r="F39" s="35"/>
      <c r="G39" s="35"/>
    </row>
    <row r="40" spans="2:8" x14ac:dyDescent="0.25">
      <c r="B40" s="24" t="s">
        <v>69</v>
      </c>
      <c r="C40" s="12">
        <v>203</v>
      </c>
      <c r="D40" s="18"/>
      <c r="E40" s="35"/>
      <c r="F40" s="35"/>
      <c r="G40" s="35"/>
    </row>
    <row r="41" spans="2:8" x14ac:dyDescent="0.25">
      <c r="B41" s="24" t="s">
        <v>69</v>
      </c>
      <c r="C41" s="12">
        <v>204</v>
      </c>
      <c r="D41" s="18"/>
      <c r="E41" s="35"/>
      <c r="F41" s="35"/>
      <c r="G41" s="35"/>
    </row>
    <row r="42" spans="2:8" x14ac:dyDescent="0.25">
      <c r="B42" s="24" t="s">
        <v>69</v>
      </c>
      <c r="C42" s="12">
        <v>205</v>
      </c>
      <c r="D42" s="18"/>
      <c r="E42" s="35"/>
      <c r="F42" s="35"/>
      <c r="G42" s="35"/>
    </row>
    <row r="43" spans="2:8" x14ac:dyDescent="0.25">
      <c r="B43" s="24" t="s">
        <v>69</v>
      </c>
      <c r="C43" s="12">
        <v>206</v>
      </c>
      <c r="D43" s="18"/>
      <c r="E43" s="35"/>
      <c r="F43" s="35"/>
      <c r="G43" s="35"/>
    </row>
    <row r="44" spans="2:8" x14ac:dyDescent="0.25">
      <c r="B44" s="24" t="s">
        <v>69</v>
      </c>
      <c r="C44" s="12">
        <v>207</v>
      </c>
      <c r="D44" s="18"/>
      <c r="E44" s="35"/>
      <c r="F44" s="35"/>
      <c r="G44" s="35"/>
    </row>
    <row r="45" spans="2:8" x14ac:dyDescent="0.25">
      <c r="B45" s="24" t="s">
        <v>69</v>
      </c>
      <c r="C45" s="12">
        <v>208</v>
      </c>
      <c r="D45" s="18"/>
      <c r="E45" s="35"/>
      <c r="F45" s="35"/>
      <c r="G45" s="35"/>
    </row>
    <row r="46" spans="2:8" x14ac:dyDescent="0.25">
      <c r="B46" s="24" t="s">
        <v>69</v>
      </c>
      <c r="C46" s="12">
        <v>209</v>
      </c>
      <c r="D46" s="18"/>
      <c r="E46" s="35"/>
      <c r="F46" s="35"/>
      <c r="G46" s="35"/>
    </row>
    <row r="47" spans="2:8" x14ac:dyDescent="0.25">
      <c r="B47" s="24" t="s">
        <v>69</v>
      </c>
      <c r="C47" s="12">
        <v>210</v>
      </c>
      <c r="D47" s="18"/>
      <c r="E47" s="35"/>
      <c r="F47" s="35"/>
      <c r="G47" s="35"/>
    </row>
    <row r="48" spans="2:8" x14ac:dyDescent="0.25">
      <c r="B48" s="24" t="s">
        <v>69</v>
      </c>
      <c r="C48" s="12">
        <v>211</v>
      </c>
      <c r="D48" s="18"/>
      <c r="E48" s="35"/>
      <c r="F48" s="35"/>
      <c r="G48" s="35"/>
    </row>
    <row r="49" spans="2:7" x14ac:dyDescent="0.25">
      <c r="B49" s="24" t="s">
        <v>69</v>
      </c>
      <c r="C49" s="12">
        <v>212</v>
      </c>
      <c r="D49" s="18"/>
      <c r="E49" s="35"/>
      <c r="F49" s="35"/>
      <c r="G49" s="35"/>
    </row>
    <row r="50" spans="2:7" x14ac:dyDescent="0.25">
      <c r="B50" s="24" t="s">
        <v>69</v>
      </c>
      <c r="C50" s="12">
        <v>213</v>
      </c>
      <c r="D50" s="18"/>
      <c r="E50" s="35"/>
      <c r="F50" s="35"/>
      <c r="G50" s="35"/>
    </row>
    <row r="51" spans="2:7" x14ac:dyDescent="0.25">
      <c r="B51" s="24" t="s">
        <v>69</v>
      </c>
      <c r="C51" s="12">
        <v>214</v>
      </c>
      <c r="D51" s="18"/>
      <c r="E51" s="35"/>
      <c r="F51" s="35"/>
      <c r="G51" s="35"/>
    </row>
    <row r="52" spans="2:7" x14ac:dyDescent="0.25">
      <c r="B52" s="24" t="s">
        <v>69</v>
      </c>
      <c r="C52" s="12">
        <v>215</v>
      </c>
      <c r="D52" s="18"/>
      <c r="E52" s="35"/>
      <c r="F52" s="35"/>
      <c r="G52" s="35"/>
    </row>
    <row r="53" spans="2:7" x14ac:dyDescent="0.25">
      <c r="B53" s="24" t="s">
        <v>69</v>
      </c>
      <c r="C53" s="12">
        <v>216</v>
      </c>
      <c r="D53" s="18"/>
      <c r="E53" s="35"/>
      <c r="F53" s="35"/>
      <c r="G53" s="35"/>
    </row>
    <row r="54" spans="2:7" x14ac:dyDescent="0.25">
      <c r="B54" s="24" t="s">
        <v>69</v>
      </c>
      <c r="C54" s="12">
        <v>217</v>
      </c>
      <c r="D54" s="18"/>
      <c r="E54" s="35"/>
      <c r="F54" s="35"/>
      <c r="G54" s="35"/>
    </row>
    <row r="55" spans="2:7" x14ac:dyDescent="0.25">
      <c r="B55" s="24" t="s">
        <v>69</v>
      </c>
      <c r="C55" s="12">
        <v>218</v>
      </c>
      <c r="D55" s="18"/>
      <c r="E55" s="35"/>
      <c r="F55" s="35"/>
      <c r="G55" s="35"/>
    </row>
    <row r="56" spans="2:7" x14ac:dyDescent="0.25">
      <c r="B56" s="24" t="s">
        <v>69</v>
      </c>
      <c r="C56" s="12">
        <v>219</v>
      </c>
      <c r="D56" s="18"/>
      <c r="E56" s="35"/>
      <c r="F56" s="35"/>
      <c r="G56" s="35"/>
    </row>
    <row r="57" spans="2:7" x14ac:dyDescent="0.25">
      <c r="B57" s="24" t="s">
        <v>69</v>
      </c>
      <c r="C57" s="12">
        <v>220</v>
      </c>
      <c r="D57" s="18"/>
      <c r="E57" s="35"/>
      <c r="F57" s="35"/>
      <c r="G57" s="35"/>
    </row>
    <row r="58" spans="2:7" x14ac:dyDescent="0.25">
      <c r="B58" s="24" t="s">
        <v>69</v>
      </c>
      <c r="C58" s="12">
        <v>221</v>
      </c>
      <c r="D58" s="18"/>
      <c r="E58" s="35"/>
      <c r="F58" s="35"/>
      <c r="G58" s="35"/>
    </row>
    <row r="59" spans="2:7" x14ac:dyDescent="0.25">
      <c r="B59" s="24" t="s">
        <v>69</v>
      </c>
      <c r="C59" s="12">
        <v>222</v>
      </c>
      <c r="D59" s="18"/>
      <c r="E59" s="35"/>
      <c r="F59" s="35"/>
      <c r="G59" s="35"/>
    </row>
    <row r="60" spans="2:7" x14ac:dyDescent="0.25">
      <c r="B60" s="24" t="s">
        <v>69</v>
      </c>
      <c r="C60" s="12">
        <v>223</v>
      </c>
      <c r="D60" s="18"/>
      <c r="E60" s="35"/>
      <c r="F60" s="35"/>
      <c r="G60" s="35"/>
    </row>
    <row r="61" spans="2:7" x14ac:dyDescent="0.25">
      <c r="B61" s="24" t="s">
        <v>69</v>
      </c>
      <c r="C61" s="12">
        <v>224</v>
      </c>
      <c r="D61" s="18"/>
      <c r="E61" s="35"/>
      <c r="F61" s="35"/>
      <c r="G61" s="35"/>
    </row>
    <row r="62" spans="2:7" x14ac:dyDescent="0.25">
      <c r="B62" s="24" t="s">
        <v>69</v>
      </c>
      <c r="C62" s="12">
        <v>225</v>
      </c>
      <c r="D62" s="19"/>
      <c r="E62" s="38"/>
      <c r="F62" s="38"/>
      <c r="G62" s="38"/>
    </row>
    <row r="63" spans="2:7" x14ac:dyDescent="0.25">
      <c r="B63" s="25"/>
      <c r="C63" s="22"/>
      <c r="D63" s="17"/>
      <c r="E63" s="37"/>
      <c r="F63" s="37"/>
      <c r="G63" s="37"/>
    </row>
    <row r="64" spans="2:7" x14ac:dyDescent="0.25">
      <c r="B64" s="33" t="s">
        <v>71</v>
      </c>
      <c r="D64" s="18"/>
      <c r="E64" s="35"/>
      <c r="F64" s="35"/>
      <c r="G64" s="35"/>
    </row>
    <row r="65" spans="2:7" x14ac:dyDescent="0.25">
      <c r="B65" s="24" t="s">
        <v>69</v>
      </c>
      <c r="C65" s="12">
        <v>301</v>
      </c>
      <c r="D65" s="18"/>
      <c r="E65" s="35"/>
      <c r="F65" s="35"/>
      <c r="G65" s="35"/>
    </row>
    <row r="66" spans="2:7" x14ac:dyDescent="0.25">
      <c r="B66" s="24" t="s">
        <v>69</v>
      </c>
      <c r="C66" s="12">
        <v>302</v>
      </c>
      <c r="D66" s="18"/>
      <c r="E66" s="35"/>
      <c r="F66" s="35"/>
      <c r="G66" s="35"/>
    </row>
    <row r="67" spans="2:7" x14ac:dyDescent="0.25">
      <c r="B67" s="24" t="s">
        <v>69</v>
      </c>
      <c r="C67" s="12">
        <v>303</v>
      </c>
      <c r="D67" s="18"/>
      <c r="E67" s="35"/>
      <c r="F67" s="35"/>
      <c r="G67" s="35"/>
    </row>
    <row r="68" spans="2:7" x14ac:dyDescent="0.25">
      <c r="B68" s="24" t="s">
        <v>69</v>
      </c>
      <c r="C68" s="12">
        <v>304</v>
      </c>
      <c r="D68" s="18"/>
      <c r="E68" s="35"/>
      <c r="F68" s="35"/>
      <c r="G68" s="35"/>
    </row>
    <row r="69" spans="2:7" x14ac:dyDescent="0.25">
      <c r="B69" s="24" t="s">
        <v>69</v>
      </c>
      <c r="C69" s="12">
        <v>305</v>
      </c>
      <c r="D69" s="18"/>
      <c r="E69" s="35"/>
      <c r="F69" s="35"/>
      <c r="G69" s="35"/>
    </row>
    <row r="70" spans="2:7" x14ac:dyDescent="0.25">
      <c r="B70" s="24" t="s">
        <v>69</v>
      </c>
      <c r="C70" s="12">
        <v>306</v>
      </c>
      <c r="D70" s="18"/>
      <c r="E70" s="35"/>
      <c r="F70" s="35"/>
      <c r="G70" s="35"/>
    </row>
    <row r="71" spans="2:7" x14ac:dyDescent="0.25">
      <c r="B71" s="24" t="s">
        <v>69</v>
      </c>
      <c r="C71" s="12">
        <v>307</v>
      </c>
      <c r="D71" s="18"/>
      <c r="E71" s="35"/>
      <c r="F71" s="35"/>
      <c r="G71" s="35"/>
    </row>
    <row r="72" spans="2:7" x14ac:dyDescent="0.25">
      <c r="B72" s="24" t="s">
        <v>69</v>
      </c>
      <c r="C72" s="12">
        <v>308</v>
      </c>
      <c r="D72" s="18"/>
      <c r="E72" s="35"/>
      <c r="F72" s="35"/>
      <c r="G72" s="35"/>
    </row>
    <row r="73" spans="2:7" x14ac:dyDescent="0.25">
      <c r="B73" s="24" t="s">
        <v>69</v>
      </c>
      <c r="C73" s="12">
        <v>309</v>
      </c>
      <c r="D73" s="18"/>
      <c r="E73" s="35"/>
      <c r="F73" s="35"/>
      <c r="G73" s="35"/>
    </row>
    <row r="74" spans="2:7" x14ac:dyDescent="0.25">
      <c r="B74" s="24" t="s">
        <v>69</v>
      </c>
      <c r="C74" s="12">
        <v>310</v>
      </c>
      <c r="D74" s="18"/>
      <c r="E74" s="35"/>
      <c r="F74" s="35"/>
      <c r="G74" s="35"/>
    </row>
    <row r="75" spans="2:7" x14ac:dyDescent="0.25">
      <c r="B75" s="24" t="s">
        <v>69</v>
      </c>
      <c r="C75" s="12">
        <v>311</v>
      </c>
      <c r="D75" s="18"/>
      <c r="E75" s="35"/>
      <c r="F75" s="35"/>
      <c r="G75" s="35"/>
    </row>
    <row r="76" spans="2:7" x14ac:dyDescent="0.25">
      <c r="B76" s="24" t="s">
        <v>69</v>
      </c>
      <c r="C76" s="12">
        <v>312</v>
      </c>
      <c r="D76" s="18"/>
      <c r="E76" s="35"/>
      <c r="F76" s="35"/>
      <c r="G76" s="35"/>
    </row>
    <row r="77" spans="2:7" x14ac:dyDescent="0.25">
      <c r="B77" s="24" t="s">
        <v>69</v>
      </c>
      <c r="C77" s="12">
        <v>313</v>
      </c>
      <c r="D77" s="18"/>
      <c r="E77" s="35"/>
      <c r="F77" s="35"/>
      <c r="G77" s="35"/>
    </row>
    <row r="78" spans="2:7" x14ac:dyDescent="0.25">
      <c r="B78" s="24" t="s">
        <v>69</v>
      </c>
      <c r="C78" s="12">
        <v>314</v>
      </c>
      <c r="D78" s="18"/>
      <c r="E78" s="35"/>
      <c r="F78" s="35"/>
      <c r="G78" s="35"/>
    </row>
    <row r="79" spans="2:7" x14ac:dyDescent="0.25">
      <c r="B79" s="24" t="s">
        <v>69</v>
      </c>
      <c r="C79" s="12">
        <v>315</v>
      </c>
      <c r="D79" s="18"/>
      <c r="E79" s="35"/>
      <c r="F79" s="35"/>
      <c r="G79" s="35"/>
    </row>
    <row r="80" spans="2:7" x14ac:dyDescent="0.25">
      <c r="B80" s="24" t="s">
        <v>69</v>
      </c>
      <c r="C80" s="12">
        <v>316</v>
      </c>
      <c r="D80" s="18"/>
      <c r="E80" s="35"/>
      <c r="F80" s="35"/>
      <c r="G80" s="35"/>
    </row>
    <row r="81" spans="2:7" x14ac:dyDescent="0.25">
      <c r="B81" s="24" t="s">
        <v>69</v>
      </c>
      <c r="C81" s="12">
        <v>317</v>
      </c>
      <c r="D81" s="18"/>
      <c r="E81" s="35"/>
      <c r="F81" s="35"/>
      <c r="G81" s="35"/>
    </row>
    <row r="82" spans="2:7" x14ac:dyDescent="0.25">
      <c r="B82" s="24" t="s">
        <v>69</v>
      </c>
      <c r="C82" s="12">
        <v>318</v>
      </c>
      <c r="D82" s="18"/>
      <c r="E82" s="35"/>
      <c r="F82" s="35"/>
      <c r="G82" s="35"/>
    </row>
    <row r="83" spans="2:7" x14ac:dyDescent="0.25">
      <c r="B83" s="24" t="s">
        <v>69</v>
      </c>
      <c r="C83" s="12">
        <v>319</v>
      </c>
      <c r="D83" s="18"/>
      <c r="E83" s="35"/>
      <c r="F83" s="35"/>
      <c r="G83" s="35"/>
    </row>
    <row r="84" spans="2:7" x14ac:dyDescent="0.25">
      <c r="B84" s="24" t="s">
        <v>69</v>
      </c>
      <c r="C84" s="12">
        <v>320</v>
      </c>
      <c r="D84" s="18"/>
      <c r="E84" s="35"/>
      <c r="F84" s="35"/>
      <c r="G84" s="35"/>
    </row>
    <row r="85" spans="2:7" x14ac:dyDescent="0.25">
      <c r="B85" s="24" t="s">
        <v>69</v>
      </c>
      <c r="C85" s="12">
        <v>321</v>
      </c>
      <c r="D85" s="18"/>
      <c r="E85" s="35"/>
      <c r="F85" s="35"/>
      <c r="G85" s="35"/>
    </row>
    <row r="86" spans="2:7" x14ac:dyDescent="0.25">
      <c r="B86" s="24" t="s">
        <v>69</v>
      </c>
      <c r="C86" s="12">
        <v>322</v>
      </c>
      <c r="D86" s="18"/>
      <c r="E86" s="35"/>
      <c r="F86" s="35"/>
      <c r="G86" s="35"/>
    </row>
    <row r="87" spans="2:7" x14ac:dyDescent="0.25">
      <c r="B87" s="24" t="s">
        <v>69</v>
      </c>
      <c r="C87" s="12">
        <v>323</v>
      </c>
      <c r="D87" s="18"/>
      <c r="E87" s="35"/>
      <c r="F87" s="35"/>
      <c r="G87" s="35"/>
    </row>
    <row r="88" spans="2:7" x14ac:dyDescent="0.25">
      <c r="B88" s="24" t="s">
        <v>69</v>
      </c>
      <c r="C88" s="12">
        <v>324</v>
      </c>
      <c r="D88" s="18"/>
      <c r="E88" s="35"/>
      <c r="F88" s="35"/>
      <c r="G88" s="35"/>
    </row>
    <row r="89" spans="2:7" x14ac:dyDescent="0.25">
      <c r="B89" s="24" t="s">
        <v>69</v>
      </c>
      <c r="C89" s="12">
        <v>325</v>
      </c>
      <c r="D89" s="19"/>
      <c r="E89" s="38"/>
      <c r="F89" s="38"/>
      <c r="G89" s="38"/>
    </row>
    <row r="90" spans="2:7" x14ac:dyDescent="0.25">
      <c r="B90" s="25"/>
      <c r="C90" s="22"/>
      <c r="D90" s="17"/>
      <c r="E90" s="37"/>
      <c r="F90" s="37"/>
      <c r="G90" s="37"/>
    </row>
    <row r="91" spans="2:7" x14ac:dyDescent="0.25">
      <c r="B91" s="33" t="s">
        <v>72</v>
      </c>
      <c r="D91" s="18"/>
      <c r="E91" s="35"/>
      <c r="F91" s="35"/>
      <c r="G91" s="35"/>
    </row>
    <row r="92" spans="2:7" x14ac:dyDescent="0.25">
      <c r="B92" s="24" t="s">
        <v>69</v>
      </c>
      <c r="C92" s="12">
        <v>401</v>
      </c>
      <c r="D92" s="18"/>
      <c r="E92" s="35"/>
      <c r="F92" s="35"/>
      <c r="G92" s="35"/>
    </row>
    <row r="93" spans="2:7" x14ac:dyDescent="0.25">
      <c r="B93" s="24" t="s">
        <v>69</v>
      </c>
      <c r="C93" s="12">
        <v>402</v>
      </c>
      <c r="D93" s="18"/>
      <c r="E93" s="35"/>
      <c r="F93" s="35"/>
      <c r="G93" s="35"/>
    </row>
    <row r="94" spans="2:7" x14ac:dyDescent="0.25">
      <c r="B94" s="24" t="s">
        <v>69</v>
      </c>
      <c r="C94" s="12">
        <v>403</v>
      </c>
      <c r="D94" s="18"/>
      <c r="E94" s="35"/>
      <c r="F94" s="35"/>
      <c r="G94" s="35"/>
    </row>
    <row r="95" spans="2:7" x14ac:dyDescent="0.25">
      <c r="B95" s="24" t="s">
        <v>69</v>
      </c>
      <c r="C95" s="12">
        <v>404</v>
      </c>
      <c r="D95" s="18"/>
      <c r="E95" s="35"/>
      <c r="F95" s="35"/>
      <c r="G95" s="35"/>
    </row>
    <row r="96" spans="2:7" x14ac:dyDescent="0.25">
      <c r="B96" s="24" t="s">
        <v>69</v>
      </c>
      <c r="C96" s="12">
        <v>405</v>
      </c>
      <c r="D96" s="18"/>
      <c r="E96" s="35"/>
      <c r="F96" s="35"/>
      <c r="G96" s="35"/>
    </row>
    <row r="97" spans="2:7" x14ac:dyDescent="0.25">
      <c r="B97" s="24" t="s">
        <v>69</v>
      </c>
      <c r="C97" s="12">
        <v>406</v>
      </c>
      <c r="D97" s="18"/>
      <c r="E97" s="35"/>
      <c r="F97" s="35"/>
      <c r="G97" s="35"/>
    </row>
    <row r="98" spans="2:7" x14ac:dyDescent="0.25">
      <c r="B98" s="24" t="s">
        <v>69</v>
      </c>
      <c r="C98" s="12">
        <v>407</v>
      </c>
      <c r="D98" s="18"/>
      <c r="E98" s="35"/>
      <c r="F98" s="35"/>
      <c r="G98" s="35"/>
    </row>
    <row r="99" spans="2:7" x14ac:dyDescent="0.25">
      <c r="B99" s="24" t="s">
        <v>69</v>
      </c>
      <c r="C99" s="12">
        <v>408</v>
      </c>
      <c r="D99" s="18"/>
      <c r="E99" s="35"/>
      <c r="F99" s="35"/>
      <c r="G99" s="35"/>
    </row>
    <row r="100" spans="2:7" x14ac:dyDescent="0.25">
      <c r="B100" s="24" t="s">
        <v>69</v>
      </c>
      <c r="C100" s="12">
        <v>409</v>
      </c>
      <c r="D100" s="18"/>
      <c r="E100" s="35"/>
      <c r="F100" s="35"/>
      <c r="G100" s="35"/>
    </row>
    <row r="101" spans="2:7" x14ac:dyDescent="0.25">
      <c r="B101" s="24" t="s">
        <v>69</v>
      </c>
      <c r="C101" s="12">
        <v>410</v>
      </c>
      <c r="D101" s="18"/>
      <c r="E101" s="35"/>
      <c r="F101" s="35"/>
      <c r="G101" s="35"/>
    </row>
    <row r="102" spans="2:7" x14ac:dyDescent="0.25">
      <c r="B102" s="24" t="s">
        <v>69</v>
      </c>
      <c r="C102" s="12">
        <v>411</v>
      </c>
      <c r="D102" s="18"/>
      <c r="E102" s="35"/>
      <c r="F102" s="35"/>
      <c r="G102" s="35"/>
    </row>
    <row r="103" spans="2:7" x14ac:dyDescent="0.25">
      <c r="B103" s="24" t="s">
        <v>69</v>
      </c>
      <c r="C103" s="12">
        <v>412</v>
      </c>
      <c r="D103" s="18"/>
      <c r="E103" s="35"/>
      <c r="F103" s="35"/>
      <c r="G103" s="35"/>
    </row>
    <row r="104" spans="2:7" x14ac:dyDescent="0.25">
      <c r="B104" s="24" t="s">
        <v>69</v>
      </c>
      <c r="C104" s="12">
        <v>413</v>
      </c>
      <c r="D104" s="18"/>
      <c r="E104" s="35"/>
      <c r="F104" s="35"/>
      <c r="G104" s="35"/>
    </row>
    <row r="105" spans="2:7" x14ac:dyDescent="0.25">
      <c r="B105" s="24" t="s">
        <v>69</v>
      </c>
      <c r="C105" s="12">
        <v>414</v>
      </c>
      <c r="D105" s="18"/>
      <c r="E105" s="35"/>
      <c r="F105" s="35"/>
      <c r="G105" s="35"/>
    </row>
    <row r="106" spans="2:7" x14ac:dyDescent="0.25">
      <c r="B106" s="24" t="s">
        <v>69</v>
      </c>
      <c r="C106" s="12">
        <v>415</v>
      </c>
      <c r="D106" s="18"/>
      <c r="E106" s="35"/>
      <c r="F106" s="35"/>
      <c r="G106" s="35"/>
    </row>
    <row r="107" spans="2:7" x14ac:dyDescent="0.25">
      <c r="B107" s="24" t="s">
        <v>69</v>
      </c>
      <c r="C107" s="12">
        <v>416</v>
      </c>
      <c r="D107" s="18"/>
      <c r="E107" s="35"/>
      <c r="F107" s="35"/>
      <c r="G107" s="35"/>
    </row>
    <row r="108" spans="2:7" x14ac:dyDescent="0.25">
      <c r="B108" s="24" t="s">
        <v>69</v>
      </c>
      <c r="C108" s="12">
        <v>417</v>
      </c>
      <c r="D108" s="18"/>
      <c r="E108" s="35"/>
      <c r="F108" s="35"/>
      <c r="G108" s="35"/>
    </row>
    <row r="109" spans="2:7" x14ac:dyDescent="0.25">
      <c r="B109" s="24" t="s">
        <v>69</v>
      </c>
      <c r="C109" s="12">
        <v>418</v>
      </c>
      <c r="D109" s="18"/>
      <c r="E109" s="35"/>
      <c r="F109" s="35"/>
      <c r="G109" s="35"/>
    </row>
    <row r="110" spans="2:7" x14ac:dyDescent="0.25">
      <c r="B110" s="24" t="s">
        <v>69</v>
      </c>
      <c r="C110" s="12">
        <v>419</v>
      </c>
      <c r="D110" s="18"/>
      <c r="E110" s="35"/>
      <c r="F110" s="35"/>
      <c r="G110" s="35"/>
    </row>
    <row r="111" spans="2:7" x14ac:dyDescent="0.25">
      <c r="B111" s="24" t="s">
        <v>69</v>
      </c>
      <c r="C111" s="12">
        <v>420</v>
      </c>
      <c r="D111" s="18"/>
      <c r="E111" s="35"/>
      <c r="F111" s="35"/>
      <c r="G111" s="35"/>
    </row>
    <row r="112" spans="2:7" x14ac:dyDescent="0.25">
      <c r="B112" s="24" t="s">
        <v>69</v>
      </c>
      <c r="C112" s="12">
        <v>421</v>
      </c>
      <c r="D112" s="18"/>
      <c r="E112" s="35"/>
      <c r="F112" s="35"/>
      <c r="G112" s="35"/>
    </row>
    <row r="113" spans="2:7" x14ac:dyDescent="0.25">
      <c r="B113" s="24" t="s">
        <v>69</v>
      </c>
      <c r="C113" s="12">
        <v>422</v>
      </c>
      <c r="D113" s="18"/>
      <c r="E113" s="35"/>
      <c r="F113" s="35"/>
      <c r="G113" s="35"/>
    </row>
    <row r="114" spans="2:7" x14ac:dyDescent="0.25">
      <c r="B114" s="24" t="s">
        <v>69</v>
      </c>
      <c r="C114" s="12">
        <v>423</v>
      </c>
      <c r="D114" s="18"/>
      <c r="E114" s="35"/>
      <c r="F114" s="35"/>
      <c r="G114" s="35"/>
    </row>
    <row r="115" spans="2:7" x14ac:dyDescent="0.25">
      <c r="B115" s="24" t="s">
        <v>69</v>
      </c>
      <c r="C115" s="12">
        <v>424</v>
      </c>
      <c r="D115" s="18"/>
      <c r="E115" s="35"/>
      <c r="F115" s="35"/>
      <c r="G115" s="35"/>
    </row>
    <row r="116" spans="2:7" x14ac:dyDescent="0.25">
      <c r="B116" s="24" t="s">
        <v>69</v>
      </c>
      <c r="C116" s="12">
        <v>425</v>
      </c>
      <c r="D116" s="19"/>
      <c r="E116" s="38"/>
      <c r="F116" s="38"/>
      <c r="G116" s="38"/>
    </row>
    <row r="117" spans="2:7" x14ac:dyDescent="0.25">
      <c r="B117" s="25"/>
      <c r="C117" s="22"/>
      <c r="D117" s="17"/>
      <c r="E117" s="37"/>
      <c r="F117" s="37"/>
      <c r="G117" s="37"/>
    </row>
    <row r="118" spans="2:7" x14ac:dyDescent="0.25">
      <c r="B118" s="33" t="s">
        <v>73</v>
      </c>
      <c r="D118" s="18"/>
      <c r="E118" s="35"/>
      <c r="F118" s="35"/>
      <c r="G118" s="35"/>
    </row>
    <row r="119" spans="2:7" x14ac:dyDescent="0.25">
      <c r="B119" s="24" t="s">
        <v>69</v>
      </c>
      <c r="C119" s="12">
        <v>501</v>
      </c>
      <c r="D119" s="18"/>
      <c r="E119" s="35"/>
      <c r="F119" s="35"/>
      <c r="G119" s="35"/>
    </row>
    <row r="120" spans="2:7" x14ac:dyDescent="0.25">
      <c r="B120" s="24" t="s">
        <v>69</v>
      </c>
      <c r="C120" s="12">
        <v>502</v>
      </c>
      <c r="D120" s="18"/>
      <c r="E120" s="35"/>
      <c r="F120" s="35"/>
      <c r="G120" s="35"/>
    </row>
    <row r="121" spans="2:7" x14ac:dyDescent="0.25">
      <c r="B121" s="24" t="s">
        <v>69</v>
      </c>
      <c r="C121" s="12">
        <v>503</v>
      </c>
      <c r="D121" s="18"/>
      <c r="E121" s="35"/>
      <c r="F121" s="35"/>
      <c r="G121" s="35"/>
    </row>
    <row r="122" spans="2:7" x14ac:dyDescent="0.25">
      <c r="B122" s="24" t="s">
        <v>69</v>
      </c>
      <c r="C122" s="12">
        <v>504</v>
      </c>
      <c r="D122" s="18"/>
      <c r="E122" s="35"/>
      <c r="F122" s="35"/>
      <c r="G122" s="35"/>
    </row>
    <row r="123" spans="2:7" x14ac:dyDescent="0.25">
      <c r="B123" s="24" t="s">
        <v>69</v>
      </c>
      <c r="C123" s="12">
        <v>505</v>
      </c>
      <c r="D123" s="18"/>
      <c r="E123" s="35"/>
      <c r="F123" s="35"/>
      <c r="G123" s="35"/>
    </row>
    <row r="124" spans="2:7" x14ac:dyDescent="0.25">
      <c r="B124" s="24" t="s">
        <v>69</v>
      </c>
      <c r="C124" s="12">
        <v>506</v>
      </c>
      <c r="D124" s="18"/>
      <c r="E124" s="35"/>
      <c r="F124" s="35"/>
      <c r="G124" s="35"/>
    </row>
    <row r="125" spans="2:7" x14ac:dyDescent="0.25">
      <c r="B125" s="24" t="s">
        <v>69</v>
      </c>
      <c r="C125" s="12">
        <v>507</v>
      </c>
      <c r="D125" s="18"/>
      <c r="E125" s="35"/>
      <c r="F125" s="35"/>
      <c r="G125" s="35"/>
    </row>
    <row r="126" spans="2:7" x14ac:dyDescent="0.25">
      <c r="B126" s="24" t="s">
        <v>69</v>
      </c>
      <c r="C126" s="12">
        <v>508</v>
      </c>
      <c r="D126" s="18"/>
      <c r="E126" s="35"/>
      <c r="F126" s="35"/>
      <c r="G126" s="35"/>
    </row>
    <row r="127" spans="2:7" x14ac:dyDescent="0.25">
      <c r="B127" s="24" t="s">
        <v>69</v>
      </c>
      <c r="C127" s="12">
        <v>509</v>
      </c>
      <c r="D127" s="18"/>
      <c r="E127" s="35"/>
      <c r="F127" s="35"/>
      <c r="G127" s="35"/>
    </row>
    <row r="128" spans="2:7" x14ac:dyDescent="0.25">
      <c r="B128" s="24" t="s">
        <v>69</v>
      </c>
      <c r="C128" s="12">
        <v>510</v>
      </c>
      <c r="D128" s="18"/>
      <c r="E128" s="35"/>
      <c r="F128" s="35"/>
      <c r="G128" s="35"/>
    </row>
    <row r="129" spans="2:7" x14ac:dyDescent="0.25">
      <c r="B129" s="24" t="s">
        <v>69</v>
      </c>
      <c r="C129" s="12">
        <v>511</v>
      </c>
      <c r="D129" s="18"/>
      <c r="E129" s="35"/>
      <c r="F129" s="35"/>
      <c r="G129" s="35"/>
    </row>
    <row r="130" spans="2:7" x14ac:dyDescent="0.25">
      <c r="B130" s="24" t="s">
        <v>69</v>
      </c>
      <c r="C130" s="12">
        <v>512</v>
      </c>
      <c r="D130" s="18"/>
      <c r="E130" s="35"/>
      <c r="F130" s="35"/>
      <c r="G130" s="35"/>
    </row>
    <row r="131" spans="2:7" x14ac:dyDescent="0.25">
      <c r="B131" s="24" t="s">
        <v>69</v>
      </c>
      <c r="C131" s="12">
        <v>513</v>
      </c>
      <c r="D131" s="18"/>
      <c r="E131" s="35"/>
      <c r="F131" s="35"/>
      <c r="G131" s="35"/>
    </row>
    <row r="132" spans="2:7" x14ac:dyDescent="0.25">
      <c r="B132" s="24" t="s">
        <v>69</v>
      </c>
      <c r="C132" s="12">
        <v>514</v>
      </c>
      <c r="D132" s="18"/>
      <c r="E132" s="35"/>
      <c r="F132" s="35"/>
      <c r="G132" s="35"/>
    </row>
    <row r="133" spans="2:7" x14ac:dyDescent="0.25">
      <c r="B133" s="24" t="s">
        <v>69</v>
      </c>
      <c r="C133" s="12">
        <v>515</v>
      </c>
      <c r="D133" s="18"/>
      <c r="E133" s="35"/>
      <c r="F133" s="35"/>
      <c r="G133" s="35"/>
    </row>
    <row r="134" spans="2:7" x14ac:dyDescent="0.25">
      <c r="B134" s="24" t="s">
        <v>69</v>
      </c>
      <c r="C134" s="12">
        <v>516</v>
      </c>
      <c r="D134" s="18"/>
      <c r="E134" s="35"/>
      <c r="F134" s="35"/>
      <c r="G134" s="35"/>
    </row>
    <row r="135" spans="2:7" x14ac:dyDescent="0.25">
      <c r="B135" s="24" t="s">
        <v>69</v>
      </c>
      <c r="C135" s="12">
        <v>517</v>
      </c>
      <c r="D135" s="18"/>
      <c r="E135" s="35"/>
      <c r="F135" s="35"/>
      <c r="G135" s="35"/>
    </row>
    <row r="136" spans="2:7" x14ac:dyDescent="0.25">
      <c r="B136" s="24" t="s">
        <v>69</v>
      </c>
      <c r="C136" s="12">
        <v>518</v>
      </c>
      <c r="D136" s="18"/>
      <c r="E136" s="35"/>
      <c r="F136" s="35"/>
      <c r="G136" s="35"/>
    </row>
    <row r="137" spans="2:7" x14ac:dyDescent="0.25">
      <c r="B137" s="24" t="s">
        <v>69</v>
      </c>
      <c r="C137" s="12">
        <v>519</v>
      </c>
      <c r="D137" s="18"/>
      <c r="E137" s="35"/>
      <c r="F137" s="35"/>
      <c r="G137" s="35"/>
    </row>
    <row r="138" spans="2:7" x14ac:dyDescent="0.25">
      <c r="B138" s="24" t="s">
        <v>69</v>
      </c>
      <c r="C138" s="12">
        <v>520</v>
      </c>
      <c r="D138" s="18"/>
      <c r="E138" s="35"/>
      <c r="F138" s="35"/>
      <c r="G138" s="35"/>
    </row>
    <row r="139" spans="2:7" x14ac:dyDescent="0.25">
      <c r="B139" s="24" t="s">
        <v>69</v>
      </c>
      <c r="C139" s="12">
        <v>521</v>
      </c>
      <c r="D139" s="18"/>
      <c r="E139" s="35"/>
      <c r="F139" s="35"/>
      <c r="G139" s="35"/>
    </row>
    <row r="140" spans="2:7" x14ac:dyDescent="0.25">
      <c r="B140" s="24" t="s">
        <v>69</v>
      </c>
      <c r="C140" s="12">
        <v>522</v>
      </c>
      <c r="D140" s="18"/>
      <c r="E140" s="35"/>
      <c r="F140" s="35"/>
      <c r="G140" s="35"/>
    </row>
    <row r="141" spans="2:7" x14ac:dyDescent="0.25">
      <c r="B141" s="24" t="s">
        <v>69</v>
      </c>
      <c r="C141" s="12">
        <v>523</v>
      </c>
      <c r="D141" s="18"/>
      <c r="E141" s="35"/>
      <c r="F141" s="35"/>
      <c r="G141" s="35"/>
    </row>
    <row r="142" spans="2:7" x14ac:dyDescent="0.25">
      <c r="B142" s="24" t="s">
        <v>69</v>
      </c>
      <c r="C142" s="12">
        <v>524</v>
      </c>
      <c r="D142" s="18"/>
      <c r="E142" s="35"/>
      <c r="F142" s="35"/>
      <c r="G142" s="35"/>
    </row>
    <row r="143" spans="2:7" x14ac:dyDescent="0.25">
      <c r="B143" s="24" t="s">
        <v>69</v>
      </c>
      <c r="C143" s="12">
        <v>525</v>
      </c>
      <c r="D143" s="19"/>
      <c r="E143" s="38"/>
      <c r="F143" s="38"/>
      <c r="G143" s="38"/>
    </row>
    <row r="144" spans="2:7" x14ac:dyDescent="0.25">
      <c r="B144" s="25"/>
      <c r="C144" s="22"/>
      <c r="D144" s="17"/>
      <c r="E144" s="37"/>
      <c r="F144" s="37"/>
      <c r="G144" s="37"/>
    </row>
    <row r="145" spans="2:7" x14ac:dyDescent="0.25">
      <c r="B145" s="33" t="s">
        <v>74</v>
      </c>
      <c r="D145" s="18"/>
      <c r="E145" s="35"/>
      <c r="F145" s="35"/>
      <c r="G145" s="35"/>
    </row>
    <row r="146" spans="2:7" x14ac:dyDescent="0.25">
      <c r="B146" s="24" t="s">
        <v>69</v>
      </c>
      <c r="C146" s="12">
        <v>601</v>
      </c>
      <c r="D146" s="18"/>
      <c r="E146" s="35"/>
      <c r="F146" s="35"/>
      <c r="G146" s="35"/>
    </row>
    <row r="147" spans="2:7" x14ac:dyDescent="0.25">
      <c r="B147" s="24" t="s">
        <v>69</v>
      </c>
      <c r="C147" s="12">
        <v>602</v>
      </c>
      <c r="D147" s="18"/>
      <c r="E147" s="35"/>
      <c r="F147" s="35"/>
      <c r="G147" s="35"/>
    </row>
    <row r="148" spans="2:7" x14ac:dyDescent="0.25">
      <c r="B148" s="24" t="s">
        <v>69</v>
      </c>
      <c r="C148" s="12">
        <v>603</v>
      </c>
      <c r="D148" s="18"/>
      <c r="E148" s="35"/>
      <c r="F148" s="35"/>
      <c r="G148" s="35"/>
    </row>
    <row r="149" spans="2:7" x14ac:dyDescent="0.25">
      <c r="B149" s="24" t="s">
        <v>69</v>
      </c>
      <c r="C149" s="12">
        <v>604</v>
      </c>
      <c r="D149" s="18"/>
      <c r="E149" s="35"/>
      <c r="F149" s="35"/>
      <c r="G149" s="35"/>
    </row>
    <row r="150" spans="2:7" x14ac:dyDescent="0.25">
      <c r="B150" s="24" t="s">
        <v>69</v>
      </c>
      <c r="C150" s="12">
        <v>605</v>
      </c>
      <c r="D150" s="18"/>
      <c r="E150" s="35"/>
      <c r="F150" s="35"/>
      <c r="G150" s="35"/>
    </row>
    <row r="151" spans="2:7" x14ac:dyDescent="0.25">
      <c r="B151" s="24" t="s">
        <v>69</v>
      </c>
      <c r="C151" s="12">
        <v>606</v>
      </c>
      <c r="D151" s="18"/>
      <c r="E151" s="35"/>
      <c r="F151" s="35"/>
      <c r="G151" s="35"/>
    </row>
    <row r="152" spans="2:7" x14ac:dyDescent="0.25">
      <c r="B152" s="24" t="s">
        <v>69</v>
      </c>
      <c r="C152" s="12">
        <v>607</v>
      </c>
      <c r="D152" s="18"/>
      <c r="E152" s="35"/>
      <c r="F152" s="35"/>
      <c r="G152" s="35"/>
    </row>
    <row r="153" spans="2:7" x14ac:dyDescent="0.25">
      <c r="B153" s="24" t="s">
        <v>69</v>
      </c>
      <c r="C153" s="12">
        <v>608</v>
      </c>
      <c r="D153" s="18"/>
      <c r="E153" s="35"/>
      <c r="F153" s="35"/>
      <c r="G153" s="35"/>
    </row>
    <row r="154" spans="2:7" x14ac:dyDescent="0.25">
      <c r="B154" s="24" t="s">
        <v>69</v>
      </c>
      <c r="C154" s="12">
        <v>609</v>
      </c>
      <c r="D154" s="18"/>
      <c r="E154" s="35"/>
      <c r="F154" s="35"/>
      <c r="G154" s="35"/>
    </row>
    <row r="155" spans="2:7" x14ac:dyDescent="0.25">
      <c r="B155" s="24" t="s">
        <v>69</v>
      </c>
      <c r="C155" s="12">
        <v>610</v>
      </c>
      <c r="D155" s="18"/>
      <c r="E155" s="35"/>
      <c r="F155" s="35"/>
      <c r="G155" s="35"/>
    </row>
    <row r="156" spans="2:7" x14ac:dyDescent="0.25">
      <c r="B156" s="24" t="s">
        <v>69</v>
      </c>
      <c r="C156" s="12">
        <v>611</v>
      </c>
      <c r="D156" s="18"/>
      <c r="E156" s="35"/>
      <c r="F156" s="35"/>
      <c r="G156" s="35"/>
    </row>
    <row r="157" spans="2:7" x14ac:dyDescent="0.25">
      <c r="B157" s="24" t="s">
        <v>69</v>
      </c>
      <c r="C157" s="12">
        <v>612</v>
      </c>
      <c r="D157" s="18"/>
      <c r="E157" s="35"/>
      <c r="F157" s="35"/>
      <c r="G157" s="35"/>
    </row>
    <row r="158" spans="2:7" x14ac:dyDescent="0.25">
      <c r="B158" s="24" t="s">
        <v>69</v>
      </c>
      <c r="C158" s="12">
        <v>613</v>
      </c>
      <c r="D158" s="18"/>
      <c r="E158" s="35"/>
      <c r="F158" s="35"/>
      <c r="G158" s="35"/>
    </row>
    <row r="159" spans="2:7" x14ac:dyDescent="0.25">
      <c r="B159" s="24" t="s">
        <v>69</v>
      </c>
      <c r="C159" s="12">
        <v>614</v>
      </c>
      <c r="D159" s="18"/>
      <c r="E159" s="35"/>
      <c r="F159" s="35"/>
      <c r="G159" s="35"/>
    </row>
    <row r="160" spans="2:7" x14ac:dyDescent="0.25">
      <c r="B160" s="24" t="s">
        <v>69</v>
      </c>
      <c r="C160" s="12">
        <v>615</v>
      </c>
      <c r="D160" s="18"/>
      <c r="E160" s="35"/>
      <c r="F160" s="35"/>
      <c r="G160" s="35"/>
    </row>
    <row r="161" spans="2:7" x14ac:dyDescent="0.25">
      <c r="B161" s="24" t="s">
        <v>69</v>
      </c>
      <c r="C161" s="12">
        <v>616</v>
      </c>
      <c r="D161" s="18"/>
      <c r="E161" s="35"/>
      <c r="F161" s="35"/>
      <c r="G161" s="35"/>
    </row>
    <row r="162" spans="2:7" x14ac:dyDescent="0.25">
      <c r="B162" s="24" t="s">
        <v>69</v>
      </c>
      <c r="C162" s="12">
        <v>617</v>
      </c>
      <c r="D162" s="18"/>
      <c r="E162" s="35"/>
      <c r="F162" s="35"/>
      <c r="G162" s="35"/>
    </row>
    <row r="163" spans="2:7" x14ac:dyDescent="0.25">
      <c r="B163" s="24" t="s">
        <v>69</v>
      </c>
      <c r="C163" s="12">
        <v>618</v>
      </c>
      <c r="D163" s="18"/>
      <c r="E163" s="35"/>
      <c r="F163" s="35"/>
      <c r="G163" s="35"/>
    </row>
    <row r="164" spans="2:7" x14ac:dyDescent="0.25">
      <c r="B164" s="24" t="s">
        <v>69</v>
      </c>
      <c r="C164" s="12">
        <v>619</v>
      </c>
      <c r="D164" s="18"/>
      <c r="E164" s="35"/>
      <c r="F164" s="35"/>
      <c r="G164" s="35"/>
    </row>
    <row r="165" spans="2:7" x14ac:dyDescent="0.25">
      <c r="B165" s="24" t="s">
        <v>69</v>
      </c>
      <c r="C165" s="12">
        <v>620</v>
      </c>
      <c r="D165" s="18"/>
      <c r="E165" s="35"/>
      <c r="F165" s="35"/>
      <c r="G165" s="35"/>
    </row>
    <row r="166" spans="2:7" x14ac:dyDescent="0.25">
      <c r="B166" s="24" t="s">
        <v>69</v>
      </c>
      <c r="C166" s="12">
        <v>621</v>
      </c>
      <c r="D166" s="18"/>
      <c r="E166" s="35"/>
      <c r="F166" s="35"/>
      <c r="G166" s="35"/>
    </row>
    <row r="167" spans="2:7" x14ac:dyDescent="0.25">
      <c r="B167" s="24" t="s">
        <v>69</v>
      </c>
      <c r="C167" s="12">
        <v>622</v>
      </c>
      <c r="D167" s="18"/>
      <c r="E167" s="35"/>
      <c r="F167" s="35"/>
      <c r="G167" s="35"/>
    </row>
    <row r="168" spans="2:7" x14ac:dyDescent="0.25">
      <c r="B168" s="24" t="s">
        <v>69</v>
      </c>
      <c r="C168" s="12">
        <v>623</v>
      </c>
      <c r="D168" s="18"/>
      <c r="E168" s="35"/>
      <c r="F168" s="35"/>
      <c r="G168" s="35"/>
    </row>
    <row r="169" spans="2:7" x14ac:dyDescent="0.25">
      <c r="B169" s="24" t="s">
        <v>69</v>
      </c>
      <c r="C169" s="12">
        <v>624</v>
      </c>
      <c r="D169" s="18"/>
      <c r="E169" s="35"/>
      <c r="F169" s="35"/>
      <c r="G169" s="35"/>
    </row>
    <row r="170" spans="2:7" x14ac:dyDescent="0.25">
      <c r="B170" s="24" t="s">
        <v>69</v>
      </c>
      <c r="C170" s="12">
        <v>625</v>
      </c>
      <c r="D170" s="19"/>
      <c r="E170" s="38"/>
      <c r="F170" s="38"/>
      <c r="G170" s="38"/>
    </row>
    <row r="171" spans="2:7" x14ac:dyDescent="0.25">
      <c r="B171" s="25"/>
      <c r="C171" s="22"/>
      <c r="D171" s="17"/>
      <c r="E171" s="37"/>
      <c r="F171" s="37"/>
      <c r="G171" s="37"/>
    </row>
    <row r="172" spans="2:7" x14ac:dyDescent="0.25">
      <c r="B172" s="33" t="s">
        <v>75</v>
      </c>
      <c r="D172" s="18"/>
      <c r="E172" s="35"/>
      <c r="F172" s="35"/>
      <c r="G172" s="35"/>
    </row>
    <row r="173" spans="2:7" x14ac:dyDescent="0.25">
      <c r="B173" s="24" t="s">
        <v>69</v>
      </c>
      <c r="C173" s="12">
        <v>701</v>
      </c>
      <c r="D173" s="18"/>
      <c r="E173" s="35"/>
      <c r="F173" s="35"/>
      <c r="G173" s="35"/>
    </row>
    <row r="174" spans="2:7" x14ac:dyDescent="0.25">
      <c r="B174" s="24" t="s">
        <v>69</v>
      </c>
      <c r="C174" s="12">
        <v>702</v>
      </c>
      <c r="D174" s="18"/>
      <c r="E174" s="35"/>
      <c r="F174" s="35"/>
      <c r="G174" s="35"/>
    </row>
    <row r="175" spans="2:7" x14ac:dyDescent="0.25">
      <c r="B175" s="24" t="s">
        <v>69</v>
      </c>
      <c r="C175" s="12">
        <v>703</v>
      </c>
      <c r="D175" s="18"/>
      <c r="E175" s="35"/>
      <c r="F175" s="35"/>
      <c r="G175" s="35"/>
    </row>
    <row r="176" spans="2:7" x14ac:dyDescent="0.25">
      <c r="B176" s="24" t="s">
        <v>69</v>
      </c>
      <c r="C176" s="12">
        <v>704</v>
      </c>
      <c r="D176" s="18"/>
      <c r="E176" s="35"/>
      <c r="F176" s="35"/>
      <c r="G176" s="35"/>
    </row>
    <row r="177" spans="2:7" x14ac:dyDescent="0.25">
      <c r="B177" s="24" t="s">
        <v>69</v>
      </c>
      <c r="C177" s="12">
        <v>705</v>
      </c>
      <c r="D177" s="18"/>
      <c r="E177" s="35"/>
      <c r="F177" s="35"/>
      <c r="G177" s="35"/>
    </row>
    <row r="178" spans="2:7" x14ac:dyDescent="0.25">
      <c r="B178" s="24" t="s">
        <v>69</v>
      </c>
      <c r="C178" s="12">
        <v>706</v>
      </c>
      <c r="D178" s="18"/>
      <c r="E178" s="35"/>
      <c r="F178" s="35"/>
      <c r="G178" s="35"/>
    </row>
    <row r="179" spans="2:7" x14ac:dyDescent="0.25">
      <c r="B179" s="24" t="s">
        <v>69</v>
      </c>
      <c r="C179" s="12">
        <v>707</v>
      </c>
      <c r="D179" s="18"/>
      <c r="E179" s="35"/>
      <c r="F179" s="35"/>
      <c r="G179" s="35"/>
    </row>
    <row r="180" spans="2:7" x14ac:dyDescent="0.25">
      <c r="B180" s="24" t="s">
        <v>69</v>
      </c>
      <c r="C180" s="12">
        <v>708</v>
      </c>
      <c r="D180" s="18"/>
      <c r="E180" s="35"/>
      <c r="F180" s="35"/>
      <c r="G180" s="35"/>
    </row>
    <row r="181" spans="2:7" x14ac:dyDescent="0.25">
      <c r="B181" s="24" t="s">
        <v>69</v>
      </c>
      <c r="C181" s="12">
        <v>709</v>
      </c>
      <c r="D181" s="18"/>
      <c r="E181" s="35"/>
      <c r="F181" s="35"/>
      <c r="G181" s="35"/>
    </row>
    <row r="182" spans="2:7" x14ac:dyDescent="0.25">
      <c r="B182" s="24" t="s">
        <v>69</v>
      </c>
      <c r="C182" s="12">
        <v>710</v>
      </c>
      <c r="D182" s="18"/>
      <c r="E182" s="35"/>
      <c r="F182" s="35"/>
      <c r="G182" s="35"/>
    </row>
    <row r="183" spans="2:7" x14ac:dyDescent="0.25">
      <c r="B183" s="24" t="s">
        <v>69</v>
      </c>
      <c r="C183" s="12">
        <v>711</v>
      </c>
      <c r="D183" s="18"/>
      <c r="E183" s="35"/>
      <c r="F183" s="35"/>
      <c r="G183" s="35"/>
    </row>
    <row r="184" spans="2:7" x14ac:dyDescent="0.25">
      <c r="B184" s="24" t="s">
        <v>69</v>
      </c>
      <c r="C184" s="12">
        <v>712</v>
      </c>
      <c r="D184" s="18"/>
      <c r="E184" s="35"/>
      <c r="F184" s="35"/>
      <c r="G184" s="35"/>
    </row>
    <row r="185" spans="2:7" x14ac:dyDescent="0.25">
      <c r="B185" s="24" t="s">
        <v>69</v>
      </c>
      <c r="C185" s="12">
        <v>713</v>
      </c>
      <c r="D185" s="18"/>
      <c r="E185" s="35"/>
      <c r="F185" s="35"/>
      <c r="G185" s="35"/>
    </row>
    <row r="186" spans="2:7" x14ac:dyDescent="0.25">
      <c r="B186" s="24" t="s">
        <v>69</v>
      </c>
      <c r="C186" s="12">
        <v>714</v>
      </c>
      <c r="D186" s="18"/>
      <c r="E186" s="35"/>
      <c r="F186" s="35"/>
      <c r="G186" s="35"/>
    </row>
    <row r="187" spans="2:7" x14ac:dyDescent="0.25">
      <c r="B187" s="24" t="s">
        <v>69</v>
      </c>
      <c r="C187" s="12">
        <v>715</v>
      </c>
      <c r="D187" s="18"/>
      <c r="E187" s="35"/>
      <c r="F187" s="35"/>
      <c r="G187" s="35"/>
    </row>
    <row r="188" spans="2:7" x14ac:dyDescent="0.25">
      <c r="B188" s="24" t="s">
        <v>69</v>
      </c>
      <c r="C188" s="12">
        <v>716</v>
      </c>
      <c r="D188" s="18"/>
      <c r="E188" s="35"/>
      <c r="F188" s="35"/>
      <c r="G188" s="35"/>
    </row>
    <row r="189" spans="2:7" x14ac:dyDescent="0.25">
      <c r="B189" s="24" t="s">
        <v>69</v>
      </c>
      <c r="C189" s="12">
        <v>717</v>
      </c>
      <c r="D189" s="18"/>
      <c r="E189" s="35"/>
      <c r="F189" s="35"/>
      <c r="G189" s="35"/>
    </row>
    <row r="190" spans="2:7" x14ac:dyDescent="0.25">
      <c r="B190" s="24" t="s">
        <v>69</v>
      </c>
      <c r="C190" s="12">
        <v>718</v>
      </c>
      <c r="D190" s="18"/>
      <c r="E190" s="35"/>
      <c r="F190" s="35"/>
      <c r="G190" s="35"/>
    </row>
    <row r="191" spans="2:7" x14ac:dyDescent="0.25">
      <c r="B191" s="24" t="s">
        <v>69</v>
      </c>
      <c r="C191" s="12">
        <v>719</v>
      </c>
      <c r="D191" s="18"/>
      <c r="E191" s="35"/>
      <c r="F191" s="35"/>
      <c r="G191" s="35"/>
    </row>
    <row r="192" spans="2:7" x14ac:dyDescent="0.25">
      <c r="B192" s="24" t="s">
        <v>69</v>
      </c>
      <c r="C192" s="12">
        <v>720</v>
      </c>
      <c r="D192" s="18"/>
      <c r="E192" s="35"/>
      <c r="F192" s="35"/>
      <c r="G192" s="35"/>
    </row>
    <row r="193" spans="2:7" x14ac:dyDescent="0.25">
      <c r="B193" s="24" t="s">
        <v>69</v>
      </c>
      <c r="C193" s="12">
        <v>721</v>
      </c>
      <c r="D193" s="18"/>
      <c r="E193" s="35"/>
      <c r="F193" s="35"/>
      <c r="G193" s="35"/>
    </row>
    <row r="194" spans="2:7" x14ac:dyDescent="0.25">
      <c r="B194" s="24" t="s">
        <v>69</v>
      </c>
      <c r="C194" s="12">
        <v>722</v>
      </c>
      <c r="D194" s="18"/>
      <c r="E194" s="35"/>
      <c r="F194" s="35"/>
      <c r="G194" s="35"/>
    </row>
    <row r="195" spans="2:7" x14ac:dyDescent="0.25">
      <c r="B195" s="24" t="s">
        <v>69</v>
      </c>
      <c r="C195" s="12">
        <v>723</v>
      </c>
      <c r="D195" s="18"/>
      <c r="E195" s="35"/>
      <c r="F195" s="35"/>
      <c r="G195" s="35"/>
    </row>
    <row r="196" spans="2:7" x14ac:dyDescent="0.25">
      <c r="B196" s="24" t="s">
        <v>69</v>
      </c>
      <c r="C196" s="12">
        <v>724</v>
      </c>
      <c r="D196" s="18"/>
      <c r="E196" s="35"/>
      <c r="F196" s="35"/>
      <c r="G196" s="35"/>
    </row>
    <row r="197" spans="2:7" x14ac:dyDescent="0.25">
      <c r="B197" s="24" t="s">
        <v>69</v>
      </c>
      <c r="C197" s="12">
        <v>725</v>
      </c>
      <c r="D197" s="18"/>
      <c r="E197" s="35"/>
      <c r="F197" s="35"/>
      <c r="G197" s="35"/>
    </row>
    <row r="198" spans="2:7" x14ac:dyDescent="0.25">
      <c r="B198" s="25"/>
      <c r="C198" s="22"/>
      <c r="D198" s="17"/>
      <c r="E198" s="37"/>
      <c r="F198" s="37"/>
      <c r="G198" s="37"/>
    </row>
    <row r="199" spans="2:7" x14ac:dyDescent="0.25">
      <c r="B199" s="33" t="s">
        <v>76</v>
      </c>
      <c r="D199" s="18"/>
      <c r="E199" s="35"/>
      <c r="F199" s="35"/>
      <c r="G199" s="35"/>
    </row>
    <row r="200" spans="2:7" x14ac:dyDescent="0.25">
      <c r="B200" s="24" t="s">
        <v>69</v>
      </c>
      <c r="C200" s="12">
        <v>801</v>
      </c>
      <c r="D200" s="18"/>
      <c r="E200" s="35"/>
      <c r="F200" s="35"/>
      <c r="G200" s="35"/>
    </row>
    <row r="201" spans="2:7" x14ac:dyDescent="0.25">
      <c r="B201" s="24" t="s">
        <v>69</v>
      </c>
      <c r="C201" s="12">
        <v>802</v>
      </c>
      <c r="D201" s="18"/>
      <c r="E201" s="35"/>
      <c r="F201" s="35"/>
      <c r="G201" s="35"/>
    </row>
    <row r="202" spans="2:7" x14ac:dyDescent="0.25">
      <c r="B202" s="24" t="s">
        <v>69</v>
      </c>
      <c r="C202" s="12">
        <v>803</v>
      </c>
      <c r="D202" s="18"/>
      <c r="E202" s="35"/>
      <c r="F202" s="35"/>
      <c r="G202" s="35"/>
    </row>
    <row r="203" spans="2:7" x14ac:dyDescent="0.25">
      <c r="B203" s="24" t="s">
        <v>69</v>
      </c>
      <c r="C203" s="12">
        <v>804</v>
      </c>
      <c r="D203" s="18"/>
      <c r="E203" s="35"/>
      <c r="F203" s="35"/>
      <c r="G203" s="35"/>
    </row>
    <row r="204" spans="2:7" x14ac:dyDescent="0.25">
      <c r="B204" s="24" t="s">
        <v>69</v>
      </c>
      <c r="C204" s="12">
        <v>805</v>
      </c>
      <c r="D204" s="18"/>
      <c r="E204" s="35"/>
      <c r="F204" s="35"/>
      <c r="G204" s="35"/>
    </row>
    <row r="205" spans="2:7" x14ac:dyDescent="0.25">
      <c r="B205" s="24" t="s">
        <v>69</v>
      </c>
      <c r="C205" s="12">
        <v>806</v>
      </c>
      <c r="D205" s="18"/>
      <c r="E205" s="35"/>
      <c r="F205" s="35"/>
      <c r="G205" s="35"/>
    </row>
    <row r="206" spans="2:7" x14ac:dyDescent="0.25">
      <c r="B206" s="24" t="s">
        <v>69</v>
      </c>
      <c r="C206" s="12">
        <v>807</v>
      </c>
      <c r="D206" s="18"/>
      <c r="E206" s="35"/>
      <c r="F206" s="35"/>
      <c r="G206" s="35"/>
    </row>
    <row r="207" spans="2:7" x14ac:dyDescent="0.25">
      <c r="B207" s="24" t="s">
        <v>69</v>
      </c>
      <c r="C207" s="12">
        <v>808</v>
      </c>
      <c r="D207" s="18"/>
      <c r="E207" s="35"/>
      <c r="F207" s="35"/>
      <c r="G207" s="35"/>
    </row>
    <row r="208" spans="2:7" x14ac:dyDescent="0.25">
      <c r="B208" s="24" t="s">
        <v>69</v>
      </c>
      <c r="C208" s="12">
        <v>809</v>
      </c>
      <c r="D208" s="18"/>
      <c r="E208" s="35"/>
      <c r="F208" s="35"/>
      <c r="G208" s="35"/>
    </row>
    <row r="209" spans="2:7" x14ac:dyDescent="0.25">
      <c r="B209" s="24" t="s">
        <v>69</v>
      </c>
      <c r="C209" s="12">
        <v>810</v>
      </c>
      <c r="D209" s="18"/>
      <c r="E209" s="35"/>
      <c r="F209" s="35"/>
      <c r="G209" s="35"/>
    </row>
    <row r="210" spans="2:7" x14ac:dyDescent="0.25">
      <c r="B210" s="24" t="s">
        <v>69</v>
      </c>
      <c r="C210" s="12">
        <v>811</v>
      </c>
      <c r="D210" s="18"/>
      <c r="E210" s="35"/>
      <c r="F210" s="35"/>
      <c r="G210" s="35"/>
    </row>
    <row r="211" spans="2:7" x14ac:dyDescent="0.25">
      <c r="B211" s="24" t="s">
        <v>69</v>
      </c>
      <c r="C211" s="12">
        <v>812</v>
      </c>
      <c r="D211" s="18"/>
      <c r="E211" s="35"/>
      <c r="F211" s="35"/>
      <c r="G211" s="35"/>
    </row>
    <row r="212" spans="2:7" x14ac:dyDescent="0.25">
      <c r="B212" s="24" t="s">
        <v>69</v>
      </c>
      <c r="C212" s="12">
        <v>813</v>
      </c>
      <c r="D212" s="18"/>
      <c r="E212" s="35"/>
      <c r="F212" s="35"/>
      <c r="G212" s="35"/>
    </row>
    <row r="213" spans="2:7" x14ac:dyDescent="0.25">
      <c r="B213" s="24" t="s">
        <v>69</v>
      </c>
      <c r="C213" s="12">
        <v>814</v>
      </c>
      <c r="D213" s="18"/>
      <c r="E213" s="35"/>
      <c r="F213" s="35"/>
      <c r="G213" s="35"/>
    </row>
    <row r="214" spans="2:7" x14ac:dyDescent="0.25">
      <c r="B214" s="24" t="s">
        <v>69</v>
      </c>
      <c r="C214" s="12">
        <v>815</v>
      </c>
      <c r="D214" s="18"/>
      <c r="E214" s="35"/>
      <c r="F214" s="35"/>
      <c r="G214" s="35"/>
    </row>
    <row r="215" spans="2:7" x14ac:dyDescent="0.25">
      <c r="B215" s="24" t="s">
        <v>69</v>
      </c>
      <c r="C215" s="12">
        <v>816</v>
      </c>
      <c r="D215" s="18"/>
      <c r="E215" s="35"/>
      <c r="F215" s="35"/>
      <c r="G215" s="35"/>
    </row>
    <row r="216" spans="2:7" x14ac:dyDescent="0.25">
      <c r="B216" s="24" t="s">
        <v>69</v>
      </c>
      <c r="C216" s="12">
        <v>817</v>
      </c>
      <c r="D216" s="18"/>
      <c r="E216" s="35"/>
      <c r="F216" s="35"/>
      <c r="G216" s="35"/>
    </row>
    <row r="217" spans="2:7" x14ac:dyDescent="0.25">
      <c r="B217" s="24" t="s">
        <v>69</v>
      </c>
      <c r="C217" s="12">
        <v>818</v>
      </c>
      <c r="D217" s="18"/>
      <c r="E217" s="35"/>
      <c r="F217" s="35"/>
      <c r="G217" s="35"/>
    </row>
    <row r="218" spans="2:7" x14ac:dyDescent="0.25">
      <c r="B218" s="24" t="s">
        <v>69</v>
      </c>
      <c r="C218" s="12">
        <v>819</v>
      </c>
      <c r="D218" s="18"/>
      <c r="E218" s="35"/>
      <c r="F218" s="35"/>
      <c r="G218" s="35"/>
    </row>
    <row r="219" spans="2:7" x14ac:dyDescent="0.25">
      <c r="B219" s="24" t="s">
        <v>69</v>
      </c>
      <c r="C219" s="12">
        <v>820</v>
      </c>
      <c r="D219" s="18"/>
      <c r="E219" s="35"/>
      <c r="F219" s="35"/>
      <c r="G219" s="35"/>
    </row>
    <row r="220" spans="2:7" x14ac:dyDescent="0.25">
      <c r="B220" s="24" t="s">
        <v>69</v>
      </c>
      <c r="C220" s="12">
        <v>821</v>
      </c>
      <c r="D220" s="18"/>
      <c r="E220" s="35"/>
      <c r="F220" s="35"/>
      <c r="G220" s="35"/>
    </row>
    <row r="221" spans="2:7" x14ac:dyDescent="0.25">
      <c r="B221" s="24" t="s">
        <v>69</v>
      </c>
      <c r="C221" s="12">
        <v>822</v>
      </c>
      <c r="D221" s="18"/>
      <c r="E221" s="35"/>
      <c r="F221" s="35"/>
      <c r="G221" s="35"/>
    </row>
    <row r="222" spans="2:7" x14ac:dyDescent="0.25">
      <c r="B222" s="24" t="s">
        <v>69</v>
      </c>
      <c r="C222" s="12">
        <v>823</v>
      </c>
      <c r="D222" s="18"/>
      <c r="E222" s="35"/>
      <c r="F222" s="35"/>
      <c r="G222" s="35"/>
    </row>
    <row r="223" spans="2:7" x14ac:dyDescent="0.25">
      <c r="B223" s="24" t="s">
        <v>69</v>
      </c>
      <c r="C223" s="12">
        <v>824</v>
      </c>
      <c r="D223" s="18"/>
      <c r="E223" s="35"/>
      <c r="F223" s="35"/>
      <c r="G223" s="35"/>
    </row>
    <row r="224" spans="2:7" x14ac:dyDescent="0.25">
      <c r="B224" s="24" t="s">
        <v>69</v>
      </c>
      <c r="C224" s="12">
        <v>825</v>
      </c>
      <c r="D224" s="19"/>
      <c r="E224" s="38"/>
      <c r="F224" s="38"/>
      <c r="G224" s="38"/>
    </row>
  </sheetData>
  <sheetProtection algorithmName="SHA-512" hashValue="VPNlsIm64MMwnPgS3XOgPFf8g073E6OiukVMtbX7TYkAoMPMzl75HE5PYlrfCbckTk/9196JYsJWsl97Pvbe6Q==" saltValue="ThVB8l7wPXa6kq7Id7Y4y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2"/>
  <dimension ref="A1:I94"/>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Credit - x-316</v>
      </c>
      <c r="B3" s="42"/>
      <c r="C3" s="42"/>
      <c r="D3" s="42"/>
      <c r="E3" s="42"/>
      <c r="F3" s="42"/>
      <c r="G3" s="42"/>
      <c r="H3" s="42"/>
      <c r="I3" s="42"/>
    </row>
    <row r="4" spans="1:9" x14ac:dyDescent="0.25">
      <c r="A4" s="44"/>
    </row>
    <row r="6" spans="1:9" x14ac:dyDescent="0.25">
      <c r="A6" s="74" t="s">
        <v>334</v>
      </c>
      <c r="B6" s="148" t="s">
        <v>335</v>
      </c>
      <c r="C6" s="148"/>
      <c r="D6" s="148"/>
      <c r="E6" s="148"/>
    </row>
    <row r="7" spans="1:9" x14ac:dyDescent="0.25">
      <c r="A7" s="76" t="s">
        <v>78</v>
      </c>
      <c r="B7" s="148" t="s">
        <v>67</v>
      </c>
      <c r="C7" s="148"/>
      <c r="D7" s="148"/>
      <c r="E7" s="148"/>
    </row>
    <row r="8" spans="1:9" x14ac:dyDescent="0.25">
      <c r="A8" s="76" t="s">
        <v>79</v>
      </c>
      <c r="B8" s="148">
        <v>2015</v>
      </c>
      <c r="C8" s="148"/>
      <c r="D8" s="148"/>
      <c r="E8" s="148"/>
    </row>
    <row r="9" spans="1:9" x14ac:dyDescent="0.25">
      <c r="A9" s="76" t="s">
        <v>80</v>
      </c>
      <c r="B9" s="148" t="s">
        <v>159</v>
      </c>
      <c r="C9" s="148"/>
      <c r="D9" s="148"/>
      <c r="E9" s="148"/>
    </row>
    <row r="10" spans="1:9" x14ac:dyDescent="0.25">
      <c r="A10" s="76" t="s">
        <v>6</v>
      </c>
      <c r="B10" s="148" t="s">
        <v>168</v>
      </c>
      <c r="C10" s="148"/>
      <c r="D10" s="148"/>
      <c r="E10" s="148"/>
    </row>
    <row r="11" spans="1:9" x14ac:dyDescent="0.25">
      <c r="A11" s="76" t="s">
        <v>81</v>
      </c>
      <c r="B11" s="148" t="s">
        <v>100</v>
      </c>
      <c r="C11" s="148"/>
      <c r="D11" s="148"/>
      <c r="E11" s="148"/>
    </row>
    <row r="12" spans="1:9" x14ac:dyDescent="0.25">
      <c r="A12" s="76" t="s">
        <v>82</v>
      </c>
      <c r="B12" s="148" t="s">
        <v>95</v>
      </c>
      <c r="C12" s="148"/>
      <c r="D12" s="148"/>
      <c r="E12" s="148"/>
    </row>
    <row r="13" spans="1:9" hidden="1" x14ac:dyDescent="0.25">
      <c r="A13" s="76" t="s">
        <v>342</v>
      </c>
      <c r="B13" s="148">
        <v>0</v>
      </c>
      <c r="C13" s="148"/>
      <c r="D13" s="148"/>
      <c r="E13" s="148"/>
    </row>
    <row r="14" spans="1:9" hidden="1" x14ac:dyDescent="0.25">
      <c r="A14" s="76" t="s">
        <v>84</v>
      </c>
      <c r="B14" s="148">
        <v>316</v>
      </c>
      <c r="C14" s="148"/>
      <c r="D14" s="148"/>
      <c r="E14" s="148"/>
    </row>
    <row r="15" spans="1:9" x14ac:dyDescent="0.25">
      <c r="A15" s="76" t="s">
        <v>345</v>
      </c>
      <c r="B15" s="148" t="s">
        <v>169</v>
      </c>
      <c r="C15" s="148"/>
      <c r="D15" s="148"/>
      <c r="E15" s="148"/>
    </row>
    <row r="16" spans="1:9" x14ac:dyDescent="0.25">
      <c r="A16" s="76" t="s">
        <v>86</v>
      </c>
      <c r="B16" s="148" t="s">
        <v>170</v>
      </c>
      <c r="C16" s="148"/>
      <c r="D16" s="148"/>
      <c r="E16" s="148"/>
    </row>
    <row r="17" spans="1:5" x14ac:dyDescent="0.25">
      <c r="A17" s="76" t="s">
        <v>414</v>
      </c>
      <c r="B17" s="148"/>
      <c r="C17" s="148"/>
      <c r="D17" s="148"/>
      <c r="E17" s="148"/>
    </row>
    <row r="18" spans="1:5" x14ac:dyDescent="0.25">
      <c r="A18" s="76" t="s">
        <v>88</v>
      </c>
      <c r="B18" s="152">
        <v>45070</v>
      </c>
      <c r="C18" s="148"/>
      <c r="D18" s="148"/>
      <c r="E18" s="148"/>
    </row>
    <row r="19" spans="1:5" x14ac:dyDescent="0.25">
      <c r="A19" s="76" t="s">
        <v>89</v>
      </c>
      <c r="B19" s="152">
        <v>45014</v>
      </c>
      <c r="C19" s="148"/>
      <c r="D19" s="148"/>
      <c r="E19" s="148"/>
    </row>
    <row r="20" spans="1:5" x14ac:dyDescent="0.25">
      <c r="A20" s="76" t="s">
        <v>90</v>
      </c>
      <c r="B20" s="148" t="s">
        <v>98</v>
      </c>
      <c r="C20" s="148"/>
      <c r="D20" s="148"/>
      <c r="E20" s="148"/>
    </row>
    <row r="21" spans="1:5" x14ac:dyDescent="0.25">
      <c r="A21" s="72" t="s">
        <v>91</v>
      </c>
      <c r="B21" s="148" t="s">
        <v>99</v>
      </c>
      <c r="C21" s="148"/>
      <c r="D21" s="148"/>
      <c r="E21" s="148"/>
    </row>
    <row r="23" spans="1:5" x14ac:dyDescent="0.25">
      <c r="B23" s="89" t="str">
        <f>HYPERLINK("#'Factor List'!A1","Back to Factor List")</f>
        <v>Back to Factor List</v>
      </c>
    </row>
    <row r="24" spans="1:5" x14ac:dyDescent="0.25">
      <c r="B24" s="89" t="s">
        <v>13</v>
      </c>
    </row>
    <row r="26" spans="1:5" x14ac:dyDescent="0.25">
      <c r="A26" s="85" t="s">
        <v>415</v>
      </c>
      <c r="B26" s="85" t="s">
        <v>435</v>
      </c>
      <c r="C26" s="85" t="s">
        <v>436</v>
      </c>
      <c r="D26" s="85" t="s">
        <v>437</v>
      </c>
      <c r="E26" s="85" t="s">
        <v>438</v>
      </c>
    </row>
    <row r="27" spans="1:5" x14ac:dyDescent="0.25">
      <c r="A27" s="86">
        <v>18</v>
      </c>
      <c r="B27" s="87">
        <v>9.17</v>
      </c>
      <c r="C27" s="87">
        <v>8.74</v>
      </c>
      <c r="D27" s="87">
        <v>8.33</v>
      </c>
      <c r="E27" s="87">
        <v>7.92</v>
      </c>
    </row>
    <row r="28" spans="1:5" x14ac:dyDescent="0.25">
      <c r="A28" s="86">
        <v>19</v>
      </c>
      <c r="B28" s="87">
        <v>9.3000000000000007</v>
      </c>
      <c r="C28" s="87">
        <v>8.8699999999999992</v>
      </c>
      <c r="D28" s="87">
        <v>8.44</v>
      </c>
      <c r="E28" s="87">
        <v>8.0299999999999994</v>
      </c>
    </row>
    <row r="29" spans="1:5" x14ac:dyDescent="0.25">
      <c r="A29" s="86">
        <v>20</v>
      </c>
      <c r="B29" s="87">
        <v>9.43</v>
      </c>
      <c r="C29" s="87">
        <v>8.99</v>
      </c>
      <c r="D29" s="87">
        <v>8.56</v>
      </c>
      <c r="E29" s="87">
        <v>8.14</v>
      </c>
    </row>
    <row r="30" spans="1:5" x14ac:dyDescent="0.25">
      <c r="A30" s="86">
        <v>21</v>
      </c>
      <c r="B30" s="87">
        <v>9.56</v>
      </c>
      <c r="C30" s="87">
        <v>9.11</v>
      </c>
      <c r="D30" s="87">
        <v>8.68</v>
      </c>
      <c r="E30" s="87">
        <v>8.25</v>
      </c>
    </row>
    <row r="31" spans="1:5" x14ac:dyDescent="0.25">
      <c r="A31" s="86">
        <v>22</v>
      </c>
      <c r="B31" s="87">
        <v>9.69</v>
      </c>
      <c r="C31" s="87">
        <v>9.24</v>
      </c>
      <c r="D31" s="87">
        <v>8.8000000000000007</v>
      </c>
      <c r="E31" s="87">
        <v>8.36</v>
      </c>
    </row>
    <row r="32" spans="1:5" x14ac:dyDescent="0.25">
      <c r="A32" s="86">
        <v>23</v>
      </c>
      <c r="B32" s="87">
        <v>9.83</v>
      </c>
      <c r="C32" s="87">
        <v>9.3699999999999992</v>
      </c>
      <c r="D32" s="87">
        <v>8.92</v>
      </c>
      <c r="E32" s="87">
        <v>8.48</v>
      </c>
    </row>
    <row r="33" spans="1:5" x14ac:dyDescent="0.25">
      <c r="A33" s="86">
        <v>24</v>
      </c>
      <c r="B33" s="87">
        <v>9.9700000000000006</v>
      </c>
      <c r="C33" s="87">
        <v>9.5</v>
      </c>
      <c r="D33" s="87">
        <v>9.0399999999999991</v>
      </c>
      <c r="E33" s="87">
        <v>8.59</v>
      </c>
    </row>
    <row r="34" spans="1:5" x14ac:dyDescent="0.25">
      <c r="A34" s="86">
        <v>25</v>
      </c>
      <c r="B34" s="87">
        <v>10.11</v>
      </c>
      <c r="C34" s="87">
        <v>9.6300000000000008</v>
      </c>
      <c r="D34" s="87">
        <v>9.17</v>
      </c>
      <c r="E34" s="87">
        <v>8.7100000000000009</v>
      </c>
    </row>
    <row r="35" spans="1:5" x14ac:dyDescent="0.25">
      <c r="A35" s="86">
        <v>26</v>
      </c>
      <c r="B35" s="87">
        <v>10.25</v>
      </c>
      <c r="C35" s="87">
        <v>9.77</v>
      </c>
      <c r="D35" s="87">
        <v>9.2899999999999991</v>
      </c>
      <c r="E35" s="87">
        <v>8.83</v>
      </c>
    </row>
    <row r="36" spans="1:5" x14ac:dyDescent="0.25">
      <c r="A36" s="86">
        <v>27</v>
      </c>
      <c r="B36" s="87">
        <v>10.39</v>
      </c>
      <c r="C36" s="87">
        <v>9.9</v>
      </c>
      <c r="D36" s="87">
        <v>9.42</v>
      </c>
      <c r="E36" s="87">
        <v>8.9499999999999993</v>
      </c>
    </row>
    <row r="37" spans="1:5" x14ac:dyDescent="0.25">
      <c r="A37" s="86">
        <v>28</v>
      </c>
      <c r="B37" s="87">
        <v>10.54</v>
      </c>
      <c r="C37" s="87">
        <v>10.039999999999999</v>
      </c>
      <c r="D37" s="87">
        <v>9.5500000000000007</v>
      </c>
      <c r="E37" s="87">
        <v>9.07</v>
      </c>
    </row>
    <row r="38" spans="1:5" x14ac:dyDescent="0.25">
      <c r="A38" s="86">
        <v>29</v>
      </c>
      <c r="B38" s="87">
        <v>10.69</v>
      </c>
      <c r="C38" s="87">
        <v>10.18</v>
      </c>
      <c r="D38" s="87">
        <v>9.68</v>
      </c>
      <c r="E38" s="87">
        <v>9.1999999999999993</v>
      </c>
    </row>
    <row r="39" spans="1:5" x14ac:dyDescent="0.25">
      <c r="A39" s="86">
        <v>30</v>
      </c>
      <c r="B39" s="87">
        <v>10.84</v>
      </c>
      <c r="C39" s="87">
        <v>10.32</v>
      </c>
      <c r="D39" s="87">
        <v>9.82</v>
      </c>
      <c r="E39" s="87">
        <v>9.32</v>
      </c>
    </row>
    <row r="40" spans="1:5" x14ac:dyDescent="0.25">
      <c r="A40" s="86">
        <v>31</v>
      </c>
      <c r="B40" s="87">
        <v>10.99</v>
      </c>
      <c r="C40" s="87">
        <v>10.46</v>
      </c>
      <c r="D40" s="87">
        <v>9.9499999999999993</v>
      </c>
      <c r="E40" s="87">
        <v>9.4499999999999993</v>
      </c>
    </row>
    <row r="41" spans="1:5" x14ac:dyDescent="0.25">
      <c r="A41" s="86">
        <v>32</v>
      </c>
      <c r="B41" s="87">
        <v>11.15</v>
      </c>
      <c r="C41" s="87">
        <v>10.61</v>
      </c>
      <c r="D41" s="87">
        <v>10.09</v>
      </c>
      <c r="E41" s="87">
        <v>9.58</v>
      </c>
    </row>
    <row r="42" spans="1:5" x14ac:dyDescent="0.25">
      <c r="A42" s="86">
        <v>33</v>
      </c>
      <c r="B42" s="87">
        <v>11.3</v>
      </c>
      <c r="C42" s="87">
        <v>10.76</v>
      </c>
      <c r="D42" s="87">
        <v>10.23</v>
      </c>
      <c r="E42" s="87">
        <v>9.7100000000000009</v>
      </c>
    </row>
    <row r="43" spans="1:5" x14ac:dyDescent="0.25">
      <c r="A43" s="86">
        <v>34</v>
      </c>
      <c r="B43" s="87">
        <v>11.46</v>
      </c>
      <c r="C43" s="87">
        <v>10.91</v>
      </c>
      <c r="D43" s="87">
        <v>10.37</v>
      </c>
      <c r="E43" s="87">
        <v>9.84</v>
      </c>
    </row>
    <row r="44" spans="1:5" x14ac:dyDescent="0.25">
      <c r="A44" s="86">
        <v>35</v>
      </c>
      <c r="B44" s="87">
        <v>11.63</v>
      </c>
      <c r="C44" s="87">
        <v>11.06</v>
      </c>
      <c r="D44" s="87">
        <v>10.52</v>
      </c>
      <c r="E44" s="87">
        <v>9.98</v>
      </c>
    </row>
    <row r="45" spans="1:5" x14ac:dyDescent="0.25">
      <c r="A45" s="86">
        <v>36</v>
      </c>
      <c r="B45" s="87">
        <v>11.79</v>
      </c>
      <c r="C45" s="87">
        <v>11.22</v>
      </c>
      <c r="D45" s="87">
        <v>10.66</v>
      </c>
      <c r="E45" s="87">
        <v>10.119999999999999</v>
      </c>
    </row>
    <row r="46" spans="1:5" x14ac:dyDescent="0.25">
      <c r="A46" s="86">
        <v>37</v>
      </c>
      <c r="B46" s="87">
        <v>11.96</v>
      </c>
      <c r="C46" s="87">
        <v>11.38</v>
      </c>
      <c r="D46" s="87">
        <v>10.81</v>
      </c>
      <c r="E46" s="87">
        <v>10.26</v>
      </c>
    </row>
    <row r="47" spans="1:5" x14ac:dyDescent="0.25">
      <c r="A47" s="86">
        <v>38</v>
      </c>
      <c r="B47" s="87">
        <v>12.13</v>
      </c>
      <c r="C47" s="87">
        <v>11.54</v>
      </c>
      <c r="D47" s="87">
        <v>10.96</v>
      </c>
      <c r="E47" s="87">
        <v>10.4</v>
      </c>
    </row>
    <row r="48" spans="1:5" x14ac:dyDescent="0.25">
      <c r="A48" s="86">
        <v>39</v>
      </c>
      <c r="B48" s="87">
        <v>12.31</v>
      </c>
      <c r="C48" s="87">
        <v>11.71</v>
      </c>
      <c r="D48" s="87">
        <v>11.12</v>
      </c>
      <c r="E48" s="87">
        <v>10.55</v>
      </c>
    </row>
    <row r="49" spans="1:5" x14ac:dyDescent="0.25">
      <c r="A49" s="86">
        <v>40</v>
      </c>
      <c r="B49" s="87">
        <v>12.48</v>
      </c>
      <c r="C49" s="87">
        <v>11.87</v>
      </c>
      <c r="D49" s="87">
        <v>11.28</v>
      </c>
      <c r="E49" s="87">
        <v>10.69</v>
      </c>
    </row>
    <row r="50" spans="1:5" x14ac:dyDescent="0.25">
      <c r="A50" s="86">
        <v>41</v>
      </c>
      <c r="B50" s="87">
        <v>12.67</v>
      </c>
      <c r="C50" s="87">
        <v>12.05</v>
      </c>
      <c r="D50" s="87">
        <v>11.44</v>
      </c>
      <c r="E50" s="87">
        <v>10.85</v>
      </c>
    </row>
    <row r="51" spans="1:5" x14ac:dyDescent="0.25">
      <c r="A51" s="86">
        <v>42</v>
      </c>
      <c r="B51" s="87">
        <v>12.85</v>
      </c>
      <c r="C51" s="87">
        <v>12.22</v>
      </c>
      <c r="D51" s="87">
        <v>11.6</v>
      </c>
      <c r="E51" s="87">
        <v>11</v>
      </c>
    </row>
    <row r="52" spans="1:5" x14ac:dyDescent="0.25">
      <c r="A52" s="86">
        <v>43</v>
      </c>
      <c r="B52" s="87">
        <v>13.04</v>
      </c>
      <c r="C52" s="87">
        <v>12.4</v>
      </c>
      <c r="D52" s="87">
        <v>11.77</v>
      </c>
      <c r="E52" s="87">
        <v>11.16</v>
      </c>
    </row>
    <row r="53" spans="1:5" x14ac:dyDescent="0.25">
      <c r="A53" s="86">
        <v>44</v>
      </c>
      <c r="B53" s="87">
        <v>13.24</v>
      </c>
      <c r="C53" s="87">
        <v>12.58</v>
      </c>
      <c r="D53" s="87">
        <v>11.94</v>
      </c>
      <c r="E53" s="87">
        <v>11.32</v>
      </c>
    </row>
    <row r="54" spans="1:5" x14ac:dyDescent="0.25">
      <c r="A54" s="86">
        <v>45</v>
      </c>
      <c r="B54" s="87">
        <v>13.44</v>
      </c>
      <c r="C54" s="87">
        <v>12.77</v>
      </c>
      <c r="D54" s="87">
        <v>12.12</v>
      </c>
      <c r="E54" s="87">
        <v>11.49</v>
      </c>
    </row>
    <row r="55" spans="1:5" x14ac:dyDescent="0.25">
      <c r="A55" s="86">
        <v>46</v>
      </c>
      <c r="B55" s="87">
        <v>13.64</v>
      </c>
      <c r="C55" s="87">
        <v>12.96</v>
      </c>
      <c r="D55" s="87">
        <v>12.3</v>
      </c>
      <c r="E55" s="87">
        <v>11.66</v>
      </c>
    </row>
    <row r="56" spans="1:5" x14ac:dyDescent="0.25">
      <c r="A56" s="86">
        <v>47</v>
      </c>
      <c r="B56" s="87">
        <v>13.85</v>
      </c>
      <c r="C56" s="87">
        <v>13.16</v>
      </c>
      <c r="D56" s="87">
        <v>12.49</v>
      </c>
      <c r="E56" s="87">
        <v>11.83</v>
      </c>
    </row>
    <row r="57" spans="1:5" x14ac:dyDescent="0.25">
      <c r="A57" s="86">
        <v>48</v>
      </c>
      <c r="B57" s="87">
        <v>14.07</v>
      </c>
      <c r="C57" s="87">
        <v>13.37</v>
      </c>
      <c r="D57" s="87">
        <v>12.68</v>
      </c>
      <c r="E57" s="87">
        <v>12.01</v>
      </c>
    </row>
    <row r="58" spans="1:5" x14ac:dyDescent="0.25">
      <c r="A58" s="86">
        <v>49</v>
      </c>
      <c r="B58" s="87">
        <v>14.29</v>
      </c>
      <c r="C58" s="87">
        <v>13.58</v>
      </c>
      <c r="D58" s="87">
        <v>12.88</v>
      </c>
      <c r="E58" s="87">
        <v>12.19</v>
      </c>
    </row>
    <row r="59" spans="1:5" x14ac:dyDescent="0.25">
      <c r="A59" s="86">
        <v>50</v>
      </c>
      <c r="B59" s="87">
        <v>14.52</v>
      </c>
      <c r="C59" s="87">
        <v>13.79</v>
      </c>
      <c r="D59" s="87">
        <v>13.08</v>
      </c>
      <c r="E59" s="87">
        <v>12.38</v>
      </c>
    </row>
    <row r="60" spans="1:5" x14ac:dyDescent="0.25">
      <c r="A60" s="86">
        <v>51</v>
      </c>
      <c r="B60" s="87">
        <v>14.76</v>
      </c>
      <c r="C60" s="87">
        <v>14.01</v>
      </c>
      <c r="D60" s="87">
        <v>13.29</v>
      </c>
      <c r="E60" s="87">
        <v>12.58</v>
      </c>
    </row>
    <row r="61" spans="1:5" x14ac:dyDescent="0.25">
      <c r="A61" s="86">
        <v>52</v>
      </c>
      <c r="B61" s="87">
        <v>15</v>
      </c>
      <c r="C61" s="87">
        <v>14.24</v>
      </c>
      <c r="D61" s="87">
        <v>13.5</v>
      </c>
      <c r="E61" s="87">
        <v>12.78</v>
      </c>
    </row>
    <row r="62" spans="1:5" x14ac:dyDescent="0.25">
      <c r="A62" s="86">
        <v>53</v>
      </c>
      <c r="B62" s="87">
        <v>15.25</v>
      </c>
      <c r="C62" s="87">
        <v>14.48</v>
      </c>
      <c r="D62" s="87">
        <v>13.72</v>
      </c>
      <c r="E62" s="87">
        <v>12.99</v>
      </c>
    </row>
    <row r="63" spans="1:5" x14ac:dyDescent="0.25">
      <c r="A63" s="86">
        <v>54</v>
      </c>
      <c r="B63" s="87">
        <v>15.51</v>
      </c>
      <c r="C63" s="87">
        <v>14.72</v>
      </c>
      <c r="D63" s="87">
        <v>13.95</v>
      </c>
      <c r="E63" s="87">
        <v>13.2</v>
      </c>
    </row>
    <row r="64" spans="1:5" x14ac:dyDescent="0.25">
      <c r="A64" s="86">
        <v>55</v>
      </c>
      <c r="B64" s="87">
        <v>15.77</v>
      </c>
      <c r="C64" s="87">
        <v>14.97</v>
      </c>
      <c r="D64" s="87">
        <v>14.18</v>
      </c>
      <c r="E64" s="87">
        <v>13.42</v>
      </c>
    </row>
    <row r="65" spans="1:5" x14ac:dyDescent="0.25">
      <c r="A65" s="86">
        <v>56</v>
      </c>
      <c r="B65" s="87">
        <v>16.04</v>
      </c>
      <c r="C65" s="87">
        <v>15.22</v>
      </c>
      <c r="D65" s="87">
        <v>14.42</v>
      </c>
      <c r="E65" s="87">
        <v>13.64</v>
      </c>
    </row>
    <row r="66" spans="1:5" x14ac:dyDescent="0.25">
      <c r="A66" s="86">
        <v>57</v>
      </c>
      <c r="B66" s="87">
        <v>16.329999999999998</v>
      </c>
      <c r="C66" s="87">
        <v>15.49</v>
      </c>
      <c r="D66" s="87">
        <v>14.67</v>
      </c>
      <c r="E66" s="87">
        <v>13.88</v>
      </c>
    </row>
    <row r="67" spans="1:5" x14ac:dyDescent="0.25">
      <c r="A67" s="86">
        <v>58</v>
      </c>
      <c r="B67" s="87">
        <v>16.62</v>
      </c>
      <c r="C67" s="87">
        <v>15.77</v>
      </c>
      <c r="D67" s="87">
        <v>14.93</v>
      </c>
      <c r="E67" s="87">
        <v>14.12</v>
      </c>
    </row>
    <row r="68" spans="1:5" x14ac:dyDescent="0.25">
      <c r="A68" s="86">
        <v>59</v>
      </c>
      <c r="B68" s="87">
        <v>16.920000000000002</v>
      </c>
      <c r="C68" s="87">
        <v>16.05</v>
      </c>
      <c r="D68" s="87">
        <v>15.2</v>
      </c>
      <c r="E68" s="87">
        <v>14.37</v>
      </c>
    </row>
    <row r="69" spans="1:5" x14ac:dyDescent="0.25">
      <c r="A69" s="86">
        <v>60</v>
      </c>
      <c r="B69" s="87">
        <v>17.239999999999998</v>
      </c>
      <c r="C69" s="87">
        <v>16.350000000000001</v>
      </c>
      <c r="D69" s="87">
        <v>15.48</v>
      </c>
      <c r="E69" s="87">
        <v>14.63</v>
      </c>
    </row>
    <row r="70" spans="1:5" x14ac:dyDescent="0.25">
      <c r="A70" s="86">
        <v>61</v>
      </c>
      <c r="B70" s="87">
        <v>17.57</v>
      </c>
      <c r="C70" s="87">
        <v>16.66</v>
      </c>
      <c r="D70" s="87">
        <v>15.77</v>
      </c>
      <c r="E70" s="87">
        <v>14.91</v>
      </c>
    </row>
    <row r="71" spans="1:5" x14ac:dyDescent="0.25">
      <c r="A71" s="86">
        <v>62</v>
      </c>
      <c r="B71" s="87">
        <v>17.91</v>
      </c>
      <c r="C71" s="87">
        <v>16.98</v>
      </c>
      <c r="D71" s="87">
        <v>16.07</v>
      </c>
      <c r="E71" s="87">
        <v>15.19</v>
      </c>
    </row>
    <row r="72" spans="1:5" x14ac:dyDescent="0.25">
      <c r="A72" s="86">
        <v>63</v>
      </c>
      <c r="B72" s="87">
        <v>18.27</v>
      </c>
      <c r="C72" s="87">
        <v>17.32</v>
      </c>
      <c r="D72" s="87">
        <v>16.39</v>
      </c>
      <c r="E72" s="87">
        <v>15.48</v>
      </c>
    </row>
    <row r="73" spans="1:5" x14ac:dyDescent="0.25">
      <c r="A73" s="86">
        <v>64</v>
      </c>
      <c r="B73" s="87">
        <v>18.64</v>
      </c>
      <c r="C73" s="87">
        <v>17.670000000000002</v>
      </c>
      <c r="D73" s="87">
        <v>16.72</v>
      </c>
      <c r="E73" s="87">
        <v>15.8</v>
      </c>
    </row>
    <row r="74" spans="1:5" x14ac:dyDescent="0.25">
      <c r="A74" s="86">
        <v>65</v>
      </c>
      <c r="B74" s="87">
        <v>18.52</v>
      </c>
      <c r="C74" s="87">
        <v>18.04</v>
      </c>
      <c r="D74" s="87">
        <v>17.07</v>
      </c>
      <c r="E74" s="87">
        <v>16.12</v>
      </c>
    </row>
    <row r="75" spans="1:5" x14ac:dyDescent="0.25">
      <c r="A75" s="86">
        <v>66</v>
      </c>
      <c r="B75" s="87">
        <v>17.88</v>
      </c>
      <c r="C75" s="87">
        <v>17.91</v>
      </c>
      <c r="D75" s="87">
        <v>17.440000000000001</v>
      </c>
      <c r="E75" s="87">
        <v>16.47</v>
      </c>
    </row>
    <row r="76" spans="1:5" x14ac:dyDescent="0.25">
      <c r="A76" s="86">
        <v>67</v>
      </c>
      <c r="B76" s="87">
        <v>17.239999999999998</v>
      </c>
      <c r="C76" s="87">
        <v>17.27</v>
      </c>
      <c r="D76" s="87">
        <v>17.3</v>
      </c>
      <c r="E76" s="87">
        <v>16.829999999999998</v>
      </c>
    </row>
    <row r="77" spans="1:5" x14ac:dyDescent="0.25">
      <c r="A77" s="86">
        <v>68</v>
      </c>
      <c r="B77" s="87">
        <v>16.61</v>
      </c>
      <c r="C77" s="87">
        <v>16.63</v>
      </c>
      <c r="D77" s="87">
        <v>16.649999999999999</v>
      </c>
      <c r="E77" s="87">
        <v>16.690000000000001</v>
      </c>
    </row>
    <row r="78" spans="1:5" x14ac:dyDescent="0.25">
      <c r="A78" s="86">
        <v>69</v>
      </c>
      <c r="B78" s="87">
        <v>15.98</v>
      </c>
      <c r="C78" s="87">
        <v>15.99</v>
      </c>
      <c r="D78" s="87">
        <v>16.010000000000002</v>
      </c>
      <c r="E78" s="87">
        <v>16.04</v>
      </c>
    </row>
    <row r="79" spans="1:5" x14ac:dyDescent="0.25">
      <c r="A79" s="86">
        <v>70</v>
      </c>
      <c r="B79" s="87">
        <v>15.35</v>
      </c>
      <c r="C79" s="87">
        <v>15.35</v>
      </c>
      <c r="D79" s="87">
        <v>15.36</v>
      </c>
      <c r="E79" s="87">
        <v>15.38</v>
      </c>
    </row>
    <row r="80" spans="1:5" x14ac:dyDescent="0.25">
      <c r="A80" s="86">
        <v>71</v>
      </c>
      <c r="B80" s="87">
        <v>14.72</v>
      </c>
      <c r="C80" s="87">
        <v>14.72</v>
      </c>
      <c r="D80" s="87">
        <v>14.73</v>
      </c>
      <c r="E80" s="87">
        <v>14.74</v>
      </c>
    </row>
    <row r="81" spans="1:5" x14ac:dyDescent="0.25">
      <c r="A81" s="86">
        <v>72</v>
      </c>
      <c r="B81" s="87">
        <v>14.1</v>
      </c>
      <c r="C81" s="87">
        <v>14.1</v>
      </c>
      <c r="D81" s="87">
        <v>14.1</v>
      </c>
      <c r="E81" s="87">
        <v>14.1</v>
      </c>
    </row>
    <row r="82" spans="1:5" x14ac:dyDescent="0.25">
      <c r="A82" s="86">
        <v>73</v>
      </c>
      <c r="B82" s="87">
        <v>13.48</v>
      </c>
      <c r="C82" s="87">
        <v>13.48</v>
      </c>
      <c r="D82" s="87">
        <v>13.48</v>
      </c>
      <c r="E82" s="87">
        <v>13.48</v>
      </c>
    </row>
    <row r="83" spans="1:5" x14ac:dyDescent="0.25">
      <c r="A83" s="86">
        <v>74</v>
      </c>
      <c r="B83" s="87">
        <v>12.86</v>
      </c>
      <c r="C83" s="87">
        <v>12.86</v>
      </c>
      <c r="D83" s="87">
        <v>12.86</v>
      </c>
      <c r="E83" s="87">
        <v>12.86</v>
      </c>
    </row>
    <row r="84" spans="1:5" x14ac:dyDescent="0.25">
      <c r="A84" s="86">
        <v>75</v>
      </c>
      <c r="B84" s="87">
        <v>12.24</v>
      </c>
      <c r="C84" s="87">
        <v>12.24</v>
      </c>
      <c r="D84" s="87">
        <v>12.24</v>
      </c>
      <c r="E84" s="87">
        <v>12.24</v>
      </c>
    </row>
    <row r="85" spans="1:5" x14ac:dyDescent="0.25">
      <c r="A85" s="86">
        <v>76</v>
      </c>
      <c r="B85" s="87">
        <v>11.63</v>
      </c>
      <c r="C85" s="87">
        <v>11.63</v>
      </c>
      <c r="D85" s="87">
        <v>11.63</v>
      </c>
      <c r="E85" s="87">
        <v>11.63</v>
      </c>
    </row>
    <row r="86" spans="1:5" x14ac:dyDescent="0.25">
      <c r="A86" s="86">
        <v>77</v>
      </c>
      <c r="B86" s="87">
        <v>11.02</v>
      </c>
      <c r="C86" s="87">
        <v>11.02</v>
      </c>
      <c r="D86" s="87">
        <v>11.02</v>
      </c>
      <c r="E86" s="87">
        <v>11.02</v>
      </c>
    </row>
    <row r="87" spans="1:5" x14ac:dyDescent="0.25">
      <c r="A87" s="86">
        <v>78</v>
      </c>
      <c r="B87" s="87">
        <v>10.42</v>
      </c>
      <c r="C87" s="87">
        <v>10.42</v>
      </c>
      <c r="D87" s="87">
        <v>10.42</v>
      </c>
      <c r="E87" s="87">
        <v>10.42</v>
      </c>
    </row>
    <row r="88" spans="1:5" x14ac:dyDescent="0.25">
      <c r="A88" s="86">
        <v>79</v>
      </c>
      <c r="B88" s="87">
        <v>9.83</v>
      </c>
      <c r="C88" s="87">
        <v>9.83</v>
      </c>
      <c r="D88" s="87">
        <v>9.83</v>
      </c>
      <c r="E88" s="87">
        <v>9.83</v>
      </c>
    </row>
    <row r="89" spans="1:5" x14ac:dyDescent="0.25">
      <c r="A89" s="86">
        <v>80</v>
      </c>
      <c r="B89" s="87">
        <v>9.26</v>
      </c>
      <c r="C89" s="87">
        <v>9.26</v>
      </c>
      <c r="D89" s="87">
        <v>9.26</v>
      </c>
      <c r="E89" s="87">
        <v>9.26</v>
      </c>
    </row>
    <row r="90" spans="1:5" x14ac:dyDescent="0.25">
      <c r="A90" s="86">
        <v>81</v>
      </c>
      <c r="B90" s="87">
        <v>8.69</v>
      </c>
      <c r="C90" s="87">
        <v>8.69</v>
      </c>
      <c r="D90" s="87">
        <v>8.69</v>
      </c>
      <c r="E90" s="87">
        <v>8.69</v>
      </c>
    </row>
    <row r="91" spans="1:5" x14ac:dyDescent="0.25">
      <c r="A91" s="86">
        <v>82</v>
      </c>
      <c r="B91" s="87">
        <v>8.14</v>
      </c>
      <c r="C91" s="87">
        <v>8.14</v>
      </c>
      <c r="D91" s="87">
        <v>8.14</v>
      </c>
      <c r="E91" s="87">
        <v>8.14</v>
      </c>
    </row>
    <row r="92" spans="1:5" x14ac:dyDescent="0.25">
      <c r="A92" s="86">
        <v>83</v>
      </c>
      <c r="B92" s="87">
        <v>7.6</v>
      </c>
      <c r="C92" s="87">
        <v>7.6</v>
      </c>
      <c r="D92" s="87">
        <v>7.6</v>
      </c>
      <c r="E92" s="87">
        <v>7.6</v>
      </c>
    </row>
    <row r="93" spans="1:5" x14ac:dyDescent="0.25">
      <c r="A93" s="86">
        <v>84</v>
      </c>
      <c r="B93" s="87">
        <v>7.08</v>
      </c>
      <c r="C93" s="87">
        <v>7.08</v>
      </c>
      <c r="D93" s="87">
        <v>7.08</v>
      </c>
      <c r="E93" s="87">
        <v>7.08</v>
      </c>
    </row>
    <row r="94" spans="1:5" x14ac:dyDescent="0.25">
      <c r="A94" s="86">
        <v>85</v>
      </c>
      <c r="B94" s="87">
        <v>6.58</v>
      </c>
      <c r="C94" s="87">
        <v>6.58</v>
      </c>
      <c r="D94" s="87">
        <v>6.58</v>
      </c>
      <c r="E94" s="87">
        <v>6.58</v>
      </c>
    </row>
  </sheetData>
  <sheetProtection algorithmName="SHA-512" hashValue="UPAKVwR/PRrupzXmTZrGYtni1jseIvvU6dAvsWriDMhWpcP/82EiSJWqTMoHS/casv/DT/hdrgVx4VNGwelHMA==" saltValue="iDG9J6OPyG8CA1j59bvrlw==" spinCount="100000" sheet="1" objects="1" scenarios="1"/>
  <conditionalFormatting sqref="A6:A21">
    <cfRule type="expression" dxfId="519" priority="1" stopIfTrue="1">
      <formula>MOD(ROW(),2)=0</formula>
    </cfRule>
    <cfRule type="expression" dxfId="518" priority="2" stopIfTrue="1">
      <formula>MOD(ROW(),2)&lt;&gt;0</formula>
    </cfRule>
  </conditionalFormatting>
  <conditionalFormatting sqref="A26:A94">
    <cfRule type="expression" dxfId="517" priority="3" stopIfTrue="1">
      <formula>MOD(ROW(),2)=0</formula>
    </cfRule>
    <cfRule type="expression" dxfId="516" priority="4" stopIfTrue="1">
      <formula>MOD(ROW(),2)&lt;&gt;0</formula>
    </cfRule>
  </conditionalFormatting>
  <conditionalFormatting sqref="B17:B21">
    <cfRule type="expression" dxfId="515" priority="7" stopIfTrue="1">
      <formula>MOD(ROW(),2)=0</formula>
    </cfRule>
    <cfRule type="expression" dxfId="514" priority="8" stopIfTrue="1">
      <formula>MOD(ROW(),2)&lt;&gt;0</formula>
    </cfRule>
  </conditionalFormatting>
  <conditionalFormatting sqref="B6:E21">
    <cfRule type="expression" dxfId="513" priority="19" stopIfTrue="1">
      <formula>MOD(ROW(),2)=0</formula>
    </cfRule>
    <cfRule type="expression" dxfId="512" priority="20" stopIfTrue="1">
      <formula>MOD(ROW(),2)&lt;&gt;0</formula>
    </cfRule>
  </conditionalFormatting>
  <conditionalFormatting sqref="B26:E94">
    <cfRule type="expression" dxfId="511" priority="5" stopIfTrue="1">
      <formula>MOD(ROW(),2)=0</formula>
    </cfRule>
    <cfRule type="expression" dxfId="510" priority="6" stopIfTrue="1">
      <formula>MOD(ROW(),2)&lt;&gt;0</formula>
    </cfRule>
  </conditionalFormatting>
  <hyperlinks>
    <hyperlink ref="B24" location="Assumptions!A1" display="Assumptions" xr:uid="{270E4784-DE6D-415A-9DDA-41B0EEF403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dimension ref="A1:I94"/>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Credit - x-317</v>
      </c>
      <c r="B3" s="42"/>
      <c r="C3" s="42"/>
      <c r="D3" s="42"/>
      <c r="E3" s="42"/>
      <c r="F3" s="42"/>
      <c r="G3" s="42"/>
      <c r="H3" s="42"/>
      <c r="I3" s="42"/>
    </row>
    <row r="4" spans="1:9" x14ac:dyDescent="0.25">
      <c r="A4" s="44"/>
    </row>
    <row r="6" spans="1:9" x14ac:dyDescent="0.25">
      <c r="A6" s="74" t="s">
        <v>334</v>
      </c>
      <c r="B6" s="148" t="s">
        <v>335</v>
      </c>
      <c r="C6" s="148"/>
      <c r="D6" s="148"/>
      <c r="E6" s="148"/>
    </row>
    <row r="7" spans="1:9" x14ac:dyDescent="0.25">
      <c r="A7" s="76" t="s">
        <v>78</v>
      </c>
      <c r="B7" s="148" t="s">
        <v>67</v>
      </c>
      <c r="C7" s="148"/>
      <c r="D7" s="148"/>
      <c r="E7" s="148"/>
    </row>
    <row r="8" spans="1:9" x14ac:dyDescent="0.25">
      <c r="A8" s="76" t="s">
        <v>79</v>
      </c>
      <c r="B8" s="148">
        <v>2015</v>
      </c>
      <c r="C8" s="148"/>
      <c r="D8" s="148"/>
      <c r="E8" s="148"/>
    </row>
    <row r="9" spans="1:9" x14ac:dyDescent="0.25">
      <c r="A9" s="76" t="s">
        <v>80</v>
      </c>
      <c r="B9" s="148" t="s">
        <v>159</v>
      </c>
      <c r="C9" s="148"/>
      <c r="D9" s="148"/>
      <c r="E9" s="148"/>
    </row>
    <row r="10" spans="1:9" x14ac:dyDescent="0.25">
      <c r="A10" s="76" t="s">
        <v>6</v>
      </c>
      <c r="B10" s="148" t="s">
        <v>171</v>
      </c>
      <c r="C10" s="148"/>
      <c r="D10" s="148"/>
      <c r="E10" s="148"/>
    </row>
    <row r="11" spans="1:9" x14ac:dyDescent="0.25">
      <c r="A11" s="76" t="s">
        <v>81</v>
      </c>
      <c r="B11" s="148" t="s">
        <v>94</v>
      </c>
      <c r="C11" s="148"/>
      <c r="D11" s="148"/>
      <c r="E11" s="148"/>
    </row>
    <row r="12" spans="1:9" x14ac:dyDescent="0.25">
      <c r="A12" s="76" t="s">
        <v>82</v>
      </c>
      <c r="B12" s="148" t="s">
        <v>95</v>
      </c>
      <c r="C12" s="148"/>
      <c r="D12" s="148"/>
      <c r="E12" s="148"/>
    </row>
    <row r="13" spans="1:9" hidden="1" x14ac:dyDescent="0.25">
      <c r="A13" s="76" t="s">
        <v>342</v>
      </c>
      <c r="B13" s="148">
        <v>0</v>
      </c>
      <c r="C13" s="148"/>
      <c r="D13" s="148"/>
      <c r="E13" s="148"/>
    </row>
    <row r="14" spans="1:9" hidden="1" x14ac:dyDescent="0.25">
      <c r="A14" s="76" t="s">
        <v>84</v>
      </c>
      <c r="B14" s="148">
        <v>317</v>
      </c>
      <c r="C14" s="148"/>
      <c r="D14" s="148"/>
      <c r="E14" s="148"/>
    </row>
    <row r="15" spans="1:9" x14ac:dyDescent="0.25">
      <c r="A15" s="76" t="s">
        <v>345</v>
      </c>
      <c r="B15" s="148" t="s">
        <v>172</v>
      </c>
      <c r="C15" s="148"/>
      <c r="D15" s="148"/>
      <c r="E15" s="148"/>
    </row>
    <row r="16" spans="1:9" x14ac:dyDescent="0.25">
      <c r="A16" s="76" t="s">
        <v>86</v>
      </c>
      <c r="B16" s="148" t="s">
        <v>173</v>
      </c>
      <c r="C16" s="148"/>
      <c r="D16" s="148"/>
      <c r="E16" s="148"/>
    </row>
    <row r="17" spans="1:5" x14ac:dyDescent="0.25">
      <c r="A17" s="76" t="s">
        <v>414</v>
      </c>
      <c r="B17" s="148"/>
      <c r="C17" s="148"/>
      <c r="D17" s="148"/>
      <c r="E17" s="148"/>
    </row>
    <row r="18" spans="1:5" x14ac:dyDescent="0.25">
      <c r="A18" s="76" t="s">
        <v>88</v>
      </c>
      <c r="B18" s="152">
        <v>45070</v>
      </c>
      <c r="C18" s="148"/>
      <c r="D18" s="148"/>
      <c r="E18" s="148"/>
    </row>
    <row r="19" spans="1:5" x14ac:dyDescent="0.25">
      <c r="A19" s="76" t="s">
        <v>89</v>
      </c>
      <c r="B19" s="152">
        <v>45014</v>
      </c>
      <c r="C19" s="148"/>
      <c r="D19" s="148"/>
      <c r="E19" s="148"/>
    </row>
    <row r="20" spans="1:5" x14ac:dyDescent="0.25">
      <c r="A20" s="76" t="s">
        <v>90</v>
      </c>
      <c r="B20" s="148" t="s">
        <v>98</v>
      </c>
      <c r="C20" s="148"/>
      <c r="D20" s="148"/>
      <c r="E20" s="148"/>
    </row>
    <row r="21" spans="1:5" x14ac:dyDescent="0.25">
      <c r="A21" s="72" t="s">
        <v>91</v>
      </c>
      <c r="B21" s="148" t="s">
        <v>99</v>
      </c>
      <c r="C21" s="148"/>
      <c r="D21" s="148"/>
      <c r="E21" s="148"/>
    </row>
    <row r="23" spans="1:5" x14ac:dyDescent="0.25">
      <c r="B23" s="89" t="str">
        <f>HYPERLINK("#'Factor List'!A1","Back to Factor List")</f>
        <v>Back to Factor List</v>
      </c>
    </row>
    <row r="24" spans="1:5" x14ac:dyDescent="0.25">
      <c r="B24" s="89" t="s">
        <v>13</v>
      </c>
    </row>
    <row r="26" spans="1:5" x14ac:dyDescent="0.25">
      <c r="A26" s="85" t="s">
        <v>415</v>
      </c>
      <c r="B26" s="85" t="s">
        <v>435</v>
      </c>
      <c r="C26" s="85" t="s">
        <v>436</v>
      </c>
      <c r="D26" s="85" t="s">
        <v>437</v>
      </c>
      <c r="E26" s="85" t="s">
        <v>438</v>
      </c>
    </row>
    <row r="27" spans="1:5" x14ac:dyDescent="0.25">
      <c r="A27" s="86">
        <v>18</v>
      </c>
      <c r="B27" s="87">
        <v>9.17</v>
      </c>
      <c r="C27" s="87">
        <v>8.74</v>
      </c>
      <c r="D27" s="87">
        <v>8.33</v>
      </c>
      <c r="E27" s="87">
        <v>7.92</v>
      </c>
    </row>
    <row r="28" spans="1:5" x14ac:dyDescent="0.25">
      <c r="A28" s="86">
        <v>19</v>
      </c>
      <c r="B28" s="87">
        <v>9.3000000000000007</v>
      </c>
      <c r="C28" s="87">
        <v>8.8699999999999992</v>
      </c>
      <c r="D28" s="87">
        <v>8.44</v>
      </c>
      <c r="E28" s="87">
        <v>8.0299999999999994</v>
      </c>
    </row>
    <row r="29" spans="1:5" x14ac:dyDescent="0.25">
      <c r="A29" s="86">
        <v>20</v>
      </c>
      <c r="B29" s="87">
        <v>9.43</v>
      </c>
      <c r="C29" s="87">
        <v>8.99</v>
      </c>
      <c r="D29" s="87">
        <v>8.56</v>
      </c>
      <c r="E29" s="87">
        <v>8.14</v>
      </c>
    </row>
    <row r="30" spans="1:5" x14ac:dyDescent="0.25">
      <c r="A30" s="86">
        <v>21</v>
      </c>
      <c r="B30" s="87">
        <v>9.56</v>
      </c>
      <c r="C30" s="87">
        <v>9.11</v>
      </c>
      <c r="D30" s="87">
        <v>8.68</v>
      </c>
      <c r="E30" s="87">
        <v>8.25</v>
      </c>
    </row>
    <row r="31" spans="1:5" x14ac:dyDescent="0.25">
      <c r="A31" s="86">
        <v>22</v>
      </c>
      <c r="B31" s="87">
        <v>9.69</v>
      </c>
      <c r="C31" s="87">
        <v>9.24</v>
      </c>
      <c r="D31" s="87">
        <v>8.8000000000000007</v>
      </c>
      <c r="E31" s="87">
        <v>8.36</v>
      </c>
    </row>
    <row r="32" spans="1:5" x14ac:dyDescent="0.25">
      <c r="A32" s="86">
        <v>23</v>
      </c>
      <c r="B32" s="87">
        <v>9.83</v>
      </c>
      <c r="C32" s="87">
        <v>9.3699999999999992</v>
      </c>
      <c r="D32" s="87">
        <v>8.92</v>
      </c>
      <c r="E32" s="87">
        <v>8.48</v>
      </c>
    </row>
    <row r="33" spans="1:5" x14ac:dyDescent="0.25">
      <c r="A33" s="86">
        <v>24</v>
      </c>
      <c r="B33" s="87">
        <v>9.9700000000000006</v>
      </c>
      <c r="C33" s="87">
        <v>9.5</v>
      </c>
      <c r="D33" s="87">
        <v>9.0399999999999991</v>
      </c>
      <c r="E33" s="87">
        <v>8.59</v>
      </c>
    </row>
    <row r="34" spans="1:5" x14ac:dyDescent="0.25">
      <c r="A34" s="86">
        <v>25</v>
      </c>
      <c r="B34" s="87">
        <v>10.11</v>
      </c>
      <c r="C34" s="87">
        <v>9.6300000000000008</v>
      </c>
      <c r="D34" s="87">
        <v>9.17</v>
      </c>
      <c r="E34" s="87">
        <v>8.7100000000000009</v>
      </c>
    </row>
    <row r="35" spans="1:5" x14ac:dyDescent="0.25">
      <c r="A35" s="86">
        <v>26</v>
      </c>
      <c r="B35" s="87">
        <v>10.25</v>
      </c>
      <c r="C35" s="87">
        <v>9.77</v>
      </c>
      <c r="D35" s="87">
        <v>9.2899999999999991</v>
      </c>
      <c r="E35" s="87">
        <v>8.83</v>
      </c>
    </row>
    <row r="36" spans="1:5" x14ac:dyDescent="0.25">
      <c r="A36" s="86">
        <v>27</v>
      </c>
      <c r="B36" s="87">
        <v>10.39</v>
      </c>
      <c r="C36" s="87">
        <v>9.9</v>
      </c>
      <c r="D36" s="87">
        <v>9.42</v>
      </c>
      <c r="E36" s="87">
        <v>8.9499999999999993</v>
      </c>
    </row>
    <row r="37" spans="1:5" x14ac:dyDescent="0.25">
      <c r="A37" s="86">
        <v>28</v>
      </c>
      <c r="B37" s="87">
        <v>10.54</v>
      </c>
      <c r="C37" s="87">
        <v>10.039999999999999</v>
      </c>
      <c r="D37" s="87">
        <v>9.5500000000000007</v>
      </c>
      <c r="E37" s="87">
        <v>9.07</v>
      </c>
    </row>
    <row r="38" spans="1:5" x14ac:dyDescent="0.25">
      <c r="A38" s="86">
        <v>29</v>
      </c>
      <c r="B38" s="87">
        <v>10.69</v>
      </c>
      <c r="C38" s="87">
        <v>10.18</v>
      </c>
      <c r="D38" s="87">
        <v>9.68</v>
      </c>
      <c r="E38" s="87">
        <v>9.1999999999999993</v>
      </c>
    </row>
    <row r="39" spans="1:5" x14ac:dyDescent="0.25">
      <c r="A39" s="86">
        <v>30</v>
      </c>
      <c r="B39" s="87">
        <v>10.84</v>
      </c>
      <c r="C39" s="87">
        <v>10.32</v>
      </c>
      <c r="D39" s="87">
        <v>9.82</v>
      </c>
      <c r="E39" s="87">
        <v>9.32</v>
      </c>
    </row>
    <row r="40" spans="1:5" x14ac:dyDescent="0.25">
      <c r="A40" s="86">
        <v>31</v>
      </c>
      <c r="B40" s="87">
        <v>10.99</v>
      </c>
      <c r="C40" s="87">
        <v>10.46</v>
      </c>
      <c r="D40" s="87">
        <v>9.9499999999999993</v>
      </c>
      <c r="E40" s="87">
        <v>9.4499999999999993</v>
      </c>
    </row>
    <row r="41" spans="1:5" x14ac:dyDescent="0.25">
      <c r="A41" s="86">
        <v>32</v>
      </c>
      <c r="B41" s="87">
        <v>11.15</v>
      </c>
      <c r="C41" s="87">
        <v>10.61</v>
      </c>
      <c r="D41" s="87">
        <v>10.09</v>
      </c>
      <c r="E41" s="87">
        <v>9.58</v>
      </c>
    </row>
    <row r="42" spans="1:5" x14ac:dyDescent="0.25">
      <c r="A42" s="86">
        <v>33</v>
      </c>
      <c r="B42" s="87">
        <v>11.3</v>
      </c>
      <c r="C42" s="87">
        <v>10.76</v>
      </c>
      <c r="D42" s="87">
        <v>10.23</v>
      </c>
      <c r="E42" s="87">
        <v>9.7100000000000009</v>
      </c>
    </row>
    <row r="43" spans="1:5" x14ac:dyDescent="0.25">
      <c r="A43" s="86">
        <v>34</v>
      </c>
      <c r="B43" s="87">
        <v>11.46</v>
      </c>
      <c r="C43" s="87">
        <v>10.91</v>
      </c>
      <c r="D43" s="87">
        <v>10.37</v>
      </c>
      <c r="E43" s="87">
        <v>9.84</v>
      </c>
    </row>
    <row r="44" spans="1:5" x14ac:dyDescent="0.25">
      <c r="A44" s="86">
        <v>35</v>
      </c>
      <c r="B44" s="87">
        <v>11.63</v>
      </c>
      <c r="C44" s="87">
        <v>11.06</v>
      </c>
      <c r="D44" s="87">
        <v>10.52</v>
      </c>
      <c r="E44" s="87">
        <v>9.98</v>
      </c>
    </row>
    <row r="45" spans="1:5" x14ac:dyDescent="0.25">
      <c r="A45" s="86">
        <v>36</v>
      </c>
      <c r="B45" s="87">
        <v>11.79</v>
      </c>
      <c r="C45" s="87">
        <v>11.22</v>
      </c>
      <c r="D45" s="87">
        <v>10.66</v>
      </c>
      <c r="E45" s="87">
        <v>10.119999999999999</v>
      </c>
    </row>
    <row r="46" spans="1:5" x14ac:dyDescent="0.25">
      <c r="A46" s="86">
        <v>37</v>
      </c>
      <c r="B46" s="87">
        <v>11.96</v>
      </c>
      <c r="C46" s="87">
        <v>11.38</v>
      </c>
      <c r="D46" s="87">
        <v>10.81</v>
      </c>
      <c r="E46" s="87">
        <v>10.26</v>
      </c>
    </row>
    <row r="47" spans="1:5" x14ac:dyDescent="0.25">
      <c r="A47" s="86">
        <v>38</v>
      </c>
      <c r="B47" s="87">
        <v>12.13</v>
      </c>
      <c r="C47" s="87">
        <v>11.54</v>
      </c>
      <c r="D47" s="87">
        <v>10.96</v>
      </c>
      <c r="E47" s="87">
        <v>10.4</v>
      </c>
    </row>
    <row r="48" spans="1:5" x14ac:dyDescent="0.25">
      <c r="A48" s="86">
        <v>39</v>
      </c>
      <c r="B48" s="87">
        <v>12.31</v>
      </c>
      <c r="C48" s="87">
        <v>11.71</v>
      </c>
      <c r="D48" s="87">
        <v>11.12</v>
      </c>
      <c r="E48" s="87">
        <v>10.55</v>
      </c>
    </row>
    <row r="49" spans="1:5" x14ac:dyDescent="0.25">
      <c r="A49" s="86">
        <v>40</v>
      </c>
      <c r="B49" s="87">
        <v>12.48</v>
      </c>
      <c r="C49" s="87">
        <v>11.87</v>
      </c>
      <c r="D49" s="87">
        <v>11.28</v>
      </c>
      <c r="E49" s="87">
        <v>10.69</v>
      </c>
    </row>
    <row r="50" spans="1:5" x14ac:dyDescent="0.25">
      <c r="A50" s="86">
        <v>41</v>
      </c>
      <c r="B50" s="87">
        <v>12.67</v>
      </c>
      <c r="C50" s="87">
        <v>12.05</v>
      </c>
      <c r="D50" s="87">
        <v>11.44</v>
      </c>
      <c r="E50" s="87">
        <v>10.85</v>
      </c>
    </row>
    <row r="51" spans="1:5" x14ac:dyDescent="0.25">
      <c r="A51" s="86">
        <v>42</v>
      </c>
      <c r="B51" s="87">
        <v>12.85</v>
      </c>
      <c r="C51" s="87">
        <v>12.22</v>
      </c>
      <c r="D51" s="87">
        <v>11.6</v>
      </c>
      <c r="E51" s="87">
        <v>11</v>
      </c>
    </row>
    <row r="52" spans="1:5" x14ac:dyDescent="0.25">
      <c r="A52" s="86">
        <v>43</v>
      </c>
      <c r="B52" s="87">
        <v>13.04</v>
      </c>
      <c r="C52" s="87">
        <v>12.4</v>
      </c>
      <c r="D52" s="87">
        <v>11.77</v>
      </c>
      <c r="E52" s="87">
        <v>11.16</v>
      </c>
    </row>
    <row r="53" spans="1:5" x14ac:dyDescent="0.25">
      <c r="A53" s="86">
        <v>44</v>
      </c>
      <c r="B53" s="87">
        <v>13.24</v>
      </c>
      <c r="C53" s="87">
        <v>12.58</v>
      </c>
      <c r="D53" s="87">
        <v>11.94</v>
      </c>
      <c r="E53" s="87">
        <v>11.32</v>
      </c>
    </row>
    <row r="54" spans="1:5" x14ac:dyDescent="0.25">
      <c r="A54" s="86">
        <v>45</v>
      </c>
      <c r="B54" s="87">
        <v>13.44</v>
      </c>
      <c r="C54" s="87">
        <v>12.77</v>
      </c>
      <c r="D54" s="87">
        <v>12.12</v>
      </c>
      <c r="E54" s="87">
        <v>11.49</v>
      </c>
    </row>
    <row r="55" spans="1:5" x14ac:dyDescent="0.25">
      <c r="A55" s="86">
        <v>46</v>
      </c>
      <c r="B55" s="87">
        <v>13.64</v>
      </c>
      <c r="C55" s="87">
        <v>12.96</v>
      </c>
      <c r="D55" s="87">
        <v>12.3</v>
      </c>
      <c r="E55" s="87">
        <v>11.66</v>
      </c>
    </row>
    <row r="56" spans="1:5" x14ac:dyDescent="0.25">
      <c r="A56" s="86">
        <v>47</v>
      </c>
      <c r="B56" s="87">
        <v>13.85</v>
      </c>
      <c r="C56" s="87">
        <v>13.16</v>
      </c>
      <c r="D56" s="87">
        <v>12.49</v>
      </c>
      <c r="E56" s="87">
        <v>11.83</v>
      </c>
    </row>
    <row r="57" spans="1:5" x14ac:dyDescent="0.25">
      <c r="A57" s="86">
        <v>48</v>
      </c>
      <c r="B57" s="87">
        <v>14.07</v>
      </c>
      <c r="C57" s="87">
        <v>13.37</v>
      </c>
      <c r="D57" s="87">
        <v>12.68</v>
      </c>
      <c r="E57" s="87">
        <v>12.01</v>
      </c>
    </row>
    <row r="58" spans="1:5" x14ac:dyDescent="0.25">
      <c r="A58" s="86">
        <v>49</v>
      </c>
      <c r="B58" s="87">
        <v>14.29</v>
      </c>
      <c r="C58" s="87">
        <v>13.58</v>
      </c>
      <c r="D58" s="87">
        <v>12.88</v>
      </c>
      <c r="E58" s="87">
        <v>12.19</v>
      </c>
    </row>
    <row r="59" spans="1:5" x14ac:dyDescent="0.25">
      <c r="A59" s="86">
        <v>50</v>
      </c>
      <c r="B59" s="87">
        <v>14.52</v>
      </c>
      <c r="C59" s="87">
        <v>13.79</v>
      </c>
      <c r="D59" s="87">
        <v>13.08</v>
      </c>
      <c r="E59" s="87">
        <v>12.38</v>
      </c>
    </row>
    <row r="60" spans="1:5" x14ac:dyDescent="0.25">
      <c r="A60" s="86">
        <v>51</v>
      </c>
      <c r="B60" s="87">
        <v>14.76</v>
      </c>
      <c r="C60" s="87">
        <v>14.01</v>
      </c>
      <c r="D60" s="87">
        <v>13.29</v>
      </c>
      <c r="E60" s="87">
        <v>12.58</v>
      </c>
    </row>
    <row r="61" spans="1:5" x14ac:dyDescent="0.25">
      <c r="A61" s="86">
        <v>52</v>
      </c>
      <c r="B61" s="87">
        <v>15</v>
      </c>
      <c r="C61" s="87">
        <v>14.24</v>
      </c>
      <c r="D61" s="87">
        <v>13.5</v>
      </c>
      <c r="E61" s="87">
        <v>12.78</v>
      </c>
    </row>
    <row r="62" spans="1:5" x14ac:dyDescent="0.25">
      <c r="A62" s="86">
        <v>53</v>
      </c>
      <c r="B62" s="87">
        <v>15.25</v>
      </c>
      <c r="C62" s="87">
        <v>14.48</v>
      </c>
      <c r="D62" s="87">
        <v>13.72</v>
      </c>
      <c r="E62" s="87">
        <v>12.99</v>
      </c>
    </row>
    <row r="63" spans="1:5" x14ac:dyDescent="0.25">
      <c r="A63" s="86">
        <v>54</v>
      </c>
      <c r="B63" s="87">
        <v>15.51</v>
      </c>
      <c r="C63" s="87">
        <v>14.72</v>
      </c>
      <c r="D63" s="87">
        <v>13.95</v>
      </c>
      <c r="E63" s="87">
        <v>13.2</v>
      </c>
    </row>
    <row r="64" spans="1:5" x14ac:dyDescent="0.25">
      <c r="A64" s="86">
        <v>55</v>
      </c>
      <c r="B64" s="87">
        <v>15.77</v>
      </c>
      <c r="C64" s="87">
        <v>14.97</v>
      </c>
      <c r="D64" s="87">
        <v>14.18</v>
      </c>
      <c r="E64" s="87">
        <v>13.42</v>
      </c>
    </row>
    <row r="65" spans="1:5" x14ac:dyDescent="0.25">
      <c r="A65" s="86">
        <v>56</v>
      </c>
      <c r="B65" s="87">
        <v>16.04</v>
      </c>
      <c r="C65" s="87">
        <v>15.22</v>
      </c>
      <c r="D65" s="87">
        <v>14.42</v>
      </c>
      <c r="E65" s="87">
        <v>13.64</v>
      </c>
    </row>
    <row r="66" spans="1:5" x14ac:dyDescent="0.25">
      <c r="A66" s="86">
        <v>57</v>
      </c>
      <c r="B66" s="87">
        <v>16.329999999999998</v>
      </c>
      <c r="C66" s="87">
        <v>15.49</v>
      </c>
      <c r="D66" s="87">
        <v>14.67</v>
      </c>
      <c r="E66" s="87">
        <v>13.88</v>
      </c>
    </row>
    <row r="67" spans="1:5" x14ac:dyDescent="0.25">
      <c r="A67" s="86">
        <v>58</v>
      </c>
      <c r="B67" s="87">
        <v>16.62</v>
      </c>
      <c r="C67" s="87">
        <v>15.77</v>
      </c>
      <c r="D67" s="87">
        <v>14.93</v>
      </c>
      <c r="E67" s="87">
        <v>14.12</v>
      </c>
    </row>
    <row r="68" spans="1:5" x14ac:dyDescent="0.25">
      <c r="A68" s="86">
        <v>59</v>
      </c>
      <c r="B68" s="87">
        <v>16.920000000000002</v>
      </c>
      <c r="C68" s="87">
        <v>16.05</v>
      </c>
      <c r="D68" s="87">
        <v>15.2</v>
      </c>
      <c r="E68" s="87">
        <v>14.37</v>
      </c>
    </row>
    <row r="69" spans="1:5" x14ac:dyDescent="0.25">
      <c r="A69" s="86">
        <v>60</v>
      </c>
      <c r="B69" s="87">
        <v>17.239999999999998</v>
      </c>
      <c r="C69" s="87">
        <v>16.350000000000001</v>
      </c>
      <c r="D69" s="87">
        <v>15.48</v>
      </c>
      <c r="E69" s="87">
        <v>14.63</v>
      </c>
    </row>
    <row r="70" spans="1:5" x14ac:dyDescent="0.25">
      <c r="A70" s="86">
        <v>61</v>
      </c>
      <c r="B70" s="87">
        <v>17.57</v>
      </c>
      <c r="C70" s="87">
        <v>16.66</v>
      </c>
      <c r="D70" s="87">
        <v>15.77</v>
      </c>
      <c r="E70" s="87">
        <v>14.91</v>
      </c>
    </row>
    <row r="71" spans="1:5" x14ac:dyDescent="0.25">
      <c r="A71" s="86">
        <v>62</v>
      </c>
      <c r="B71" s="87">
        <v>17.91</v>
      </c>
      <c r="C71" s="87">
        <v>16.98</v>
      </c>
      <c r="D71" s="87">
        <v>16.07</v>
      </c>
      <c r="E71" s="87">
        <v>15.19</v>
      </c>
    </row>
    <row r="72" spans="1:5" x14ac:dyDescent="0.25">
      <c r="A72" s="86">
        <v>63</v>
      </c>
      <c r="B72" s="87">
        <v>18.27</v>
      </c>
      <c r="C72" s="87">
        <v>17.32</v>
      </c>
      <c r="D72" s="87">
        <v>16.39</v>
      </c>
      <c r="E72" s="87">
        <v>15.48</v>
      </c>
    </row>
    <row r="73" spans="1:5" x14ac:dyDescent="0.25">
      <c r="A73" s="86">
        <v>64</v>
      </c>
      <c r="B73" s="87">
        <v>18.64</v>
      </c>
      <c r="C73" s="87">
        <v>17.670000000000002</v>
      </c>
      <c r="D73" s="87">
        <v>16.72</v>
      </c>
      <c r="E73" s="87">
        <v>15.8</v>
      </c>
    </row>
    <row r="74" spans="1:5" x14ac:dyDescent="0.25">
      <c r="A74" s="86">
        <v>65</v>
      </c>
      <c r="B74" s="87">
        <v>18.52</v>
      </c>
      <c r="C74" s="87">
        <v>18.04</v>
      </c>
      <c r="D74" s="87">
        <v>17.07</v>
      </c>
      <c r="E74" s="87">
        <v>16.12</v>
      </c>
    </row>
    <row r="75" spans="1:5" x14ac:dyDescent="0.25">
      <c r="A75" s="86">
        <v>66</v>
      </c>
      <c r="B75" s="87">
        <v>17.88</v>
      </c>
      <c r="C75" s="87">
        <v>17.91</v>
      </c>
      <c r="D75" s="87">
        <v>17.440000000000001</v>
      </c>
      <c r="E75" s="87">
        <v>16.47</v>
      </c>
    </row>
    <row r="76" spans="1:5" x14ac:dyDescent="0.25">
      <c r="A76" s="86">
        <v>67</v>
      </c>
      <c r="B76" s="87">
        <v>17.239999999999998</v>
      </c>
      <c r="C76" s="87">
        <v>17.27</v>
      </c>
      <c r="D76" s="87">
        <v>17.3</v>
      </c>
      <c r="E76" s="87">
        <v>16.829999999999998</v>
      </c>
    </row>
    <row r="77" spans="1:5" x14ac:dyDescent="0.25">
      <c r="A77" s="86">
        <v>68</v>
      </c>
      <c r="B77" s="87">
        <v>16.61</v>
      </c>
      <c r="C77" s="87">
        <v>16.63</v>
      </c>
      <c r="D77" s="87">
        <v>16.649999999999999</v>
      </c>
      <c r="E77" s="87">
        <v>16.690000000000001</v>
      </c>
    </row>
    <row r="78" spans="1:5" x14ac:dyDescent="0.25">
      <c r="A78" s="86">
        <v>69</v>
      </c>
      <c r="B78" s="87">
        <v>15.98</v>
      </c>
      <c r="C78" s="87">
        <v>15.99</v>
      </c>
      <c r="D78" s="87">
        <v>16.010000000000002</v>
      </c>
      <c r="E78" s="87">
        <v>16.04</v>
      </c>
    </row>
    <row r="79" spans="1:5" x14ac:dyDescent="0.25">
      <c r="A79" s="86">
        <v>70</v>
      </c>
      <c r="B79" s="87">
        <v>15.35</v>
      </c>
      <c r="C79" s="87">
        <v>15.35</v>
      </c>
      <c r="D79" s="87">
        <v>15.36</v>
      </c>
      <c r="E79" s="87">
        <v>15.38</v>
      </c>
    </row>
    <row r="80" spans="1:5" x14ac:dyDescent="0.25">
      <c r="A80" s="86">
        <v>71</v>
      </c>
      <c r="B80" s="87">
        <v>14.72</v>
      </c>
      <c r="C80" s="87">
        <v>14.72</v>
      </c>
      <c r="D80" s="87">
        <v>14.73</v>
      </c>
      <c r="E80" s="87">
        <v>14.74</v>
      </c>
    </row>
    <row r="81" spans="1:5" x14ac:dyDescent="0.25">
      <c r="A81" s="86">
        <v>72</v>
      </c>
      <c r="B81" s="87">
        <v>14.1</v>
      </c>
      <c r="C81" s="87">
        <v>14.1</v>
      </c>
      <c r="D81" s="87">
        <v>14.1</v>
      </c>
      <c r="E81" s="87">
        <v>14.1</v>
      </c>
    </row>
    <row r="82" spans="1:5" x14ac:dyDescent="0.25">
      <c r="A82" s="86">
        <v>73</v>
      </c>
      <c r="B82" s="87">
        <v>13.48</v>
      </c>
      <c r="C82" s="87">
        <v>13.48</v>
      </c>
      <c r="D82" s="87">
        <v>13.48</v>
      </c>
      <c r="E82" s="87">
        <v>13.48</v>
      </c>
    </row>
    <row r="83" spans="1:5" x14ac:dyDescent="0.25">
      <c r="A83" s="86">
        <v>74</v>
      </c>
      <c r="B83" s="87">
        <v>12.86</v>
      </c>
      <c r="C83" s="87">
        <v>12.86</v>
      </c>
      <c r="D83" s="87">
        <v>12.86</v>
      </c>
      <c r="E83" s="87">
        <v>12.86</v>
      </c>
    </row>
    <row r="84" spans="1:5" x14ac:dyDescent="0.25">
      <c r="A84" s="86">
        <v>75</v>
      </c>
      <c r="B84" s="87">
        <v>12.24</v>
      </c>
      <c r="C84" s="87">
        <v>12.24</v>
      </c>
      <c r="D84" s="87">
        <v>12.24</v>
      </c>
      <c r="E84" s="87">
        <v>12.24</v>
      </c>
    </row>
    <row r="85" spans="1:5" x14ac:dyDescent="0.25">
      <c r="A85" s="86">
        <v>76</v>
      </c>
      <c r="B85" s="87">
        <v>11.63</v>
      </c>
      <c r="C85" s="87">
        <v>11.63</v>
      </c>
      <c r="D85" s="87">
        <v>11.63</v>
      </c>
      <c r="E85" s="87">
        <v>11.63</v>
      </c>
    </row>
    <row r="86" spans="1:5" x14ac:dyDescent="0.25">
      <c r="A86" s="86">
        <v>77</v>
      </c>
      <c r="B86" s="87">
        <v>11.02</v>
      </c>
      <c r="C86" s="87">
        <v>11.02</v>
      </c>
      <c r="D86" s="87">
        <v>11.02</v>
      </c>
      <c r="E86" s="87">
        <v>11.02</v>
      </c>
    </row>
    <row r="87" spans="1:5" x14ac:dyDescent="0.25">
      <c r="A87" s="86">
        <v>78</v>
      </c>
      <c r="B87" s="87">
        <v>10.42</v>
      </c>
      <c r="C87" s="87">
        <v>10.42</v>
      </c>
      <c r="D87" s="87">
        <v>10.42</v>
      </c>
      <c r="E87" s="87">
        <v>10.42</v>
      </c>
    </row>
    <row r="88" spans="1:5" x14ac:dyDescent="0.25">
      <c r="A88" s="86">
        <v>79</v>
      </c>
      <c r="B88" s="87">
        <v>9.83</v>
      </c>
      <c r="C88" s="87">
        <v>9.83</v>
      </c>
      <c r="D88" s="87">
        <v>9.83</v>
      </c>
      <c r="E88" s="87">
        <v>9.83</v>
      </c>
    </row>
    <row r="89" spans="1:5" x14ac:dyDescent="0.25">
      <c r="A89" s="86">
        <v>80</v>
      </c>
      <c r="B89" s="87">
        <v>9.26</v>
      </c>
      <c r="C89" s="87">
        <v>9.26</v>
      </c>
      <c r="D89" s="87">
        <v>9.26</v>
      </c>
      <c r="E89" s="87">
        <v>9.26</v>
      </c>
    </row>
    <row r="90" spans="1:5" x14ac:dyDescent="0.25">
      <c r="A90" s="86">
        <v>81</v>
      </c>
      <c r="B90" s="87">
        <v>8.69</v>
      </c>
      <c r="C90" s="87">
        <v>8.69</v>
      </c>
      <c r="D90" s="87">
        <v>8.69</v>
      </c>
      <c r="E90" s="87">
        <v>8.69</v>
      </c>
    </row>
    <row r="91" spans="1:5" x14ac:dyDescent="0.25">
      <c r="A91" s="86">
        <v>82</v>
      </c>
      <c r="B91" s="87">
        <v>8.14</v>
      </c>
      <c r="C91" s="87">
        <v>8.14</v>
      </c>
      <c r="D91" s="87">
        <v>8.14</v>
      </c>
      <c r="E91" s="87">
        <v>8.14</v>
      </c>
    </row>
    <row r="92" spans="1:5" x14ac:dyDescent="0.25">
      <c r="A92" s="86">
        <v>83</v>
      </c>
      <c r="B92" s="87">
        <v>7.6</v>
      </c>
      <c r="C92" s="87">
        <v>7.6</v>
      </c>
      <c r="D92" s="87">
        <v>7.6</v>
      </c>
      <c r="E92" s="87">
        <v>7.6</v>
      </c>
    </row>
    <row r="93" spans="1:5" x14ac:dyDescent="0.25">
      <c r="A93" s="86">
        <v>84</v>
      </c>
      <c r="B93" s="87">
        <v>7.08</v>
      </c>
      <c r="C93" s="87">
        <v>7.08</v>
      </c>
      <c r="D93" s="87">
        <v>7.08</v>
      </c>
      <c r="E93" s="87">
        <v>7.08</v>
      </c>
    </row>
    <row r="94" spans="1:5" x14ac:dyDescent="0.25">
      <c r="A94" s="86">
        <v>85</v>
      </c>
      <c r="B94" s="87">
        <v>6.58</v>
      </c>
      <c r="C94" s="87">
        <v>6.58</v>
      </c>
      <c r="D94" s="87">
        <v>6.58</v>
      </c>
      <c r="E94" s="87">
        <v>6.58</v>
      </c>
    </row>
  </sheetData>
  <sheetProtection algorithmName="SHA-512" hashValue="wLsGKLOExG5gd/S+RvJdPPLKmsAs9hxtBPVwdRfEl3jzn0xsNr7oqco0zi3hsERPiXf0SpjEX/nh3M4BUSnPaA==" saltValue="dy4nDSsI7ni9vsgk/Nv+SA==" spinCount="100000" sheet="1" objects="1" scenarios="1"/>
  <conditionalFormatting sqref="A6:A21">
    <cfRule type="expression" dxfId="509" priority="1" stopIfTrue="1">
      <formula>MOD(ROW(),2)=0</formula>
    </cfRule>
    <cfRule type="expression" dxfId="508" priority="2" stopIfTrue="1">
      <formula>MOD(ROW(),2)&lt;&gt;0</formula>
    </cfRule>
  </conditionalFormatting>
  <conditionalFormatting sqref="A26:A94">
    <cfRule type="expression" dxfId="507" priority="3" stopIfTrue="1">
      <formula>MOD(ROW(),2)=0</formula>
    </cfRule>
    <cfRule type="expression" dxfId="506" priority="4" stopIfTrue="1">
      <formula>MOD(ROW(),2)&lt;&gt;0</formula>
    </cfRule>
  </conditionalFormatting>
  <conditionalFormatting sqref="B17:B21">
    <cfRule type="expression" dxfId="505" priority="7" stopIfTrue="1">
      <formula>MOD(ROW(),2)=0</formula>
    </cfRule>
    <cfRule type="expression" dxfId="504" priority="8" stopIfTrue="1">
      <formula>MOD(ROW(),2)&lt;&gt;0</formula>
    </cfRule>
  </conditionalFormatting>
  <conditionalFormatting sqref="B6:E21">
    <cfRule type="expression" dxfId="503" priority="19" stopIfTrue="1">
      <formula>MOD(ROW(),2)=0</formula>
    </cfRule>
    <cfRule type="expression" dxfId="502" priority="20" stopIfTrue="1">
      <formula>MOD(ROW(),2)&lt;&gt;0</formula>
    </cfRule>
  </conditionalFormatting>
  <conditionalFormatting sqref="B26:E94">
    <cfRule type="expression" dxfId="501" priority="5" stopIfTrue="1">
      <formula>MOD(ROW(),2)=0</formula>
    </cfRule>
    <cfRule type="expression" dxfId="500" priority="6" stopIfTrue="1">
      <formula>MOD(ROW(),2)&lt;&gt;0</formula>
    </cfRule>
  </conditionalFormatting>
  <hyperlinks>
    <hyperlink ref="B24" location="Assumptions!A1" display="Assumptions" xr:uid="{EFB0D10F-188E-4663-982C-9E280DCAB2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4"/>
  <dimension ref="A1:K38"/>
  <sheetViews>
    <sheetView showGridLines="0"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Pension Debit - x-318</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1992</v>
      </c>
      <c r="C8" s="148"/>
      <c r="D8" s="148"/>
      <c r="E8" s="148"/>
      <c r="F8" s="148"/>
      <c r="G8" s="148"/>
      <c r="H8" s="148"/>
      <c r="I8" s="148"/>
      <c r="J8" s="148"/>
      <c r="K8" s="148"/>
    </row>
    <row r="9" spans="1:11" x14ac:dyDescent="0.25">
      <c r="A9" s="76" t="s">
        <v>80</v>
      </c>
      <c r="B9" s="148" t="s">
        <v>174</v>
      </c>
      <c r="C9" s="148"/>
      <c r="D9" s="148"/>
      <c r="E9" s="148"/>
      <c r="F9" s="148"/>
      <c r="G9" s="148"/>
      <c r="H9" s="148"/>
      <c r="I9" s="148"/>
      <c r="J9" s="148"/>
      <c r="K9" s="148"/>
    </row>
    <row r="10" spans="1:11" x14ac:dyDescent="0.25">
      <c r="A10" s="76" t="s">
        <v>6</v>
      </c>
      <c r="B10" s="148" t="s">
        <v>175</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177</v>
      </c>
      <c r="C12" s="148"/>
      <c r="D12" s="148"/>
      <c r="E12" s="148"/>
      <c r="F12" s="148"/>
      <c r="G12" s="148"/>
      <c r="H12" s="148"/>
      <c r="I12" s="148"/>
      <c r="J12" s="148"/>
      <c r="K12" s="148"/>
    </row>
    <row r="13" spans="1:11" hidden="1" x14ac:dyDescent="0.25">
      <c r="A13" s="76" t="s">
        <v>342</v>
      </c>
      <c r="B13" s="148">
        <v>2</v>
      </c>
      <c r="C13" s="148"/>
      <c r="D13" s="148"/>
      <c r="E13" s="148"/>
      <c r="F13" s="148"/>
      <c r="G13" s="148"/>
      <c r="H13" s="148"/>
      <c r="I13" s="148"/>
      <c r="J13" s="148"/>
      <c r="K13" s="148"/>
    </row>
    <row r="14" spans="1:11" hidden="1" x14ac:dyDescent="0.25">
      <c r="A14" s="76" t="s">
        <v>84</v>
      </c>
      <c r="B14" s="148">
        <v>318</v>
      </c>
      <c r="C14" s="148"/>
      <c r="D14" s="148"/>
      <c r="E14" s="148"/>
      <c r="F14" s="148"/>
      <c r="G14" s="148"/>
      <c r="H14" s="148"/>
      <c r="I14" s="148"/>
      <c r="J14" s="148"/>
      <c r="K14" s="148"/>
    </row>
    <row r="15" spans="1:11" x14ac:dyDescent="0.25">
      <c r="A15" s="76" t="s">
        <v>345</v>
      </c>
      <c r="B15" s="148" t="s">
        <v>178</v>
      </c>
      <c r="C15" s="148"/>
      <c r="D15" s="148"/>
      <c r="E15" s="148"/>
      <c r="F15" s="148"/>
      <c r="G15" s="148"/>
      <c r="H15" s="148"/>
      <c r="I15" s="148"/>
      <c r="J15" s="148"/>
      <c r="K15" s="148"/>
    </row>
    <row r="16" spans="1:11" x14ac:dyDescent="0.25">
      <c r="A16" s="76" t="s">
        <v>86</v>
      </c>
      <c r="B16" s="148" t="s">
        <v>179</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45070</v>
      </c>
      <c r="C18" s="148"/>
      <c r="D18" s="148"/>
      <c r="E18" s="148"/>
      <c r="F18" s="148"/>
      <c r="G18" s="148"/>
      <c r="H18" s="148"/>
      <c r="I18" s="148"/>
      <c r="J18" s="148"/>
      <c r="K18" s="148"/>
    </row>
    <row r="19" spans="1:11" x14ac:dyDescent="0.25">
      <c r="A19" s="76" t="s">
        <v>89</v>
      </c>
      <c r="B19" s="152">
        <v>45014</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6" spans="1:11" x14ac:dyDescent="0.25">
      <c r="A26" s="85" t="s">
        <v>439</v>
      </c>
      <c r="B26" s="85">
        <v>50</v>
      </c>
      <c r="C26" s="85">
        <v>51</v>
      </c>
      <c r="D26" s="85">
        <v>52</v>
      </c>
      <c r="E26" s="85">
        <v>53</v>
      </c>
      <c r="F26" s="85">
        <v>54</v>
      </c>
      <c r="G26" s="85">
        <v>55</v>
      </c>
      <c r="H26" s="85">
        <v>56</v>
      </c>
      <c r="I26" s="85">
        <v>57</v>
      </c>
      <c r="J26" s="85">
        <v>58</v>
      </c>
      <c r="K26" s="85">
        <v>59</v>
      </c>
    </row>
    <row r="27" spans="1:11" x14ac:dyDescent="0.25">
      <c r="A27" s="86">
        <v>0</v>
      </c>
      <c r="B27" s="88">
        <v>0.66300000000000003</v>
      </c>
      <c r="C27" s="88">
        <v>0.68600000000000005</v>
      </c>
      <c r="D27" s="88">
        <v>0.71099999999999997</v>
      </c>
      <c r="E27" s="88">
        <v>0.73799999999999999</v>
      </c>
      <c r="F27" s="88">
        <v>0.76800000000000002</v>
      </c>
      <c r="G27" s="88">
        <v>0.8</v>
      </c>
      <c r="H27" s="88">
        <v>0.83399999999999996</v>
      </c>
      <c r="I27" s="88">
        <v>0.871</v>
      </c>
      <c r="J27" s="88">
        <v>0.91100000000000003</v>
      </c>
      <c r="K27" s="88">
        <v>0.95399999999999996</v>
      </c>
    </row>
    <row r="28" spans="1:11" x14ac:dyDescent="0.25">
      <c r="A28" s="86">
        <v>1</v>
      </c>
      <c r="B28" s="88">
        <v>0.66500000000000004</v>
      </c>
      <c r="C28" s="88">
        <v>0.68799999999999994</v>
      </c>
      <c r="D28" s="88">
        <v>0.71399999999999997</v>
      </c>
      <c r="E28" s="88">
        <v>0.74099999999999999</v>
      </c>
      <c r="F28" s="88">
        <v>0.77</v>
      </c>
      <c r="G28" s="88">
        <v>0.80200000000000005</v>
      </c>
      <c r="H28" s="88">
        <v>0.83699999999999997</v>
      </c>
      <c r="I28" s="88">
        <v>0.874</v>
      </c>
      <c r="J28" s="88">
        <v>0.91400000000000003</v>
      </c>
      <c r="K28" s="88">
        <v>0.95799999999999996</v>
      </c>
    </row>
    <row r="29" spans="1:11" x14ac:dyDescent="0.25">
      <c r="A29" s="86">
        <v>2</v>
      </c>
      <c r="B29" s="88">
        <v>0.66700000000000004</v>
      </c>
      <c r="C29" s="88">
        <v>0.69</v>
      </c>
      <c r="D29" s="88">
        <v>0.71599999999999997</v>
      </c>
      <c r="E29" s="88">
        <v>0.74299999999999999</v>
      </c>
      <c r="F29" s="88">
        <v>0.77300000000000002</v>
      </c>
      <c r="G29" s="88">
        <v>0.80500000000000005</v>
      </c>
      <c r="H29" s="88">
        <v>0.84</v>
      </c>
      <c r="I29" s="88">
        <v>0.878</v>
      </c>
      <c r="J29" s="88">
        <v>0.91800000000000004</v>
      </c>
      <c r="K29" s="88">
        <v>0.96099999999999997</v>
      </c>
    </row>
    <row r="30" spans="1:11" x14ac:dyDescent="0.25">
      <c r="A30" s="86">
        <v>3</v>
      </c>
      <c r="B30" s="88">
        <v>0.66900000000000004</v>
      </c>
      <c r="C30" s="88">
        <v>0.69299999999999995</v>
      </c>
      <c r="D30" s="88">
        <v>0.71799999999999997</v>
      </c>
      <c r="E30" s="88">
        <v>0.746</v>
      </c>
      <c r="F30" s="88">
        <v>0.77600000000000002</v>
      </c>
      <c r="G30" s="88">
        <v>0.80800000000000005</v>
      </c>
      <c r="H30" s="88">
        <v>0.84299999999999997</v>
      </c>
      <c r="I30" s="88">
        <v>0.88100000000000001</v>
      </c>
      <c r="J30" s="88">
        <v>0.92200000000000004</v>
      </c>
      <c r="K30" s="88">
        <v>0.96499999999999997</v>
      </c>
    </row>
    <row r="31" spans="1:11" x14ac:dyDescent="0.25">
      <c r="A31" s="86">
        <v>4</v>
      </c>
      <c r="B31" s="88">
        <v>0.67100000000000004</v>
      </c>
      <c r="C31" s="88">
        <v>0.69499999999999995</v>
      </c>
      <c r="D31" s="88">
        <v>0.72</v>
      </c>
      <c r="E31" s="88">
        <v>0.748</v>
      </c>
      <c r="F31" s="88">
        <v>0.77800000000000002</v>
      </c>
      <c r="G31" s="88">
        <v>0.81100000000000005</v>
      </c>
      <c r="H31" s="88">
        <v>0.84599999999999997</v>
      </c>
      <c r="I31" s="88">
        <v>0.88400000000000001</v>
      </c>
      <c r="J31" s="88">
        <v>0.92500000000000004</v>
      </c>
      <c r="K31" s="88">
        <v>0.96899999999999997</v>
      </c>
    </row>
    <row r="32" spans="1:11" x14ac:dyDescent="0.25">
      <c r="A32" s="86">
        <v>5</v>
      </c>
      <c r="B32" s="88">
        <v>0.67300000000000004</v>
      </c>
      <c r="C32" s="88">
        <v>0.69699999999999995</v>
      </c>
      <c r="D32" s="88">
        <v>0.72299999999999998</v>
      </c>
      <c r="E32" s="88">
        <v>0.751</v>
      </c>
      <c r="F32" s="88">
        <v>0.78100000000000003</v>
      </c>
      <c r="G32" s="88">
        <v>0.81399999999999995</v>
      </c>
      <c r="H32" s="88">
        <v>0.84899999999999998</v>
      </c>
      <c r="I32" s="88">
        <v>0.88800000000000001</v>
      </c>
      <c r="J32" s="88">
        <v>0.92900000000000005</v>
      </c>
      <c r="K32" s="88">
        <v>0.97299999999999998</v>
      </c>
    </row>
    <row r="33" spans="1:11" x14ac:dyDescent="0.25">
      <c r="A33" s="86">
        <v>6</v>
      </c>
      <c r="B33" s="88">
        <v>0.67500000000000004</v>
      </c>
      <c r="C33" s="88">
        <v>0.69899999999999995</v>
      </c>
      <c r="D33" s="88">
        <v>0.72499999999999998</v>
      </c>
      <c r="E33" s="88">
        <v>0.753</v>
      </c>
      <c r="F33" s="88">
        <v>0.78400000000000003</v>
      </c>
      <c r="G33" s="88">
        <v>0.81699999999999995</v>
      </c>
      <c r="H33" s="88">
        <v>0.85299999999999998</v>
      </c>
      <c r="I33" s="88">
        <v>0.89100000000000001</v>
      </c>
      <c r="J33" s="88">
        <v>0.93200000000000005</v>
      </c>
      <c r="K33" s="88">
        <v>0.97699999999999998</v>
      </c>
    </row>
    <row r="34" spans="1:11" x14ac:dyDescent="0.25">
      <c r="A34" s="86">
        <v>7</v>
      </c>
      <c r="B34" s="88">
        <v>0.67700000000000005</v>
      </c>
      <c r="C34" s="88">
        <v>0.70099999999999996</v>
      </c>
      <c r="D34" s="88">
        <v>0.72699999999999998</v>
      </c>
      <c r="E34" s="88">
        <v>0.755</v>
      </c>
      <c r="F34" s="88">
        <v>0.78600000000000003</v>
      </c>
      <c r="G34" s="88">
        <v>0.82</v>
      </c>
      <c r="H34" s="88">
        <v>0.85599999999999998</v>
      </c>
      <c r="I34" s="88">
        <v>0.89400000000000002</v>
      </c>
      <c r="J34" s="88">
        <v>0.93600000000000005</v>
      </c>
      <c r="K34" s="88">
        <v>0.98099999999999998</v>
      </c>
    </row>
    <row r="35" spans="1:11" x14ac:dyDescent="0.25">
      <c r="A35" s="86">
        <v>8</v>
      </c>
      <c r="B35" s="88">
        <v>0.67900000000000005</v>
      </c>
      <c r="C35" s="88">
        <v>0.70299999999999996</v>
      </c>
      <c r="D35" s="88">
        <v>0.72899999999999998</v>
      </c>
      <c r="E35" s="88">
        <v>0.75800000000000001</v>
      </c>
      <c r="F35" s="88">
        <v>0.78900000000000003</v>
      </c>
      <c r="G35" s="88">
        <v>0.82299999999999995</v>
      </c>
      <c r="H35" s="88">
        <v>0.85899999999999999</v>
      </c>
      <c r="I35" s="88">
        <v>0.89800000000000002</v>
      </c>
      <c r="J35" s="88">
        <v>0.93899999999999995</v>
      </c>
      <c r="K35" s="88">
        <v>0.98499999999999999</v>
      </c>
    </row>
    <row r="36" spans="1:11" x14ac:dyDescent="0.25">
      <c r="A36" s="86">
        <v>9</v>
      </c>
      <c r="B36" s="88">
        <v>0.68100000000000005</v>
      </c>
      <c r="C36" s="88">
        <v>0.70499999999999996</v>
      </c>
      <c r="D36" s="88">
        <v>0.73199999999999998</v>
      </c>
      <c r="E36" s="88">
        <v>0.76</v>
      </c>
      <c r="F36" s="88">
        <v>0.79200000000000004</v>
      </c>
      <c r="G36" s="88">
        <v>0.82499999999999996</v>
      </c>
      <c r="H36" s="88">
        <v>0.86199999999999999</v>
      </c>
      <c r="I36" s="88">
        <v>0.90100000000000002</v>
      </c>
      <c r="J36" s="88">
        <v>0.94299999999999995</v>
      </c>
      <c r="K36" s="88">
        <v>0.98799999999999999</v>
      </c>
    </row>
    <row r="37" spans="1:11" x14ac:dyDescent="0.25">
      <c r="A37" s="86">
        <v>10</v>
      </c>
      <c r="B37" s="88">
        <v>0.68200000000000005</v>
      </c>
      <c r="C37" s="88">
        <v>0.70699999999999996</v>
      </c>
      <c r="D37" s="88">
        <v>0.73399999999999999</v>
      </c>
      <c r="E37" s="88">
        <v>0.76300000000000001</v>
      </c>
      <c r="F37" s="88">
        <v>0.79400000000000004</v>
      </c>
      <c r="G37" s="88">
        <v>0.82799999999999996</v>
      </c>
      <c r="H37" s="88">
        <v>0.86499999999999999</v>
      </c>
      <c r="I37" s="88">
        <v>0.90400000000000003</v>
      </c>
      <c r="J37" s="88">
        <v>0.94699999999999995</v>
      </c>
      <c r="K37" s="88">
        <v>0.99199999999999999</v>
      </c>
    </row>
    <row r="38" spans="1:11" x14ac:dyDescent="0.25">
      <c r="A38" s="86">
        <v>11</v>
      </c>
      <c r="B38" s="88">
        <v>0.68400000000000005</v>
      </c>
      <c r="C38" s="88">
        <v>0.70899999999999996</v>
      </c>
      <c r="D38" s="88">
        <v>0.73599999999999999</v>
      </c>
      <c r="E38" s="88">
        <v>0.76500000000000001</v>
      </c>
      <c r="F38" s="88">
        <v>0.79700000000000004</v>
      </c>
      <c r="G38" s="88">
        <v>0.83099999999999996</v>
      </c>
      <c r="H38" s="88">
        <v>0.86799999999999999</v>
      </c>
      <c r="I38" s="88">
        <v>0.90800000000000003</v>
      </c>
      <c r="J38" s="88">
        <v>0.95</v>
      </c>
      <c r="K38" s="88">
        <v>0.996</v>
      </c>
    </row>
  </sheetData>
  <sheetProtection algorithmName="SHA-512" hashValue="vOqrlCojkzGHUfG5LtS7ipwPCHWyeOEdZ1PSycDwYKXoezqKGe90B4FdWIKMQsAb82gRpYKxz2p41iZkv1YMxw==" saltValue="R8xFVfy9MHeZngDKMNrTTg==" spinCount="100000" sheet="1" objects="1" scenarios="1"/>
  <conditionalFormatting sqref="A6:A21">
    <cfRule type="expression" dxfId="499" priority="1" stopIfTrue="1">
      <formula>MOD(ROW(),2)=0</formula>
    </cfRule>
    <cfRule type="expression" dxfId="498" priority="2" stopIfTrue="1">
      <formula>MOD(ROW(),2)&lt;&gt;0</formula>
    </cfRule>
  </conditionalFormatting>
  <conditionalFormatting sqref="A26:A38">
    <cfRule type="expression" dxfId="497" priority="3" stopIfTrue="1">
      <formula>MOD(ROW(),2)=0</formula>
    </cfRule>
    <cfRule type="expression" dxfId="496" priority="4" stopIfTrue="1">
      <formula>MOD(ROW(),2)&lt;&gt;0</formula>
    </cfRule>
  </conditionalFormatting>
  <conditionalFormatting sqref="B17:C21">
    <cfRule type="expression" dxfId="495" priority="7" stopIfTrue="1">
      <formula>MOD(ROW(),2)=0</formula>
    </cfRule>
    <cfRule type="expression" dxfId="494" priority="8" stopIfTrue="1">
      <formula>MOD(ROW(),2)&lt;&gt;0</formula>
    </cfRule>
  </conditionalFormatting>
  <conditionalFormatting sqref="B6:K21">
    <cfRule type="expression" dxfId="493" priority="21" stopIfTrue="1">
      <formula>MOD(ROW(),2)=0</formula>
    </cfRule>
    <cfRule type="expression" dxfId="492" priority="22" stopIfTrue="1">
      <formula>MOD(ROW(),2)&lt;&gt;0</formula>
    </cfRule>
  </conditionalFormatting>
  <conditionalFormatting sqref="B26:K38">
    <cfRule type="expression" dxfId="491" priority="5" stopIfTrue="1">
      <formula>MOD(ROW(),2)=0</formula>
    </cfRule>
    <cfRule type="expression" dxfId="490" priority="6" stopIfTrue="1">
      <formula>MOD(ROW(),2)&lt;&gt;0</formula>
    </cfRule>
  </conditionalFormatting>
  <hyperlinks>
    <hyperlink ref="B24" location="Assumptions!A1" display="Assumptions" xr:uid="{D63E972D-C0EC-4FE7-A479-566A6037E0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5"/>
  <dimension ref="A1:G38"/>
  <sheetViews>
    <sheetView showGridLines="0" zoomScale="84" zoomScaleNormal="84" workbookViewId="0">
      <selection activeCell="B6" sqref="B6:G21"/>
    </sheetView>
  </sheetViews>
  <sheetFormatPr defaultColWidth="10" defaultRowHeight="13.2" x14ac:dyDescent="0.25"/>
  <cols>
    <col min="1" max="1" width="31.5546875" style="27" customWidth="1"/>
    <col min="2" max="7" width="22.5546875" style="27" customWidth="1"/>
    <col min="8"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Pension Debit - x-319</v>
      </c>
      <c r="B3" s="42"/>
      <c r="C3" s="42"/>
      <c r="D3" s="42"/>
      <c r="E3" s="42"/>
      <c r="F3" s="42"/>
      <c r="G3" s="42"/>
    </row>
    <row r="4" spans="1:7" x14ac:dyDescent="0.25">
      <c r="A4" s="44"/>
    </row>
    <row r="6" spans="1:7" x14ac:dyDescent="0.25">
      <c r="A6" s="74" t="s">
        <v>334</v>
      </c>
      <c r="B6" s="148" t="s">
        <v>335</v>
      </c>
      <c r="C6" s="148"/>
      <c r="D6" s="148"/>
      <c r="E6" s="148"/>
      <c r="F6" s="148"/>
      <c r="G6" s="148"/>
    </row>
    <row r="7" spans="1:7" x14ac:dyDescent="0.25">
      <c r="A7" s="76" t="s">
        <v>78</v>
      </c>
      <c r="B7" s="148" t="s">
        <v>67</v>
      </c>
      <c r="C7" s="148"/>
      <c r="D7" s="148"/>
      <c r="E7" s="148"/>
      <c r="F7" s="148"/>
      <c r="G7" s="148"/>
    </row>
    <row r="8" spans="1:7" x14ac:dyDescent="0.25">
      <c r="A8" s="76" t="s">
        <v>79</v>
      </c>
      <c r="B8" s="148">
        <v>1992</v>
      </c>
      <c r="C8" s="148"/>
      <c r="D8" s="148"/>
      <c r="E8" s="148"/>
      <c r="F8" s="148"/>
      <c r="G8" s="148"/>
    </row>
    <row r="9" spans="1:7" x14ac:dyDescent="0.25">
      <c r="A9" s="76" t="s">
        <v>80</v>
      </c>
      <c r="B9" s="148" t="s">
        <v>174</v>
      </c>
      <c r="C9" s="148"/>
      <c r="D9" s="148"/>
      <c r="E9" s="148"/>
      <c r="F9" s="148"/>
      <c r="G9" s="148"/>
    </row>
    <row r="10" spans="1:7" x14ac:dyDescent="0.25">
      <c r="A10" s="76" t="s">
        <v>6</v>
      </c>
      <c r="B10" s="148" t="s">
        <v>180</v>
      </c>
      <c r="C10" s="148"/>
      <c r="D10" s="148"/>
      <c r="E10" s="148"/>
      <c r="F10" s="148"/>
      <c r="G10" s="148"/>
    </row>
    <row r="11" spans="1:7" x14ac:dyDescent="0.25">
      <c r="A11" s="76" t="s">
        <v>81</v>
      </c>
      <c r="B11" s="148" t="s">
        <v>176</v>
      </c>
      <c r="C11" s="148"/>
      <c r="D11" s="148"/>
      <c r="E11" s="148"/>
      <c r="F11" s="148"/>
      <c r="G11" s="148"/>
    </row>
    <row r="12" spans="1:7" x14ac:dyDescent="0.25">
      <c r="A12" s="76" t="s">
        <v>82</v>
      </c>
      <c r="B12" s="148" t="s">
        <v>177</v>
      </c>
      <c r="C12" s="148"/>
      <c r="D12" s="148"/>
      <c r="E12" s="148"/>
      <c r="F12" s="148"/>
      <c r="G12" s="148"/>
    </row>
    <row r="13" spans="1:7" hidden="1" x14ac:dyDescent="0.25">
      <c r="A13" s="76" t="s">
        <v>342</v>
      </c>
      <c r="B13" s="148">
        <v>2</v>
      </c>
      <c r="C13" s="148"/>
      <c r="D13" s="148"/>
      <c r="E13" s="148"/>
      <c r="F13" s="148"/>
      <c r="G13" s="148"/>
    </row>
    <row r="14" spans="1:7" hidden="1" x14ac:dyDescent="0.25">
      <c r="A14" s="76" t="s">
        <v>84</v>
      </c>
      <c r="B14" s="148">
        <v>319</v>
      </c>
      <c r="C14" s="148"/>
      <c r="D14" s="148"/>
      <c r="E14" s="148"/>
      <c r="F14" s="148"/>
      <c r="G14" s="148"/>
    </row>
    <row r="15" spans="1:7" x14ac:dyDescent="0.25">
      <c r="A15" s="76" t="s">
        <v>345</v>
      </c>
      <c r="B15" s="148" t="s">
        <v>181</v>
      </c>
      <c r="C15" s="148"/>
      <c r="D15" s="148"/>
      <c r="E15" s="148"/>
      <c r="F15" s="148"/>
      <c r="G15" s="148"/>
    </row>
    <row r="16" spans="1:7" x14ac:dyDescent="0.25">
      <c r="A16" s="76" t="s">
        <v>86</v>
      </c>
      <c r="B16" s="148" t="s">
        <v>182</v>
      </c>
      <c r="C16" s="148"/>
      <c r="D16" s="148"/>
      <c r="E16" s="148"/>
      <c r="F16" s="148"/>
      <c r="G16" s="148"/>
    </row>
    <row r="17" spans="1:7" x14ac:dyDescent="0.25">
      <c r="A17" s="76" t="s">
        <v>414</v>
      </c>
      <c r="B17" s="148"/>
      <c r="C17" s="148"/>
      <c r="D17" s="148"/>
      <c r="E17" s="148"/>
      <c r="F17" s="148"/>
      <c r="G17" s="148"/>
    </row>
    <row r="18" spans="1:7" x14ac:dyDescent="0.25">
      <c r="A18" s="76" t="s">
        <v>88</v>
      </c>
      <c r="B18" s="152">
        <v>45070</v>
      </c>
      <c r="C18" s="148"/>
      <c r="D18" s="148"/>
      <c r="E18" s="148"/>
      <c r="F18" s="148"/>
      <c r="G18" s="148"/>
    </row>
    <row r="19" spans="1:7" x14ac:dyDescent="0.25">
      <c r="A19" s="76" t="s">
        <v>89</v>
      </c>
      <c r="B19" s="152">
        <v>45014</v>
      </c>
      <c r="C19" s="148"/>
      <c r="D19" s="148"/>
      <c r="E19" s="148"/>
      <c r="F19" s="148"/>
      <c r="G19" s="148"/>
    </row>
    <row r="20" spans="1:7" x14ac:dyDescent="0.25">
      <c r="A20" s="76" t="s">
        <v>90</v>
      </c>
      <c r="B20" s="148" t="s">
        <v>98</v>
      </c>
      <c r="C20" s="148"/>
      <c r="D20" s="148"/>
      <c r="E20" s="148"/>
      <c r="F20" s="148"/>
      <c r="G20" s="148"/>
    </row>
    <row r="21" spans="1:7" x14ac:dyDescent="0.25">
      <c r="A21" s="72" t="s">
        <v>91</v>
      </c>
      <c r="B21" s="148" t="s">
        <v>99</v>
      </c>
      <c r="C21" s="148"/>
      <c r="D21" s="148"/>
      <c r="E21" s="148"/>
      <c r="F21" s="148"/>
      <c r="G21" s="148"/>
    </row>
    <row r="23" spans="1:7" x14ac:dyDescent="0.25">
      <c r="B23" s="89" t="str">
        <f>HYPERLINK("#'Factor List'!A1","Back to Factor List")</f>
        <v>Back to Factor List</v>
      </c>
    </row>
    <row r="24" spans="1:7" x14ac:dyDescent="0.25">
      <c r="B24" s="89" t="s">
        <v>13</v>
      </c>
    </row>
    <row r="26" spans="1:7" x14ac:dyDescent="0.25">
      <c r="A26" s="85" t="s">
        <v>439</v>
      </c>
      <c r="B26" s="85">
        <v>60</v>
      </c>
      <c r="C26" s="85">
        <v>61</v>
      </c>
      <c r="D26" s="85">
        <v>62</v>
      </c>
      <c r="E26" s="85">
        <v>63</v>
      </c>
      <c r="F26" s="85">
        <v>64</v>
      </c>
      <c r="G26" s="85">
        <v>65</v>
      </c>
    </row>
    <row r="27" spans="1:7" x14ac:dyDescent="0.25">
      <c r="A27" s="86">
        <v>0</v>
      </c>
      <c r="B27" s="88">
        <v>1</v>
      </c>
      <c r="C27" s="88">
        <v>1.05</v>
      </c>
      <c r="D27" s="88">
        <v>1.105</v>
      </c>
      <c r="E27" s="88">
        <v>1.1639999999999999</v>
      </c>
      <c r="F27" s="88">
        <v>1.228</v>
      </c>
      <c r="G27" s="88">
        <v>1.298</v>
      </c>
    </row>
    <row r="28" spans="1:7" x14ac:dyDescent="0.25">
      <c r="A28" s="86">
        <v>1</v>
      </c>
      <c r="B28" s="88">
        <v>1.004</v>
      </c>
      <c r="C28" s="88">
        <v>1.0549999999999999</v>
      </c>
      <c r="D28" s="88">
        <v>1.1100000000000001</v>
      </c>
      <c r="E28" s="88">
        <v>1.169</v>
      </c>
      <c r="F28" s="88">
        <v>1.234</v>
      </c>
      <c r="G28" s="88">
        <v>1.304</v>
      </c>
    </row>
    <row r="29" spans="1:7" x14ac:dyDescent="0.25">
      <c r="A29" s="86">
        <v>2</v>
      </c>
      <c r="B29" s="88">
        <v>1.008</v>
      </c>
      <c r="C29" s="88">
        <v>1.0589999999999999</v>
      </c>
      <c r="D29" s="88">
        <v>1.115</v>
      </c>
      <c r="E29" s="88">
        <v>1.175</v>
      </c>
      <c r="F29" s="88">
        <v>1.24</v>
      </c>
      <c r="G29" s="88">
        <v>1.3109999999999999</v>
      </c>
    </row>
    <row r="30" spans="1:7" x14ac:dyDescent="0.25">
      <c r="A30" s="86">
        <v>3</v>
      </c>
      <c r="B30" s="88">
        <v>1.0129999999999999</v>
      </c>
      <c r="C30" s="88">
        <v>1.0640000000000001</v>
      </c>
      <c r="D30" s="88">
        <v>1.1200000000000001</v>
      </c>
      <c r="E30" s="88">
        <v>1.18</v>
      </c>
      <c r="F30" s="88">
        <v>1.2450000000000001</v>
      </c>
      <c r="G30" s="88">
        <v>1.3169999999999999</v>
      </c>
    </row>
    <row r="31" spans="1:7" x14ac:dyDescent="0.25">
      <c r="A31" s="86">
        <v>4</v>
      </c>
      <c r="B31" s="88">
        <v>1.0169999999999999</v>
      </c>
      <c r="C31" s="88">
        <v>1.0680000000000001</v>
      </c>
      <c r="D31" s="88">
        <v>1.1240000000000001</v>
      </c>
      <c r="E31" s="88">
        <v>1.1850000000000001</v>
      </c>
      <c r="F31" s="88">
        <v>1.2509999999999999</v>
      </c>
      <c r="G31" s="88">
        <v>1.323</v>
      </c>
    </row>
    <row r="32" spans="1:7" x14ac:dyDescent="0.25">
      <c r="A32" s="86">
        <v>5</v>
      </c>
      <c r="B32" s="88">
        <v>1.0209999999999999</v>
      </c>
      <c r="C32" s="88">
        <v>1.073</v>
      </c>
      <c r="D32" s="88">
        <v>1.129</v>
      </c>
      <c r="E32" s="88">
        <v>1.1910000000000001</v>
      </c>
      <c r="F32" s="88">
        <v>1.2569999999999999</v>
      </c>
      <c r="G32" s="88">
        <v>1.33</v>
      </c>
    </row>
    <row r="33" spans="1:7" x14ac:dyDescent="0.25">
      <c r="A33" s="86">
        <v>6</v>
      </c>
      <c r="B33" s="88">
        <v>1.0249999999999999</v>
      </c>
      <c r="C33" s="88">
        <v>1.0780000000000001</v>
      </c>
      <c r="D33" s="88">
        <v>1.1339999999999999</v>
      </c>
      <c r="E33" s="88">
        <v>1.196</v>
      </c>
      <c r="F33" s="88">
        <v>1.2629999999999999</v>
      </c>
      <c r="G33" s="88">
        <v>1.3360000000000001</v>
      </c>
    </row>
    <row r="34" spans="1:7" x14ac:dyDescent="0.25">
      <c r="A34" s="86">
        <v>7</v>
      </c>
      <c r="B34" s="88">
        <v>1.0289999999999999</v>
      </c>
      <c r="C34" s="88">
        <v>1.0820000000000001</v>
      </c>
      <c r="D34" s="88">
        <v>1.139</v>
      </c>
      <c r="E34" s="88">
        <v>1.2010000000000001</v>
      </c>
      <c r="F34" s="88">
        <v>1.2689999999999999</v>
      </c>
      <c r="G34" s="88">
        <v>1.3420000000000001</v>
      </c>
    </row>
    <row r="35" spans="1:7" x14ac:dyDescent="0.25">
      <c r="A35" s="86">
        <v>8</v>
      </c>
      <c r="B35" s="88">
        <v>1.034</v>
      </c>
      <c r="C35" s="88">
        <v>1.087</v>
      </c>
      <c r="D35" s="88">
        <v>1.1439999999999999</v>
      </c>
      <c r="E35" s="88">
        <v>1.2070000000000001</v>
      </c>
      <c r="F35" s="88">
        <v>1.2749999999999999</v>
      </c>
      <c r="G35" s="88">
        <v>1.349</v>
      </c>
    </row>
    <row r="36" spans="1:7" x14ac:dyDescent="0.25">
      <c r="A36" s="86">
        <v>9</v>
      </c>
      <c r="B36" s="88">
        <v>1.038</v>
      </c>
      <c r="C36" s="88">
        <v>1.091</v>
      </c>
      <c r="D36" s="88">
        <v>1.149</v>
      </c>
      <c r="E36" s="88">
        <v>1.212</v>
      </c>
      <c r="F36" s="88">
        <v>1.28</v>
      </c>
      <c r="G36" s="88">
        <v>1.355</v>
      </c>
    </row>
    <row r="37" spans="1:7" x14ac:dyDescent="0.25">
      <c r="A37" s="86">
        <v>10</v>
      </c>
      <c r="B37" s="88">
        <v>1.042</v>
      </c>
      <c r="C37" s="88">
        <v>1.0960000000000001</v>
      </c>
      <c r="D37" s="88">
        <v>1.1539999999999999</v>
      </c>
      <c r="E37" s="88">
        <v>1.2170000000000001</v>
      </c>
      <c r="F37" s="88">
        <v>1.286</v>
      </c>
      <c r="G37" s="88">
        <v>1.361</v>
      </c>
    </row>
    <row r="38" spans="1:7" x14ac:dyDescent="0.25">
      <c r="A38" s="86">
        <v>11</v>
      </c>
      <c r="B38" s="88">
        <v>1.046</v>
      </c>
      <c r="C38" s="88">
        <v>1.1000000000000001</v>
      </c>
      <c r="D38" s="88">
        <v>1.159</v>
      </c>
      <c r="E38" s="88">
        <v>1.2230000000000001</v>
      </c>
      <c r="F38" s="88">
        <v>1.292</v>
      </c>
      <c r="G38" s="88">
        <v>1.3680000000000001</v>
      </c>
    </row>
  </sheetData>
  <sheetProtection algorithmName="SHA-512" hashValue="I+XjcRQrw74CXWgazl/jdPhNJ9FR97bfbRHgB2rIOjC5fcM48iDp4P7V2gZdhjNvwScfOXq2qq3KNgT8oAcysw==" saltValue="ZyhiHfIuTCupYoSzJluIrQ==" spinCount="100000" sheet="1" objects="1" scenarios="1"/>
  <conditionalFormatting sqref="A6:A21">
    <cfRule type="expression" dxfId="489" priority="1" stopIfTrue="1">
      <formula>MOD(ROW(),2)=0</formula>
    </cfRule>
    <cfRule type="expression" dxfId="488" priority="2" stopIfTrue="1">
      <formula>MOD(ROW(),2)&lt;&gt;0</formula>
    </cfRule>
  </conditionalFormatting>
  <conditionalFormatting sqref="A26:A38">
    <cfRule type="expression" dxfId="487" priority="3" stopIfTrue="1">
      <formula>MOD(ROW(),2)=0</formula>
    </cfRule>
    <cfRule type="expression" dxfId="486" priority="4" stopIfTrue="1">
      <formula>MOD(ROW(),2)&lt;&gt;0</formula>
    </cfRule>
  </conditionalFormatting>
  <conditionalFormatting sqref="B17:C21">
    <cfRule type="expression" dxfId="485" priority="7" stopIfTrue="1">
      <formula>MOD(ROW(),2)=0</formula>
    </cfRule>
    <cfRule type="expression" dxfId="484" priority="8" stopIfTrue="1">
      <formula>MOD(ROW(),2)&lt;&gt;0</formula>
    </cfRule>
  </conditionalFormatting>
  <conditionalFormatting sqref="B6:G21">
    <cfRule type="expression" dxfId="483" priority="21" stopIfTrue="1">
      <formula>MOD(ROW(),2)=0</formula>
    </cfRule>
    <cfRule type="expression" dxfId="482" priority="22" stopIfTrue="1">
      <formula>MOD(ROW(),2)&lt;&gt;0</formula>
    </cfRule>
  </conditionalFormatting>
  <conditionalFormatting sqref="B26:G38">
    <cfRule type="expression" dxfId="481" priority="5" stopIfTrue="1">
      <formula>MOD(ROW(),2)=0</formula>
    </cfRule>
    <cfRule type="expression" dxfId="480" priority="6" stopIfTrue="1">
      <formula>MOD(ROW(),2)&lt;&gt;0</formula>
    </cfRule>
  </conditionalFormatting>
  <hyperlinks>
    <hyperlink ref="B24" location="Assumptions!A1" display="Assumptions" xr:uid="{713256CD-BEC7-4F20-B4C8-7000694F53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6"/>
  <dimension ref="A1:AQ50"/>
  <sheetViews>
    <sheetView showGridLines="0" topLeftCell="A3" zoomScale="84" zoomScaleNormal="84" workbookViewId="0">
      <selection activeCell="B6" sqref="B6:AQ21"/>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 England - Consolidated Factor Spreadsheet</v>
      </c>
      <c r="B2" s="42"/>
      <c r="C2" s="42"/>
      <c r="D2" s="42"/>
      <c r="E2" s="42"/>
      <c r="F2" s="42"/>
      <c r="G2" s="42"/>
      <c r="H2" s="42"/>
      <c r="I2" s="42"/>
    </row>
    <row r="3" spans="1:43" ht="15.6" x14ac:dyDescent="0.3">
      <c r="A3" s="43" t="str">
        <f>TABLE_FACTOR_TYPE_1&amp;" - x-"&amp;TABLE_SERIES_NUMBER_1</f>
        <v>Pension Debit - x-320</v>
      </c>
      <c r="B3" s="42"/>
      <c r="C3" s="42"/>
      <c r="D3" s="42"/>
      <c r="E3" s="42"/>
      <c r="F3" s="42"/>
      <c r="G3" s="42"/>
      <c r="H3" s="42"/>
      <c r="I3" s="42"/>
    </row>
    <row r="4" spans="1:43" x14ac:dyDescent="0.25">
      <c r="A4" s="44"/>
    </row>
    <row r="6" spans="1:43" x14ac:dyDescent="0.25">
      <c r="A6" s="74" t="s">
        <v>334</v>
      </c>
      <c r="B6" s="148" t="s">
        <v>335</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row>
    <row r="7" spans="1:43" x14ac:dyDescent="0.25">
      <c r="A7" s="76" t="s">
        <v>78</v>
      </c>
      <c r="B7" s="148" t="s">
        <v>67</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row>
    <row r="8" spans="1:43" x14ac:dyDescent="0.25">
      <c r="A8" s="76" t="s">
        <v>79</v>
      </c>
      <c r="B8" s="148">
        <v>1992</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row>
    <row r="9" spans="1:43" x14ac:dyDescent="0.25">
      <c r="A9" s="76" t="s">
        <v>80</v>
      </c>
      <c r="B9" s="148" t="s">
        <v>174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row>
    <row r="10" spans="1:43" x14ac:dyDescent="0.25">
      <c r="A10" s="76" t="s">
        <v>6</v>
      </c>
      <c r="B10" s="148" t="s">
        <v>183</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row>
    <row r="11" spans="1:43" x14ac:dyDescent="0.25">
      <c r="A11" s="76" t="s">
        <v>81</v>
      </c>
      <c r="B11" s="148" t="s">
        <v>176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row>
    <row r="12" spans="1:43" x14ac:dyDescent="0.25">
      <c r="A12" s="76" t="s">
        <v>82</v>
      </c>
      <c r="B12" s="148" t="s">
        <v>177</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row>
    <row r="13" spans="1:43" hidden="1" x14ac:dyDescent="0.25">
      <c r="A13" s="76" t="s">
        <v>342</v>
      </c>
      <c r="B13" s="148">
        <v>2</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row>
    <row r="14" spans="1:43" hidden="1" x14ac:dyDescent="0.25">
      <c r="A14" s="76" t="s">
        <v>84</v>
      </c>
      <c r="B14" s="148">
        <v>320</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row>
    <row r="15" spans="1:43" x14ac:dyDescent="0.25">
      <c r="A15" s="76" t="s">
        <v>345</v>
      </c>
      <c r="B15" s="148" t="s">
        <v>184</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row>
    <row r="16" spans="1:43" x14ac:dyDescent="0.25">
      <c r="A16" s="76" t="s">
        <v>86</v>
      </c>
      <c r="B16" s="148" t="s">
        <v>185</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row>
    <row r="17" spans="1:43" x14ac:dyDescent="0.25">
      <c r="A17" s="76" t="s">
        <v>414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row>
    <row r="18" spans="1:43" x14ac:dyDescent="0.25">
      <c r="A18" s="76" t="s">
        <v>88</v>
      </c>
      <c r="B18" s="152">
        <v>45070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row>
    <row r="19" spans="1:43" x14ac:dyDescent="0.25">
      <c r="A19" s="76" t="s">
        <v>89</v>
      </c>
      <c r="B19" s="152">
        <v>45014</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row>
    <row r="20" spans="1:43" x14ac:dyDescent="0.25">
      <c r="A20" s="76" t="s">
        <v>90</v>
      </c>
      <c r="B20" s="148" t="s">
        <v>98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row>
    <row r="21" spans="1:43" x14ac:dyDescent="0.25">
      <c r="A21" s="72" t="s">
        <v>91</v>
      </c>
      <c r="B21" s="148" t="s">
        <v>99</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row>
    <row r="23" spans="1:43" x14ac:dyDescent="0.25">
      <c r="B23" s="89" t="str">
        <f>HYPERLINK("#'Factor List'!A1","Back to Factor List")</f>
        <v>Back to Factor List</v>
      </c>
    </row>
    <row r="24" spans="1:43" x14ac:dyDescent="0.25">
      <c r="B24" s="89" t="s">
        <v>13</v>
      </c>
    </row>
    <row r="26" spans="1:43" x14ac:dyDescent="0.25">
      <c r="A26" s="85" t="s">
        <v>439</v>
      </c>
      <c r="B26" s="85">
        <v>18</v>
      </c>
      <c r="C26" s="85">
        <v>19</v>
      </c>
      <c r="D26" s="85">
        <v>20</v>
      </c>
      <c r="E26" s="85">
        <v>21</v>
      </c>
      <c r="F26" s="85">
        <v>22</v>
      </c>
      <c r="G26" s="85">
        <v>23</v>
      </c>
      <c r="H26" s="85">
        <v>24</v>
      </c>
      <c r="I26" s="85">
        <v>25</v>
      </c>
      <c r="J26" s="85">
        <v>26</v>
      </c>
      <c r="K26" s="85">
        <v>27</v>
      </c>
      <c r="L26" s="85">
        <v>28</v>
      </c>
      <c r="M26" s="85">
        <v>29</v>
      </c>
      <c r="N26" s="85">
        <v>30</v>
      </c>
      <c r="O26" s="85">
        <v>31</v>
      </c>
      <c r="P26" s="85">
        <v>32</v>
      </c>
      <c r="Q26" s="85">
        <v>33</v>
      </c>
      <c r="R26" s="85">
        <v>34</v>
      </c>
      <c r="S26" s="85">
        <v>35</v>
      </c>
      <c r="T26" s="85">
        <v>36</v>
      </c>
      <c r="U26" s="85">
        <v>37</v>
      </c>
      <c r="V26" s="85">
        <v>38</v>
      </c>
      <c r="W26" s="85">
        <v>39</v>
      </c>
      <c r="X26" s="85">
        <v>40</v>
      </c>
      <c r="Y26" s="85">
        <v>41</v>
      </c>
      <c r="Z26" s="85">
        <v>42</v>
      </c>
      <c r="AA26" s="85">
        <v>43</v>
      </c>
      <c r="AB26" s="85">
        <v>44</v>
      </c>
      <c r="AC26" s="85">
        <v>45</v>
      </c>
      <c r="AD26" s="85">
        <v>46</v>
      </c>
      <c r="AE26" s="85">
        <v>47</v>
      </c>
      <c r="AF26" s="85">
        <v>48</v>
      </c>
      <c r="AG26" s="85">
        <v>49</v>
      </c>
      <c r="AH26" s="85">
        <v>50</v>
      </c>
      <c r="AI26" s="85">
        <v>51</v>
      </c>
      <c r="AJ26" s="85">
        <v>52</v>
      </c>
      <c r="AK26" s="85">
        <v>53</v>
      </c>
      <c r="AL26" s="85">
        <v>54</v>
      </c>
      <c r="AM26" s="85">
        <v>55</v>
      </c>
      <c r="AN26" s="85">
        <v>56</v>
      </c>
      <c r="AO26" s="85">
        <v>57</v>
      </c>
      <c r="AP26" s="85">
        <v>58</v>
      </c>
      <c r="AQ26" s="85">
        <v>59</v>
      </c>
    </row>
    <row r="27" spans="1:43" x14ac:dyDescent="0.25">
      <c r="A27" s="86">
        <v>0</v>
      </c>
      <c r="B27" s="88">
        <v>0.26700000000000002</v>
      </c>
      <c r="C27" s="88">
        <v>0.27300000000000002</v>
      </c>
      <c r="D27" s="88">
        <v>0.27900000000000003</v>
      </c>
      <c r="E27" s="88">
        <v>0.28599999999999998</v>
      </c>
      <c r="F27" s="88">
        <v>0.29299999999999998</v>
      </c>
      <c r="G27" s="88">
        <v>0.3</v>
      </c>
      <c r="H27" s="88">
        <v>0.307</v>
      </c>
      <c r="I27" s="88">
        <v>0.315</v>
      </c>
      <c r="J27" s="88">
        <v>0.32200000000000001</v>
      </c>
      <c r="K27" s="88">
        <v>0.33</v>
      </c>
      <c r="L27" s="88">
        <v>0.33900000000000002</v>
      </c>
      <c r="M27" s="88">
        <v>0.34799999999999998</v>
      </c>
      <c r="N27" s="88">
        <v>0.35699999999999998</v>
      </c>
      <c r="O27" s="88">
        <v>0.36599999999999999</v>
      </c>
      <c r="P27" s="88">
        <v>0.376</v>
      </c>
      <c r="Q27" s="88">
        <v>0.38600000000000001</v>
      </c>
      <c r="R27" s="88">
        <v>0.39700000000000002</v>
      </c>
      <c r="S27" s="88">
        <v>0.40799999999999997</v>
      </c>
      <c r="T27" s="88">
        <v>0.42</v>
      </c>
      <c r="U27" s="88">
        <v>0.432</v>
      </c>
      <c r="V27" s="88">
        <v>0.44500000000000001</v>
      </c>
      <c r="W27" s="88">
        <v>0.45800000000000002</v>
      </c>
      <c r="X27" s="88">
        <v>0.47199999999999998</v>
      </c>
      <c r="Y27" s="88">
        <v>0.48599999999999999</v>
      </c>
      <c r="Z27" s="88">
        <v>0.502</v>
      </c>
      <c r="AA27" s="88">
        <v>0.51800000000000002</v>
      </c>
      <c r="AB27" s="88">
        <v>0.53500000000000003</v>
      </c>
      <c r="AC27" s="88">
        <v>0.55200000000000005</v>
      </c>
      <c r="AD27" s="88">
        <v>0.57099999999999995</v>
      </c>
      <c r="AE27" s="88">
        <v>0.59099999999999997</v>
      </c>
      <c r="AF27" s="88">
        <v>0.61199999999999999</v>
      </c>
      <c r="AG27" s="88">
        <v>0.63400000000000001</v>
      </c>
      <c r="AH27" s="88">
        <v>0.65800000000000003</v>
      </c>
      <c r="AI27" s="88">
        <v>0.68300000000000005</v>
      </c>
      <c r="AJ27" s="88">
        <v>0.70899999999999996</v>
      </c>
      <c r="AK27" s="88">
        <v>0.73699999999999999</v>
      </c>
      <c r="AL27" s="88">
        <v>0.76700000000000002</v>
      </c>
      <c r="AM27" s="88">
        <v>0.8</v>
      </c>
      <c r="AN27" s="88">
        <v>0.83399999999999996</v>
      </c>
      <c r="AO27" s="88">
        <v>0.871</v>
      </c>
      <c r="AP27" s="88">
        <v>0.91100000000000003</v>
      </c>
      <c r="AQ27" s="88">
        <v>0.95399999999999996</v>
      </c>
    </row>
    <row r="28" spans="1:43" x14ac:dyDescent="0.25">
      <c r="A28" s="86">
        <v>1</v>
      </c>
      <c r="B28" s="88">
        <v>0.26700000000000002</v>
      </c>
      <c r="C28" s="88">
        <v>0.27300000000000002</v>
      </c>
      <c r="D28" s="88">
        <v>0.28000000000000003</v>
      </c>
      <c r="E28" s="88">
        <v>0.28599999999999998</v>
      </c>
      <c r="F28" s="88">
        <v>0.29299999999999998</v>
      </c>
      <c r="G28" s="88">
        <v>0.3</v>
      </c>
      <c r="H28" s="88">
        <v>0.308</v>
      </c>
      <c r="I28" s="88">
        <v>0.315</v>
      </c>
      <c r="J28" s="88">
        <v>0.32300000000000001</v>
      </c>
      <c r="K28" s="88">
        <v>0.33100000000000002</v>
      </c>
      <c r="L28" s="88">
        <v>0.34</v>
      </c>
      <c r="M28" s="88">
        <v>0.34799999999999998</v>
      </c>
      <c r="N28" s="88">
        <v>0.35799999999999998</v>
      </c>
      <c r="O28" s="88">
        <v>0.36699999999999999</v>
      </c>
      <c r="P28" s="88">
        <v>0.377</v>
      </c>
      <c r="Q28" s="88">
        <v>0.38700000000000001</v>
      </c>
      <c r="R28" s="88">
        <v>0.39800000000000002</v>
      </c>
      <c r="S28" s="88">
        <v>0.40899999999999997</v>
      </c>
      <c r="T28" s="88">
        <v>0.42099999999999999</v>
      </c>
      <c r="U28" s="88">
        <v>0.433</v>
      </c>
      <c r="V28" s="88">
        <v>0.44600000000000001</v>
      </c>
      <c r="W28" s="88">
        <v>0.45900000000000002</v>
      </c>
      <c r="X28" s="88">
        <v>0.47299999999999998</v>
      </c>
      <c r="Y28" s="88">
        <v>0.48799999999999999</v>
      </c>
      <c r="Z28" s="88">
        <v>0.503</v>
      </c>
      <c r="AA28" s="88">
        <v>0.51900000000000002</v>
      </c>
      <c r="AB28" s="88">
        <v>0.53600000000000003</v>
      </c>
      <c r="AC28" s="88">
        <v>0.55400000000000005</v>
      </c>
      <c r="AD28" s="88">
        <v>0.57299999999999995</v>
      </c>
      <c r="AE28" s="88">
        <v>0.59299999999999997</v>
      </c>
      <c r="AF28" s="88">
        <v>0.61399999999999999</v>
      </c>
      <c r="AG28" s="88">
        <v>0.63600000000000001</v>
      </c>
      <c r="AH28" s="88">
        <v>0.66</v>
      </c>
      <c r="AI28" s="88">
        <v>0.68500000000000005</v>
      </c>
      <c r="AJ28" s="88">
        <v>0.71099999999999997</v>
      </c>
      <c r="AK28" s="88">
        <v>0.74</v>
      </c>
      <c r="AL28" s="88">
        <v>0.77</v>
      </c>
      <c r="AM28" s="88">
        <v>0.80200000000000005</v>
      </c>
      <c r="AN28" s="88">
        <v>0.83699999999999997</v>
      </c>
      <c r="AO28" s="88">
        <v>0.874</v>
      </c>
      <c r="AP28" s="88">
        <v>0.91400000000000003</v>
      </c>
      <c r="AQ28" s="88">
        <v>0.95799999999999996</v>
      </c>
    </row>
    <row r="29" spans="1:43" x14ac:dyDescent="0.25">
      <c r="A29" s="86">
        <v>2</v>
      </c>
      <c r="B29" s="88">
        <v>0.26800000000000002</v>
      </c>
      <c r="C29" s="88">
        <v>0.27400000000000002</v>
      </c>
      <c r="D29" s="88">
        <v>0.28000000000000003</v>
      </c>
      <c r="E29" s="88">
        <v>0.28699999999999998</v>
      </c>
      <c r="F29" s="88">
        <v>0.29399999999999998</v>
      </c>
      <c r="G29" s="88">
        <v>0.30099999999999999</v>
      </c>
      <c r="H29" s="88">
        <v>0.308</v>
      </c>
      <c r="I29" s="88">
        <v>0.316</v>
      </c>
      <c r="J29" s="88">
        <v>0.32400000000000001</v>
      </c>
      <c r="K29" s="88">
        <v>0.33200000000000002</v>
      </c>
      <c r="L29" s="88">
        <v>0.34</v>
      </c>
      <c r="M29" s="88">
        <v>0.34899999999999998</v>
      </c>
      <c r="N29" s="88">
        <v>0.35799999999999998</v>
      </c>
      <c r="O29" s="88">
        <v>0.36799999999999999</v>
      </c>
      <c r="P29" s="88">
        <v>0.378</v>
      </c>
      <c r="Q29" s="88">
        <v>0.38800000000000001</v>
      </c>
      <c r="R29" s="88">
        <v>0.39900000000000002</v>
      </c>
      <c r="S29" s="88">
        <v>0.41</v>
      </c>
      <c r="T29" s="88">
        <v>0.42199999999999999</v>
      </c>
      <c r="U29" s="88">
        <v>0.434</v>
      </c>
      <c r="V29" s="88">
        <v>0.44700000000000001</v>
      </c>
      <c r="W29" s="88">
        <v>0.46</v>
      </c>
      <c r="X29" s="88">
        <v>0.47399999999999998</v>
      </c>
      <c r="Y29" s="88">
        <v>0.48899999999999999</v>
      </c>
      <c r="Z29" s="88">
        <v>0.504</v>
      </c>
      <c r="AA29" s="88">
        <v>0.52100000000000002</v>
      </c>
      <c r="AB29" s="88">
        <v>0.53800000000000003</v>
      </c>
      <c r="AC29" s="88">
        <v>0.55600000000000005</v>
      </c>
      <c r="AD29" s="88">
        <v>0.57399999999999995</v>
      </c>
      <c r="AE29" s="88">
        <v>0.59399999999999997</v>
      </c>
      <c r="AF29" s="88">
        <v>0.61599999999999999</v>
      </c>
      <c r="AG29" s="88">
        <v>0.63800000000000001</v>
      </c>
      <c r="AH29" s="88">
        <v>0.66200000000000003</v>
      </c>
      <c r="AI29" s="88">
        <v>0.68700000000000006</v>
      </c>
      <c r="AJ29" s="88">
        <v>0.71399999999999997</v>
      </c>
      <c r="AK29" s="88">
        <v>0.74199999999999999</v>
      </c>
      <c r="AL29" s="88">
        <v>0.77300000000000002</v>
      </c>
      <c r="AM29" s="88">
        <v>0.80500000000000005</v>
      </c>
      <c r="AN29" s="88">
        <v>0.84</v>
      </c>
      <c r="AO29" s="88">
        <v>0.878</v>
      </c>
      <c r="AP29" s="88">
        <v>0.91800000000000004</v>
      </c>
      <c r="AQ29" s="88">
        <v>0.96099999999999997</v>
      </c>
    </row>
    <row r="30" spans="1:43" x14ac:dyDescent="0.25">
      <c r="A30" s="86">
        <v>3</v>
      </c>
      <c r="B30" s="88">
        <v>0.26800000000000002</v>
      </c>
      <c r="C30" s="88">
        <v>0.27500000000000002</v>
      </c>
      <c r="D30" s="88">
        <v>0.28100000000000003</v>
      </c>
      <c r="E30" s="88">
        <v>0.28799999999999998</v>
      </c>
      <c r="F30" s="88">
        <v>0.29399999999999998</v>
      </c>
      <c r="G30" s="88">
        <v>0.30199999999999999</v>
      </c>
      <c r="H30" s="88">
        <v>0.309</v>
      </c>
      <c r="I30" s="88">
        <v>0.316</v>
      </c>
      <c r="J30" s="88">
        <v>0.32400000000000001</v>
      </c>
      <c r="K30" s="88">
        <v>0.33300000000000002</v>
      </c>
      <c r="L30" s="88">
        <v>0.34100000000000003</v>
      </c>
      <c r="M30" s="88">
        <v>0.35</v>
      </c>
      <c r="N30" s="88">
        <v>0.35899999999999999</v>
      </c>
      <c r="O30" s="88">
        <v>0.36899999999999999</v>
      </c>
      <c r="P30" s="88">
        <v>0.379</v>
      </c>
      <c r="Q30" s="88">
        <v>0.38900000000000001</v>
      </c>
      <c r="R30" s="88">
        <v>0.4</v>
      </c>
      <c r="S30" s="88">
        <v>0.41099999999999998</v>
      </c>
      <c r="T30" s="88">
        <v>0.42299999999999999</v>
      </c>
      <c r="U30" s="88">
        <v>0.435</v>
      </c>
      <c r="V30" s="88">
        <v>0.44800000000000001</v>
      </c>
      <c r="W30" s="88">
        <v>0.46100000000000002</v>
      </c>
      <c r="X30" s="88">
        <v>0.47499999999999998</v>
      </c>
      <c r="Y30" s="88">
        <v>0.49</v>
      </c>
      <c r="Z30" s="88">
        <v>0.50600000000000001</v>
      </c>
      <c r="AA30" s="88">
        <v>0.52200000000000002</v>
      </c>
      <c r="AB30" s="88">
        <v>0.53900000000000003</v>
      </c>
      <c r="AC30" s="88">
        <v>0.55700000000000005</v>
      </c>
      <c r="AD30" s="88">
        <v>0.57599999999999996</v>
      </c>
      <c r="AE30" s="88">
        <v>0.59599999999999997</v>
      </c>
      <c r="AF30" s="88">
        <v>0.61699999999999999</v>
      </c>
      <c r="AG30" s="88">
        <v>0.64</v>
      </c>
      <c r="AH30" s="88">
        <v>0.66400000000000003</v>
      </c>
      <c r="AI30" s="88">
        <v>0.68899999999999995</v>
      </c>
      <c r="AJ30" s="88">
        <v>0.71599999999999997</v>
      </c>
      <c r="AK30" s="88">
        <v>0.745</v>
      </c>
      <c r="AL30" s="88">
        <v>0.77500000000000002</v>
      </c>
      <c r="AM30" s="88">
        <v>0.80800000000000005</v>
      </c>
      <c r="AN30" s="88">
        <v>0.84299999999999997</v>
      </c>
      <c r="AO30" s="88">
        <v>0.88100000000000001</v>
      </c>
      <c r="AP30" s="88">
        <v>0.92200000000000004</v>
      </c>
      <c r="AQ30" s="88">
        <v>0.96499999999999997</v>
      </c>
    </row>
    <row r="31" spans="1:43" x14ac:dyDescent="0.25">
      <c r="A31" s="86">
        <v>4</v>
      </c>
      <c r="B31" s="88">
        <v>0.26900000000000002</v>
      </c>
      <c r="C31" s="88">
        <v>0.27500000000000002</v>
      </c>
      <c r="D31" s="88">
        <v>0.28100000000000003</v>
      </c>
      <c r="E31" s="88">
        <v>0.28799999999999998</v>
      </c>
      <c r="F31" s="88">
        <v>0.29499999999999998</v>
      </c>
      <c r="G31" s="88">
        <v>0.30199999999999999</v>
      </c>
      <c r="H31" s="88">
        <v>0.31</v>
      </c>
      <c r="I31" s="88">
        <v>0.317</v>
      </c>
      <c r="J31" s="88">
        <v>0.32500000000000001</v>
      </c>
      <c r="K31" s="88">
        <v>0.33300000000000002</v>
      </c>
      <c r="L31" s="88">
        <v>0.34200000000000003</v>
      </c>
      <c r="M31" s="88">
        <v>0.35099999999999998</v>
      </c>
      <c r="N31" s="88">
        <v>0.36</v>
      </c>
      <c r="O31" s="88">
        <v>0.36899999999999999</v>
      </c>
      <c r="P31" s="88">
        <v>0.379</v>
      </c>
      <c r="Q31" s="88">
        <v>0.39</v>
      </c>
      <c r="R31" s="88">
        <v>0.40100000000000002</v>
      </c>
      <c r="S31" s="88">
        <v>0.41199999999999998</v>
      </c>
      <c r="T31" s="88">
        <v>0.42399999999999999</v>
      </c>
      <c r="U31" s="88">
        <v>0.436</v>
      </c>
      <c r="V31" s="88">
        <v>0.44900000000000001</v>
      </c>
      <c r="W31" s="88">
        <v>0.46200000000000002</v>
      </c>
      <c r="X31" s="88">
        <v>0.47699999999999998</v>
      </c>
      <c r="Y31" s="88">
        <v>0.49099999999999999</v>
      </c>
      <c r="Z31" s="88">
        <v>0.50700000000000001</v>
      </c>
      <c r="AA31" s="88">
        <v>0.52300000000000002</v>
      </c>
      <c r="AB31" s="88">
        <v>0.54100000000000004</v>
      </c>
      <c r="AC31" s="88">
        <v>0.55900000000000005</v>
      </c>
      <c r="AD31" s="88">
        <v>0.57799999999999996</v>
      </c>
      <c r="AE31" s="88">
        <v>0.59799999999999998</v>
      </c>
      <c r="AF31" s="88">
        <v>0.61899999999999999</v>
      </c>
      <c r="AG31" s="88">
        <v>0.64200000000000002</v>
      </c>
      <c r="AH31" s="88">
        <v>0.66600000000000004</v>
      </c>
      <c r="AI31" s="88">
        <v>0.69099999999999995</v>
      </c>
      <c r="AJ31" s="88">
        <v>0.71799999999999997</v>
      </c>
      <c r="AK31" s="88">
        <v>0.747</v>
      </c>
      <c r="AL31" s="88">
        <v>0.77800000000000002</v>
      </c>
      <c r="AM31" s="88">
        <v>0.81100000000000005</v>
      </c>
      <c r="AN31" s="88">
        <v>0.84599999999999997</v>
      </c>
      <c r="AO31" s="88">
        <v>0.88400000000000001</v>
      </c>
      <c r="AP31" s="88">
        <v>0.92500000000000004</v>
      </c>
      <c r="AQ31" s="88">
        <v>0.96899999999999997</v>
      </c>
    </row>
    <row r="32" spans="1:43" x14ac:dyDescent="0.25">
      <c r="A32" s="86">
        <v>5</v>
      </c>
      <c r="B32" s="88">
        <v>0.26900000000000002</v>
      </c>
      <c r="C32" s="88">
        <v>0.27600000000000002</v>
      </c>
      <c r="D32" s="88">
        <v>0.28199999999999997</v>
      </c>
      <c r="E32" s="88">
        <v>0.28899999999999998</v>
      </c>
      <c r="F32" s="88">
        <v>0.29599999999999999</v>
      </c>
      <c r="G32" s="88">
        <v>0.30299999999999999</v>
      </c>
      <c r="H32" s="88">
        <v>0.31</v>
      </c>
      <c r="I32" s="88">
        <v>0.318</v>
      </c>
      <c r="J32" s="88">
        <v>0.32600000000000001</v>
      </c>
      <c r="K32" s="88">
        <v>0.33400000000000002</v>
      </c>
      <c r="L32" s="88">
        <v>0.34300000000000003</v>
      </c>
      <c r="M32" s="88">
        <v>0.35099999999999998</v>
      </c>
      <c r="N32" s="88">
        <v>0.36099999999999999</v>
      </c>
      <c r="O32" s="88">
        <v>0.37</v>
      </c>
      <c r="P32" s="88">
        <v>0.38</v>
      </c>
      <c r="Q32" s="88">
        <v>0.39100000000000001</v>
      </c>
      <c r="R32" s="88">
        <v>0.40200000000000002</v>
      </c>
      <c r="S32" s="88">
        <v>0.41299999999999998</v>
      </c>
      <c r="T32" s="88">
        <v>0.42499999999999999</v>
      </c>
      <c r="U32" s="88">
        <v>0.437</v>
      </c>
      <c r="V32" s="88">
        <v>0.45</v>
      </c>
      <c r="W32" s="88">
        <v>0.46400000000000002</v>
      </c>
      <c r="X32" s="88">
        <v>0.47799999999999998</v>
      </c>
      <c r="Y32" s="88">
        <v>0.49299999999999999</v>
      </c>
      <c r="Z32" s="88">
        <v>0.50800000000000001</v>
      </c>
      <c r="AA32" s="88">
        <v>0.52500000000000002</v>
      </c>
      <c r="AB32" s="88">
        <v>0.54200000000000004</v>
      </c>
      <c r="AC32" s="88">
        <v>0.56000000000000005</v>
      </c>
      <c r="AD32" s="88">
        <v>0.57899999999999996</v>
      </c>
      <c r="AE32" s="88">
        <v>0.6</v>
      </c>
      <c r="AF32" s="88">
        <v>0.621</v>
      </c>
      <c r="AG32" s="88">
        <v>0.64400000000000002</v>
      </c>
      <c r="AH32" s="88">
        <v>0.66800000000000004</v>
      </c>
      <c r="AI32" s="88">
        <v>0.69399999999999995</v>
      </c>
      <c r="AJ32" s="88">
        <v>0.72099999999999997</v>
      </c>
      <c r="AK32" s="88">
        <v>0.75</v>
      </c>
      <c r="AL32" s="88">
        <v>0.78100000000000003</v>
      </c>
      <c r="AM32" s="88">
        <v>0.81399999999999995</v>
      </c>
      <c r="AN32" s="88">
        <v>0.84899999999999998</v>
      </c>
      <c r="AO32" s="88">
        <v>0.88800000000000001</v>
      </c>
      <c r="AP32" s="88">
        <v>0.92900000000000005</v>
      </c>
      <c r="AQ32" s="88">
        <v>0.97299999999999998</v>
      </c>
    </row>
    <row r="33" spans="1:43" x14ac:dyDescent="0.25">
      <c r="A33" s="86">
        <v>6</v>
      </c>
      <c r="B33" s="88">
        <v>0.27</v>
      </c>
      <c r="C33" s="88">
        <v>0.27600000000000002</v>
      </c>
      <c r="D33" s="88">
        <v>0.28299999999999997</v>
      </c>
      <c r="E33" s="88">
        <v>0.28899999999999998</v>
      </c>
      <c r="F33" s="88">
        <v>0.29599999999999999</v>
      </c>
      <c r="G33" s="88">
        <v>0.30299999999999999</v>
      </c>
      <c r="H33" s="88">
        <v>0.311</v>
      </c>
      <c r="I33" s="88">
        <v>0.318</v>
      </c>
      <c r="J33" s="88">
        <v>0.32600000000000001</v>
      </c>
      <c r="K33" s="88">
        <v>0.33500000000000002</v>
      </c>
      <c r="L33" s="88">
        <v>0.34300000000000003</v>
      </c>
      <c r="M33" s="88">
        <v>0.35199999999999998</v>
      </c>
      <c r="N33" s="88">
        <v>0.36099999999999999</v>
      </c>
      <c r="O33" s="88">
        <v>0.371</v>
      </c>
      <c r="P33" s="88">
        <v>0.38100000000000001</v>
      </c>
      <c r="Q33" s="88">
        <v>0.39200000000000002</v>
      </c>
      <c r="R33" s="88">
        <v>0.40300000000000002</v>
      </c>
      <c r="S33" s="88">
        <v>0.41399999999999998</v>
      </c>
      <c r="T33" s="88">
        <v>0.42599999999999999</v>
      </c>
      <c r="U33" s="88">
        <v>0.438</v>
      </c>
      <c r="V33" s="88">
        <v>0.45100000000000001</v>
      </c>
      <c r="W33" s="88">
        <v>0.46500000000000002</v>
      </c>
      <c r="X33" s="88">
        <v>0.47899999999999998</v>
      </c>
      <c r="Y33" s="88">
        <v>0.49399999999999999</v>
      </c>
      <c r="Z33" s="88">
        <v>0.51</v>
      </c>
      <c r="AA33" s="88">
        <v>0.52600000000000002</v>
      </c>
      <c r="AB33" s="88">
        <v>0.54400000000000004</v>
      </c>
      <c r="AC33" s="88">
        <v>0.56200000000000006</v>
      </c>
      <c r="AD33" s="88">
        <v>0.58099999999999996</v>
      </c>
      <c r="AE33" s="88">
        <v>0.60099999999999998</v>
      </c>
      <c r="AF33" s="88">
        <v>0.623</v>
      </c>
      <c r="AG33" s="88">
        <v>0.64600000000000002</v>
      </c>
      <c r="AH33" s="88">
        <v>0.67</v>
      </c>
      <c r="AI33" s="88">
        <v>0.69599999999999995</v>
      </c>
      <c r="AJ33" s="88">
        <v>0.72299999999999998</v>
      </c>
      <c r="AK33" s="88">
        <v>0.752</v>
      </c>
      <c r="AL33" s="88">
        <v>0.78300000000000003</v>
      </c>
      <c r="AM33" s="88">
        <v>0.81699999999999995</v>
      </c>
      <c r="AN33" s="88">
        <v>0.85299999999999998</v>
      </c>
      <c r="AO33" s="88">
        <v>0.89100000000000001</v>
      </c>
      <c r="AP33" s="88">
        <v>0.93200000000000005</v>
      </c>
      <c r="AQ33" s="88">
        <v>0.97699999999999998</v>
      </c>
    </row>
    <row r="34" spans="1:43" x14ac:dyDescent="0.25">
      <c r="A34" s="86">
        <v>7</v>
      </c>
      <c r="B34" s="88">
        <v>0.27</v>
      </c>
      <c r="C34" s="88">
        <v>0.27700000000000002</v>
      </c>
      <c r="D34" s="88">
        <v>0.28299999999999997</v>
      </c>
      <c r="E34" s="88">
        <v>0.28999999999999998</v>
      </c>
      <c r="F34" s="88">
        <v>0.29699999999999999</v>
      </c>
      <c r="G34" s="88">
        <v>0.30399999999999999</v>
      </c>
      <c r="H34" s="88">
        <v>0.311</v>
      </c>
      <c r="I34" s="88">
        <v>0.31900000000000001</v>
      </c>
      <c r="J34" s="88">
        <v>0.32700000000000001</v>
      </c>
      <c r="K34" s="88">
        <v>0.33500000000000002</v>
      </c>
      <c r="L34" s="88">
        <v>0.34399999999999997</v>
      </c>
      <c r="M34" s="88">
        <v>0.35299999999999998</v>
      </c>
      <c r="N34" s="88">
        <v>0.36199999999999999</v>
      </c>
      <c r="O34" s="88">
        <v>0.372</v>
      </c>
      <c r="P34" s="88">
        <v>0.38200000000000001</v>
      </c>
      <c r="Q34" s="88">
        <v>0.39300000000000002</v>
      </c>
      <c r="R34" s="88">
        <v>0.40300000000000002</v>
      </c>
      <c r="S34" s="88">
        <v>0.41499999999999998</v>
      </c>
      <c r="T34" s="88">
        <v>0.42699999999999999</v>
      </c>
      <c r="U34" s="88">
        <v>0.439</v>
      </c>
      <c r="V34" s="88">
        <v>0.45200000000000001</v>
      </c>
      <c r="W34" s="88">
        <v>0.46600000000000003</v>
      </c>
      <c r="X34" s="88">
        <v>0.48</v>
      </c>
      <c r="Y34" s="88">
        <v>0.495</v>
      </c>
      <c r="Z34" s="88">
        <v>0.51100000000000001</v>
      </c>
      <c r="AA34" s="88">
        <v>0.52800000000000002</v>
      </c>
      <c r="AB34" s="88">
        <v>0.54500000000000004</v>
      </c>
      <c r="AC34" s="88">
        <v>0.56299999999999994</v>
      </c>
      <c r="AD34" s="88">
        <v>0.58299999999999996</v>
      </c>
      <c r="AE34" s="88">
        <v>0.60299999999999998</v>
      </c>
      <c r="AF34" s="88">
        <v>0.625</v>
      </c>
      <c r="AG34" s="88">
        <v>0.64800000000000002</v>
      </c>
      <c r="AH34" s="88">
        <v>0.67200000000000004</v>
      </c>
      <c r="AI34" s="88">
        <v>0.69799999999999995</v>
      </c>
      <c r="AJ34" s="88">
        <v>0.72499999999999998</v>
      </c>
      <c r="AK34" s="88">
        <v>0.755</v>
      </c>
      <c r="AL34" s="88">
        <v>0.78600000000000003</v>
      </c>
      <c r="AM34" s="88">
        <v>0.82</v>
      </c>
      <c r="AN34" s="88">
        <v>0.85599999999999998</v>
      </c>
      <c r="AO34" s="88">
        <v>0.89400000000000002</v>
      </c>
      <c r="AP34" s="88">
        <v>0.93600000000000005</v>
      </c>
      <c r="AQ34" s="88">
        <v>0.98099999999999998</v>
      </c>
    </row>
    <row r="35" spans="1:43" x14ac:dyDescent="0.25">
      <c r="A35" s="86">
        <v>8</v>
      </c>
      <c r="B35" s="88">
        <v>0.27100000000000002</v>
      </c>
      <c r="C35" s="88">
        <v>0.27700000000000002</v>
      </c>
      <c r="D35" s="88">
        <v>0.28399999999999997</v>
      </c>
      <c r="E35" s="88">
        <v>0.28999999999999998</v>
      </c>
      <c r="F35" s="88">
        <v>0.29699999999999999</v>
      </c>
      <c r="G35" s="88">
        <v>0.30499999999999999</v>
      </c>
      <c r="H35" s="88">
        <v>0.312</v>
      </c>
      <c r="I35" s="88">
        <v>0.32</v>
      </c>
      <c r="J35" s="88">
        <v>0.32800000000000001</v>
      </c>
      <c r="K35" s="88">
        <v>0.33600000000000002</v>
      </c>
      <c r="L35" s="88">
        <v>0.34499999999999997</v>
      </c>
      <c r="M35" s="88">
        <v>0.35399999999999998</v>
      </c>
      <c r="N35" s="88">
        <v>0.36299999999999999</v>
      </c>
      <c r="O35" s="88">
        <v>0.373</v>
      </c>
      <c r="P35" s="88">
        <v>0.38300000000000001</v>
      </c>
      <c r="Q35" s="88">
        <v>0.39300000000000002</v>
      </c>
      <c r="R35" s="88">
        <v>0.40400000000000003</v>
      </c>
      <c r="S35" s="88">
        <v>0.41599999999999998</v>
      </c>
      <c r="T35" s="88">
        <v>0.42799999999999999</v>
      </c>
      <c r="U35" s="88">
        <v>0.44</v>
      </c>
      <c r="V35" s="88">
        <v>0.45300000000000001</v>
      </c>
      <c r="W35" s="88">
        <v>0.46700000000000003</v>
      </c>
      <c r="X35" s="88">
        <v>0.48099999999999998</v>
      </c>
      <c r="Y35" s="88">
        <v>0.497</v>
      </c>
      <c r="Z35" s="88">
        <v>0.51200000000000001</v>
      </c>
      <c r="AA35" s="88">
        <v>0.52900000000000003</v>
      </c>
      <c r="AB35" s="88">
        <v>0.54600000000000004</v>
      </c>
      <c r="AC35" s="88">
        <v>0.56499999999999995</v>
      </c>
      <c r="AD35" s="88">
        <v>0.58399999999999996</v>
      </c>
      <c r="AE35" s="88">
        <v>0.60499999999999998</v>
      </c>
      <c r="AF35" s="88">
        <v>0.627</v>
      </c>
      <c r="AG35" s="88">
        <v>0.65</v>
      </c>
      <c r="AH35" s="88">
        <v>0.67400000000000004</v>
      </c>
      <c r="AI35" s="88">
        <v>0.7</v>
      </c>
      <c r="AJ35" s="88">
        <v>0.72799999999999998</v>
      </c>
      <c r="AK35" s="88">
        <v>0.75700000000000001</v>
      </c>
      <c r="AL35" s="88">
        <v>0.78900000000000003</v>
      </c>
      <c r="AM35" s="88">
        <v>0.82299999999999995</v>
      </c>
      <c r="AN35" s="88">
        <v>0.85899999999999999</v>
      </c>
      <c r="AO35" s="88">
        <v>0.89800000000000002</v>
      </c>
      <c r="AP35" s="88">
        <v>0.93899999999999995</v>
      </c>
      <c r="AQ35" s="88">
        <v>0.98499999999999999</v>
      </c>
    </row>
    <row r="36" spans="1:43" x14ac:dyDescent="0.25">
      <c r="A36" s="86">
        <v>9</v>
      </c>
      <c r="B36" s="88">
        <v>0.27100000000000002</v>
      </c>
      <c r="C36" s="88">
        <v>0.27800000000000002</v>
      </c>
      <c r="D36" s="88">
        <v>0.28399999999999997</v>
      </c>
      <c r="E36" s="88">
        <v>0.29099999999999998</v>
      </c>
      <c r="F36" s="88">
        <v>0.29799999999999999</v>
      </c>
      <c r="G36" s="88">
        <v>0.30499999999999999</v>
      </c>
      <c r="H36" s="88">
        <v>0.313</v>
      </c>
      <c r="I36" s="88">
        <v>0.32</v>
      </c>
      <c r="J36" s="88">
        <v>0.32800000000000001</v>
      </c>
      <c r="K36" s="88">
        <v>0.33700000000000002</v>
      </c>
      <c r="L36" s="88">
        <v>0.34499999999999997</v>
      </c>
      <c r="M36" s="88">
        <v>0.35399999999999998</v>
      </c>
      <c r="N36" s="88">
        <v>0.36399999999999999</v>
      </c>
      <c r="O36" s="88">
        <v>0.374</v>
      </c>
      <c r="P36" s="88">
        <v>0.38400000000000001</v>
      </c>
      <c r="Q36" s="88">
        <v>0.39400000000000002</v>
      </c>
      <c r="R36" s="88">
        <v>0.40500000000000003</v>
      </c>
      <c r="S36" s="88">
        <v>0.41699999999999998</v>
      </c>
      <c r="T36" s="88">
        <v>0.42899999999999999</v>
      </c>
      <c r="U36" s="88">
        <v>0.441</v>
      </c>
      <c r="V36" s="88">
        <v>0.45500000000000002</v>
      </c>
      <c r="W36" s="88">
        <v>0.46800000000000003</v>
      </c>
      <c r="X36" s="88">
        <v>0.48299999999999998</v>
      </c>
      <c r="Y36" s="88">
        <v>0.498</v>
      </c>
      <c r="Z36" s="88">
        <v>0.51400000000000001</v>
      </c>
      <c r="AA36" s="88">
        <v>0.53</v>
      </c>
      <c r="AB36" s="88">
        <v>0.54800000000000004</v>
      </c>
      <c r="AC36" s="88">
        <v>0.56599999999999995</v>
      </c>
      <c r="AD36" s="88">
        <v>0.58599999999999997</v>
      </c>
      <c r="AE36" s="88">
        <v>0.60699999999999998</v>
      </c>
      <c r="AF36" s="88">
        <v>0.629</v>
      </c>
      <c r="AG36" s="88">
        <v>0.65200000000000002</v>
      </c>
      <c r="AH36" s="88">
        <v>0.67600000000000005</v>
      </c>
      <c r="AI36" s="88">
        <v>0.70199999999999996</v>
      </c>
      <c r="AJ36" s="88">
        <v>0.73</v>
      </c>
      <c r="AK36" s="88">
        <v>0.76</v>
      </c>
      <c r="AL36" s="88">
        <v>0.79200000000000004</v>
      </c>
      <c r="AM36" s="88">
        <v>0.82499999999999996</v>
      </c>
      <c r="AN36" s="88">
        <v>0.86199999999999999</v>
      </c>
      <c r="AO36" s="88">
        <v>0.90100000000000002</v>
      </c>
      <c r="AP36" s="88">
        <v>0.94299999999999995</v>
      </c>
      <c r="AQ36" s="88">
        <v>0.98799999999999999</v>
      </c>
    </row>
    <row r="37" spans="1:43" x14ac:dyDescent="0.25">
      <c r="A37" s="86">
        <v>10</v>
      </c>
      <c r="B37" s="88">
        <v>0.27200000000000002</v>
      </c>
      <c r="C37" s="88">
        <v>0.27800000000000002</v>
      </c>
      <c r="D37" s="88">
        <v>0.28499999999999998</v>
      </c>
      <c r="E37" s="88">
        <v>0.29199999999999998</v>
      </c>
      <c r="F37" s="88">
        <v>0.29899999999999999</v>
      </c>
      <c r="G37" s="88">
        <v>0.30599999999999999</v>
      </c>
      <c r="H37" s="88">
        <v>0.313</v>
      </c>
      <c r="I37" s="88">
        <v>0.32100000000000001</v>
      </c>
      <c r="J37" s="88">
        <v>0.32900000000000001</v>
      </c>
      <c r="K37" s="88">
        <v>0.33800000000000002</v>
      </c>
      <c r="L37" s="88">
        <v>0.34599999999999997</v>
      </c>
      <c r="M37" s="88">
        <v>0.35499999999999998</v>
      </c>
      <c r="N37" s="88">
        <v>0.36499999999999999</v>
      </c>
      <c r="O37" s="88">
        <v>0.374</v>
      </c>
      <c r="P37" s="88">
        <v>0.38500000000000001</v>
      </c>
      <c r="Q37" s="88">
        <v>0.39500000000000002</v>
      </c>
      <c r="R37" s="88">
        <v>0.40600000000000003</v>
      </c>
      <c r="S37" s="88">
        <v>0.41799999999999998</v>
      </c>
      <c r="T37" s="88">
        <v>0.43</v>
      </c>
      <c r="U37" s="88">
        <v>0.442</v>
      </c>
      <c r="V37" s="88">
        <v>0.45600000000000002</v>
      </c>
      <c r="W37" s="88">
        <v>0.46899999999999997</v>
      </c>
      <c r="X37" s="88">
        <v>0.48399999999999999</v>
      </c>
      <c r="Y37" s="88">
        <v>0.499</v>
      </c>
      <c r="Z37" s="88">
        <v>0.51500000000000001</v>
      </c>
      <c r="AA37" s="88">
        <v>0.53200000000000003</v>
      </c>
      <c r="AB37" s="88">
        <v>0.54900000000000004</v>
      </c>
      <c r="AC37" s="88">
        <v>0.56799999999999995</v>
      </c>
      <c r="AD37" s="88">
        <v>0.58799999999999997</v>
      </c>
      <c r="AE37" s="88">
        <v>0.60799999999999998</v>
      </c>
      <c r="AF37" s="88">
        <v>0.63</v>
      </c>
      <c r="AG37" s="88">
        <v>0.65400000000000003</v>
      </c>
      <c r="AH37" s="88">
        <v>0.67800000000000005</v>
      </c>
      <c r="AI37" s="88">
        <v>0.70499999999999996</v>
      </c>
      <c r="AJ37" s="88">
        <v>0.73299999999999998</v>
      </c>
      <c r="AK37" s="88">
        <v>0.76200000000000001</v>
      </c>
      <c r="AL37" s="88">
        <v>0.79400000000000004</v>
      </c>
      <c r="AM37" s="88">
        <v>0.82799999999999996</v>
      </c>
      <c r="AN37" s="88">
        <v>0.86499999999999999</v>
      </c>
      <c r="AO37" s="88">
        <v>0.90400000000000003</v>
      </c>
      <c r="AP37" s="88">
        <v>0.94699999999999995</v>
      </c>
      <c r="AQ37" s="88">
        <v>0.99199999999999999</v>
      </c>
    </row>
    <row r="38" spans="1:43" x14ac:dyDescent="0.25">
      <c r="A38" s="86">
        <v>11</v>
      </c>
      <c r="B38" s="88">
        <v>0.27200000000000002</v>
      </c>
      <c r="C38" s="88">
        <v>0.27900000000000003</v>
      </c>
      <c r="D38" s="88">
        <v>0.28499999999999998</v>
      </c>
      <c r="E38" s="88">
        <v>0.29199999999999998</v>
      </c>
      <c r="F38" s="88">
        <v>0.29899999999999999</v>
      </c>
      <c r="G38" s="88">
        <v>0.30599999999999999</v>
      </c>
      <c r="H38" s="88">
        <v>0.314</v>
      </c>
      <c r="I38" s="88">
        <v>0.32200000000000001</v>
      </c>
      <c r="J38" s="88">
        <v>0.33</v>
      </c>
      <c r="K38" s="88">
        <v>0.33800000000000002</v>
      </c>
      <c r="L38" s="88">
        <v>0.34699999999999998</v>
      </c>
      <c r="M38" s="88">
        <v>0.35599999999999998</v>
      </c>
      <c r="N38" s="88">
        <v>0.36499999999999999</v>
      </c>
      <c r="O38" s="88">
        <v>0.375</v>
      </c>
      <c r="P38" s="88">
        <v>0.38500000000000001</v>
      </c>
      <c r="Q38" s="88">
        <v>0.39600000000000002</v>
      </c>
      <c r="R38" s="88">
        <v>0.40699999999999997</v>
      </c>
      <c r="S38" s="88">
        <v>0.41899999999999998</v>
      </c>
      <c r="T38" s="88">
        <v>0.43099999999999999</v>
      </c>
      <c r="U38" s="88">
        <v>0.443</v>
      </c>
      <c r="V38" s="88">
        <v>0.45700000000000002</v>
      </c>
      <c r="W38" s="88">
        <v>0.47099999999999997</v>
      </c>
      <c r="X38" s="88">
        <v>0.48499999999999999</v>
      </c>
      <c r="Y38" s="88">
        <v>0.5</v>
      </c>
      <c r="Z38" s="88">
        <v>0.51600000000000001</v>
      </c>
      <c r="AA38" s="88">
        <v>0.53300000000000003</v>
      </c>
      <c r="AB38" s="88">
        <v>0.55100000000000005</v>
      </c>
      <c r="AC38" s="88">
        <v>0.56999999999999995</v>
      </c>
      <c r="AD38" s="88">
        <v>0.58899999999999997</v>
      </c>
      <c r="AE38" s="88">
        <v>0.61</v>
      </c>
      <c r="AF38" s="88">
        <v>0.63200000000000001</v>
      </c>
      <c r="AG38" s="88">
        <v>0.65600000000000003</v>
      </c>
      <c r="AH38" s="88">
        <v>0.68</v>
      </c>
      <c r="AI38" s="88">
        <v>0.70699999999999996</v>
      </c>
      <c r="AJ38" s="88">
        <v>0.73499999999999999</v>
      </c>
      <c r="AK38" s="88">
        <v>0.76500000000000001</v>
      </c>
      <c r="AL38" s="88">
        <v>0.79700000000000004</v>
      </c>
      <c r="AM38" s="88">
        <v>0.83099999999999996</v>
      </c>
      <c r="AN38" s="88">
        <v>0.86799999999999999</v>
      </c>
      <c r="AO38" s="88">
        <v>0.90800000000000003</v>
      </c>
      <c r="AP38" s="88">
        <v>0.95</v>
      </c>
      <c r="AQ38" s="88">
        <v>0.996</v>
      </c>
    </row>
    <row r="39" spans="1:43" x14ac:dyDescent="0.25">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row>
    <row r="40" spans="1:43" x14ac:dyDescent="0.25">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row>
    <row r="41" spans="1:43" x14ac:dyDescent="0.25">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row>
    <row r="42" spans="1:43" x14ac:dyDescent="0.25">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row>
    <row r="43" spans="1:43" x14ac:dyDescent="0.25">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row>
    <row r="44" spans="1:43" ht="39.6" customHeight="1" x14ac:dyDescent="0.25">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row>
    <row r="45" spans="1:43" x14ac:dyDescent="0.25">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row>
    <row r="46" spans="1:43" ht="27.6" customHeight="1" x14ac:dyDescent="0.25">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row>
    <row r="47" spans="1:43" x14ac:dyDescent="0.25">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row>
    <row r="48" spans="1:43" x14ac:dyDescent="0.25">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row>
    <row r="49" spans="2:43" x14ac:dyDescent="0.25">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row>
    <row r="50" spans="2:43" x14ac:dyDescent="0.25">
      <c r="B50" s="82"/>
    </row>
  </sheetData>
  <sheetProtection algorithmName="SHA-512" hashValue="pWXlipamodfQ3yLqt0R9pVKDHp7aO9/ELyqSB7W9V3NbgitEV3nh39nLmL2I/GJElQ0vvhsMDXiVS5am54l5jw==" saltValue="M0anscnjkZeGCdg4W8snvg==" spinCount="100000" sheet="1" objects="1" scenarios="1"/>
  <conditionalFormatting sqref="A6:A21">
    <cfRule type="expression" dxfId="479" priority="1" stopIfTrue="1">
      <formula>MOD(ROW(),2)=0</formula>
    </cfRule>
    <cfRule type="expression" dxfId="478" priority="2" stopIfTrue="1">
      <formula>MOD(ROW(),2)&lt;&gt;0</formula>
    </cfRule>
  </conditionalFormatting>
  <conditionalFormatting sqref="A26:A38">
    <cfRule type="expression" dxfId="477" priority="3" stopIfTrue="1">
      <formula>MOD(ROW(),2)=0</formula>
    </cfRule>
    <cfRule type="expression" dxfId="476" priority="4" stopIfTrue="1">
      <formula>MOD(ROW(),2)&lt;&gt;0</formula>
    </cfRule>
  </conditionalFormatting>
  <conditionalFormatting sqref="B17:C21">
    <cfRule type="expression" dxfId="475" priority="7" stopIfTrue="1">
      <formula>MOD(ROW(),2)=0</formula>
    </cfRule>
    <cfRule type="expression" dxfId="474" priority="8" stopIfTrue="1">
      <formula>MOD(ROW(),2)&lt;&gt;0</formula>
    </cfRule>
  </conditionalFormatting>
  <conditionalFormatting sqref="B6:AQ21">
    <cfRule type="expression" dxfId="473" priority="21" stopIfTrue="1">
      <formula>MOD(ROW(),2)=0</formula>
    </cfRule>
    <cfRule type="expression" dxfId="472" priority="22" stopIfTrue="1">
      <formula>MOD(ROW(),2)&lt;&gt;0</formula>
    </cfRule>
  </conditionalFormatting>
  <conditionalFormatting sqref="B26:AQ38">
    <cfRule type="expression" dxfId="471" priority="5" stopIfTrue="1">
      <formula>MOD(ROW(),2)=0</formula>
    </cfRule>
    <cfRule type="expression" dxfId="470" priority="6" stopIfTrue="1">
      <formula>MOD(ROW(),2)&lt;&gt;0</formula>
    </cfRule>
  </conditionalFormatting>
  <hyperlinks>
    <hyperlink ref="B24" location="Assumptions!A1" display="Assumptions" xr:uid="{A2979D11-1C98-4F7B-AE59-9646E413BA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7"/>
  <dimension ref="A1:K57"/>
  <sheetViews>
    <sheetView showGridLines="0" topLeftCell="A3"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Pension Debit - x-321</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2006</v>
      </c>
      <c r="C8" s="148"/>
      <c r="D8" s="148"/>
      <c r="E8" s="148"/>
      <c r="F8" s="148"/>
      <c r="G8" s="148"/>
      <c r="H8" s="148"/>
      <c r="I8" s="148"/>
      <c r="J8" s="148"/>
      <c r="K8" s="148"/>
    </row>
    <row r="9" spans="1:11" x14ac:dyDescent="0.25">
      <c r="A9" s="76" t="s">
        <v>80</v>
      </c>
      <c r="B9" s="148" t="s">
        <v>174</v>
      </c>
      <c r="C9" s="148"/>
      <c r="D9" s="148"/>
      <c r="E9" s="148"/>
      <c r="F9" s="148"/>
      <c r="G9" s="148"/>
      <c r="H9" s="148"/>
      <c r="I9" s="148"/>
      <c r="J9" s="148"/>
      <c r="K9" s="148"/>
    </row>
    <row r="10" spans="1:11" x14ac:dyDescent="0.25">
      <c r="A10" s="76" t="s">
        <v>6</v>
      </c>
      <c r="B10" s="148" t="s">
        <v>186</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187</v>
      </c>
      <c r="C12" s="148"/>
      <c r="D12" s="148"/>
      <c r="E12" s="148"/>
      <c r="F12" s="148"/>
      <c r="G12" s="148"/>
      <c r="H12" s="148"/>
      <c r="I12" s="148"/>
      <c r="J12" s="148"/>
      <c r="K12" s="148"/>
    </row>
    <row r="13" spans="1:11" hidden="1" x14ac:dyDescent="0.25">
      <c r="A13" s="76" t="s">
        <v>342</v>
      </c>
      <c r="B13" s="148">
        <v>1</v>
      </c>
      <c r="C13" s="148"/>
      <c r="D13" s="148"/>
      <c r="E13" s="148"/>
      <c r="F13" s="148"/>
      <c r="G13" s="148"/>
      <c r="H13" s="148"/>
      <c r="I13" s="148"/>
      <c r="J13" s="148"/>
      <c r="K13" s="148"/>
    </row>
    <row r="14" spans="1:11" hidden="1" x14ac:dyDescent="0.25">
      <c r="A14" s="76" t="s">
        <v>84</v>
      </c>
      <c r="B14" s="148">
        <v>321</v>
      </c>
      <c r="C14" s="148"/>
      <c r="D14" s="148"/>
      <c r="E14" s="148"/>
      <c r="F14" s="148"/>
      <c r="G14" s="148"/>
      <c r="H14" s="148"/>
      <c r="I14" s="148"/>
      <c r="J14" s="148"/>
      <c r="K14" s="148"/>
    </row>
    <row r="15" spans="1:11" x14ac:dyDescent="0.25">
      <c r="A15" s="76" t="s">
        <v>345</v>
      </c>
      <c r="B15" s="148" t="s">
        <v>188</v>
      </c>
      <c r="C15" s="148"/>
      <c r="D15" s="148"/>
      <c r="E15" s="148"/>
      <c r="F15" s="148"/>
      <c r="G15" s="148"/>
      <c r="H15" s="148"/>
      <c r="I15" s="148"/>
      <c r="J15" s="148"/>
      <c r="K15" s="148"/>
    </row>
    <row r="16" spans="1:11" x14ac:dyDescent="0.25">
      <c r="A16" s="76" t="s">
        <v>86</v>
      </c>
      <c r="B16" s="148" t="s">
        <v>179</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45070</v>
      </c>
      <c r="C18" s="148"/>
      <c r="D18" s="148"/>
      <c r="E18" s="148"/>
      <c r="F18" s="148"/>
      <c r="G18" s="148"/>
      <c r="H18" s="148"/>
      <c r="I18" s="148"/>
      <c r="J18" s="148"/>
      <c r="K18" s="148"/>
    </row>
    <row r="19" spans="1:11" x14ac:dyDescent="0.25">
      <c r="A19" s="76" t="s">
        <v>89</v>
      </c>
      <c r="B19" s="152">
        <v>45014</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6" spans="1:11" x14ac:dyDescent="0.25">
      <c r="A26" s="85" t="s">
        <v>439</v>
      </c>
      <c r="B26" s="85">
        <v>55</v>
      </c>
      <c r="C26" s="85">
        <v>56</v>
      </c>
      <c r="D26" s="85">
        <v>57</v>
      </c>
      <c r="E26" s="85">
        <v>58</v>
      </c>
      <c r="F26" s="85">
        <v>59</v>
      </c>
      <c r="G26" s="85">
        <v>60</v>
      </c>
      <c r="H26" s="85">
        <v>61</v>
      </c>
      <c r="I26" s="85">
        <v>62</v>
      </c>
      <c r="J26" s="85">
        <v>63</v>
      </c>
      <c r="K26" s="85">
        <v>64</v>
      </c>
    </row>
    <row r="27" spans="1:11" x14ac:dyDescent="0.25">
      <c r="A27" s="86">
        <v>0</v>
      </c>
      <c r="B27" s="88">
        <v>0.62</v>
      </c>
      <c r="C27" s="88">
        <v>0.64600000000000002</v>
      </c>
      <c r="D27" s="88">
        <v>0.67400000000000004</v>
      </c>
      <c r="E27" s="88">
        <v>0.70499999999999996</v>
      </c>
      <c r="F27" s="88">
        <v>0.73699999999999999</v>
      </c>
      <c r="G27" s="88">
        <v>0.77200000000000002</v>
      </c>
      <c r="H27" s="88">
        <v>0.81100000000000005</v>
      </c>
      <c r="I27" s="88">
        <v>0.85199999999999998</v>
      </c>
      <c r="J27" s="88">
        <v>0.89700000000000002</v>
      </c>
      <c r="K27" s="88">
        <v>0.94599999999999995</v>
      </c>
    </row>
    <row r="28" spans="1:11" x14ac:dyDescent="0.25">
      <c r="A28" s="86">
        <v>1</v>
      </c>
      <c r="B28" s="88">
        <v>0.622</v>
      </c>
      <c r="C28" s="88">
        <v>0.64800000000000002</v>
      </c>
      <c r="D28" s="88">
        <v>0.67700000000000005</v>
      </c>
      <c r="E28" s="88">
        <v>0.70699999999999996</v>
      </c>
      <c r="F28" s="88">
        <v>0.74</v>
      </c>
      <c r="G28" s="88">
        <v>0.77600000000000002</v>
      </c>
      <c r="H28" s="88">
        <v>0.81399999999999995</v>
      </c>
      <c r="I28" s="88">
        <v>0.85599999999999998</v>
      </c>
      <c r="J28" s="88">
        <v>0.90100000000000002</v>
      </c>
      <c r="K28" s="88">
        <v>0.95099999999999996</v>
      </c>
    </row>
    <row r="29" spans="1:11" x14ac:dyDescent="0.25">
      <c r="A29" s="86">
        <v>2</v>
      </c>
      <c r="B29" s="88">
        <v>0.624</v>
      </c>
      <c r="C29" s="88">
        <v>0.65100000000000002</v>
      </c>
      <c r="D29" s="88">
        <v>0.67900000000000005</v>
      </c>
      <c r="E29" s="88">
        <v>0.71</v>
      </c>
      <c r="F29" s="88">
        <v>0.74299999999999999</v>
      </c>
      <c r="G29" s="88">
        <v>0.77900000000000003</v>
      </c>
      <c r="H29" s="88">
        <v>0.81699999999999995</v>
      </c>
      <c r="I29" s="88">
        <v>0.85899999999999999</v>
      </c>
      <c r="J29" s="88">
        <v>0.90500000000000003</v>
      </c>
      <c r="K29" s="88">
        <v>0.95499999999999996</v>
      </c>
    </row>
    <row r="30" spans="1:11" x14ac:dyDescent="0.25">
      <c r="A30" s="86">
        <v>3</v>
      </c>
      <c r="B30" s="88">
        <v>0.626</v>
      </c>
      <c r="C30" s="88">
        <v>0.65300000000000002</v>
      </c>
      <c r="D30" s="88">
        <v>0.68200000000000005</v>
      </c>
      <c r="E30" s="88">
        <v>0.71299999999999997</v>
      </c>
      <c r="F30" s="88">
        <v>0.746</v>
      </c>
      <c r="G30" s="88">
        <v>0.78200000000000003</v>
      </c>
      <c r="H30" s="88">
        <v>0.82099999999999995</v>
      </c>
      <c r="I30" s="88">
        <v>0.86299999999999999</v>
      </c>
      <c r="J30" s="88">
        <v>0.90900000000000003</v>
      </c>
      <c r="K30" s="88">
        <v>0.96</v>
      </c>
    </row>
    <row r="31" spans="1:11" x14ac:dyDescent="0.25">
      <c r="A31" s="86">
        <v>4</v>
      </c>
      <c r="B31" s="88">
        <v>0.629</v>
      </c>
      <c r="C31" s="88">
        <v>0.65600000000000003</v>
      </c>
      <c r="D31" s="88">
        <v>0.68400000000000005</v>
      </c>
      <c r="E31" s="88">
        <v>0.71499999999999997</v>
      </c>
      <c r="F31" s="88">
        <v>0.749</v>
      </c>
      <c r="G31" s="88">
        <v>0.78500000000000003</v>
      </c>
      <c r="H31" s="88">
        <v>0.82399999999999995</v>
      </c>
      <c r="I31" s="88">
        <v>0.86699999999999999</v>
      </c>
      <c r="J31" s="88">
        <v>0.91300000000000003</v>
      </c>
      <c r="K31" s="88">
        <v>0.96399999999999997</v>
      </c>
    </row>
    <row r="32" spans="1:11" x14ac:dyDescent="0.25">
      <c r="A32" s="86">
        <v>5</v>
      </c>
      <c r="B32" s="88">
        <v>0.63100000000000001</v>
      </c>
      <c r="C32" s="88">
        <v>0.65800000000000003</v>
      </c>
      <c r="D32" s="88">
        <v>0.68700000000000006</v>
      </c>
      <c r="E32" s="88">
        <v>0.71799999999999997</v>
      </c>
      <c r="F32" s="88">
        <v>0.752</v>
      </c>
      <c r="G32" s="88">
        <v>0.78800000000000003</v>
      </c>
      <c r="H32" s="88">
        <v>0.82799999999999996</v>
      </c>
      <c r="I32" s="88">
        <v>0.871</v>
      </c>
      <c r="J32" s="88">
        <v>0.91700000000000004</v>
      </c>
      <c r="K32" s="88">
        <v>0.96899999999999997</v>
      </c>
    </row>
    <row r="33" spans="1:11" x14ac:dyDescent="0.25">
      <c r="A33" s="86">
        <v>6</v>
      </c>
      <c r="B33" s="88">
        <v>0.63300000000000001</v>
      </c>
      <c r="C33" s="88">
        <v>0.66</v>
      </c>
      <c r="D33" s="88">
        <v>0.68899999999999995</v>
      </c>
      <c r="E33" s="88">
        <v>0.72099999999999997</v>
      </c>
      <c r="F33" s="88">
        <v>0.755</v>
      </c>
      <c r="G33" s="88">
        <v>0.79100000000000004</v>
      </c>
      <c r="H33" s="88">
        <v>0.83099999999999996</v>
      </c>
      <c r="I33" s="88">
        <v>0.874</v>
      </c>
      <c r="J33" s="88">
        <v>0.92200000000000004</v>
      </c>
      <c r="K33" s="88">
        <v>0.97299999999999998</v>
      </c>
    </row>
    <row r="34" spans="1:11" x14ac:dyDescent="0.25">
      <c r="A34" s="86">
        <v>7</v>
      </c>
      <c r="B34" s="88">
        <v>0.63500000000000001</v>
      </c>
      <c r="C34" s="88">
        <v>0.66300000000000003</v>
      </c>
      <c r="D34" s="88">
        <v>0.69199999999999995</v>
      </c>
      <c r="E34" s="88">
        <v>0.72399999999999998</v>
      </c>
      <c r="F34" s="88">
        <v>0.75800000000000001</v>
      </c>
      <c r="G34" s="88">
        <v>0.79500000000000004</v>
      </c>
      <c r="H34" s="88">
        <v>0.83499999999999996</v>
      </c>
      <c r="I34" s="88">
        <v>0.878</v>
      </c>
      <c r="J34" s="88">
        <v>0.92600000000000005</v>
      </c>
      <c r="K34" s="88">
        <v>0.97799999999999998</v>
      </c>
    </row>
    <row r="35" spans="1:11" x14ac:dyDescent="0.25">
      <c r="A35" s="86">
        <v>8</v>
      </c>
      <c r="B35" s="88">
        <v>0.63700000000000001</v>
      </c>
      <c r="C35" s="88">
        <v>0.66500000000000004</v>
      </c>
      <c r="D35" s="88">
        <v>0.69399999999999995</v>
      </c>
      <c r="E35" s="88">
        <v>0.72599999999999998</v>
      </c>
      <c r="F35" s="88">
        <v>0.76100000000000001</v>
      </c>
      <c r="G35" s="88">
        <v>0.79800000000000004</v>
      </c>
      <c r="H35" s="88">
        <v>0.83799999999999997</v>
      </c>
      <c r="I35" s="88">
        <v>0.88200000000000001</v>
      </c>
      <c r="J35" s="88">
        <v>0.93</v>
      </c>
      <c r="K35" s="88">
        <v>0.98199999999999998</v>
      </c>
    </row>
    <row r="36" spans="1:11" x14ac:dyDescent="0.25">
      <c r="A36" s="86">
        <v>9</v>
      </c>
      <c r="B36" s="88">
        <v>0.64</v>
      </c>
      <c r="C36" s="88">
        <v>0.66700000000000004</v>
      </c>
      <c r="D36" s="88">
        <v>0.69699999999999995</v>
      </c>
      <c r="E36" s="88">
        <v>0.72899999999999998</v>
      </c>
      <c r="F36" s="88">
        <v>0.76400000000000001</v>
      </c>
      <c r="G36" s="88">
        <v>0.80100000000000005</v>
      </c>
      <c r="H36" s="88">
        <v>0.84199999999999997</v>
      </c>
      <c r="I36" s="88">
        <v>0.88600000000000001</v>
      </c>
      <c r="J36" s="88">
        <v>0.93400000000000005</v>
      </c>
      <c r="K36" s="88">
        <v>0.98699999999999999</v>
      </c>
    </row>
    <row r="37" spans="1:11" x14ac:dyDescent="0.25">
      <c r="A37" s="86">
        <v>10</v>
      </c>
      <c r="B37" s="88">
        <v>0.64200000000000002</v>
      </c>
      <c r="C37" s="88">
        <v>0.67</v>
      </c>
      <c r="D37" s="88">
        <v>0.7</v>
      </c>
      <c r="E37" s="88">
        <v>0.73199999999999998</v>
      </c>
      <c r="F37" s="88">
        <v>0.76700000000000002</v>
      </c>
      <c r="G37" s="88">
        <v>0.80400000000000005</v>
      </c>
      <c r="H37" s="88">
        <v>0.84499999999999997</v>
      </c>
      <c r="I37" s="88">
        <v>0.88900000000000001</v>
      </c>
      <c r="J37" s="88">
        <v>0.93799999999999994</v>
      </c>
      <c r="K37" s="88">
        <v>0.99099999999999999</v>
      </c>
    </row>
    <row r="38" spans="1:11" x14ac:dyDescent="0.25">
      <c r="A38" s="86">
        <v>11</v>
      </c>
      <c r="B38" s="88">
        <v>0.64400000000000002</v>
      </c>
      <c r="C38" s="88">
        <v>0.67200000000000004</v>
      </c>
      <c r="D38" s="88">
        <v>0.70199999999999996</v>
      </c>
      <c r="E38" s="88">
        <v>0.73399999999999999</v>
      </c>
      <c r="F38" s="88">
        <v>0.76900000000000002</v>
      </c>
      <c r="G38" s="88">
        <v>0.80700000000000005</v>
      </c>
      <c r="H38" s="88">
        <v>0.84799999999999998</v>
      </c>
      <c r="I38" s="88">
        <v>0.89300000000000002</v>
      </c>
      <c r="J38" s="88">
        <v>0.94199999999999995</v>
      </c>
      <c r="K38" s="88">
        <v>0.996</v>
      </c>
    </row>
    <row r="39" spans="1:11" x14ac:dyDescent="0.25">
      <c r="B39" s="82"/>
      <c r="C39" s="82"/>
      <c r="D39" s="82"/>
      <c r="E39" s="82"/>
      <c r="F39" s="82"/>
      <c r="G39" s="82"/>
      <c r="H39" s="82"/>
      <c r="I39" s="82"/>
      <c r="J39" s="82"/>
      <c r="K39" s="82"/>
    </row>
    <row r="40" spans="1:11" x14ac:dyDescent="0.25">
      <c r="B40" s="82"/>
      <c r="C40" s="82"/>
      <c r="D40" s="82"/>
      <c r="E40" s="82"/>
      <c r="F40" s="82"/>
      <c r="G40" s="82"/>
      <c r="H40" s="82"/>
      <c r="I40" s="82"/>
      <c r="J40" s="82"/>
      <c r="K40" s="82"/>
    </row>
    <row r="41" spans="1:11" x14ac:dyDescent="0.25">
      <c r="B41" s="82"/>
      <c r="C41" s="82"/>
      <c r="D41" s="82"/>
      <c r="E41" s="82"/>
      <c r="F41" s="82"/>
      <c r="G41" s="82"/>
      <c r="H41" s="82"/>
      <c r="I41" s="82"/>
      <c r="J41" s="82"/>
      <c r="K41" s="82"/>
    </row>
    <row r="42" spans="1:11" x14ac:dyDescent="0.25">
      <c r="B42" s="82"/>
      <c r="C42" s="82"/>
      <c r="D42" s="82"/>
      <c r="E42" s="82"/>
      <c r="F42" s="82"/>
      <c r="G42" s="82"/>
      <c r="H42" s="82"/>
      <c r="I42" s="82"/>
      <c r="J42" s="82"/>
      <c r="K42" s="82"/>
    </row>
    <row r="43" spans="1:11" x14ac:dyDescent="0.25">
      <c r="B43" s="82"/>
      <c r="C43" s="82"/>
      <c r="D43" s="82"/>
      <c r="E43" s="82"/>
      <c r="F43" s="82"/>
      <c r="G43" s="82"/>
      <c r="H43" s="82"/>
      <c r="I43" s="82"/>
      <c r="J43" s="82"/>
      <c r="K43" s="82"/>
    </row>
    <row r="44" spans="1:11" ht="39.6" customHeight="1" x14ac:dyDescent="0.25">
      <c r="B44" s="82"/>
      <c r="C44" s="82"/>
      <c r="D44" s="82"/>
      <c r="E44" s="82"/>
      <c r="F44" s="82"/>
      <c r="G44" s="82"/>
      <c r="H44" s="82"/>
      <c r="I44" s="82"/>
      <c r="J44" s="82"/>
      <c r="K44" s="82"/>
    </row>
    <row r="45" spans="1:11" x14ac:dyDescent="0.25">
      <c r="B45" s="82"/>
      <c r="C45" s="82"/>
      <c r="D45" s="82"/>
      <c r="E45" s="82"/>
      <c r="F45" s="82"/>
      <c r="G45" s="82"/>
      <c r="H45" s="82"/>
      <c r="I45" s="82"/>
      <c r="J45" s="82"/>
      <c r="K45" s="82"/>
    </row>
    <row r="46" spans="1:11" ht="27.6" customHeight="1" x14ac:dyDescent="0.25">
      <c r="B46" s="82"/>
      <c r="C46" s="82"/>
      <c r="D46" s="82"/>
      <c r="E46" s="82"/>
      <c r="F46" s="82"/>
      <c r="G46" s="82"/>
      <c r="H46" s="82"/>
      <c r="I46" s="82"/>
      <c r="J46" s="82"/>
      <c r="K46" s="82"/>
    </row>
    <row r="47" spans="1:11" x14ac:dyDescent="0.25">
      <c r="B47" s="82"/>
      <c r="C47" s="82"/>
      <c r="D47" s="82"/>
      <c r="E47" s="82"/>
      <c r="F47" s="82"/>
      <c r="G47" s="82"/>
      <c r="H47" s="82"/>
      <c r="I47" s="82"/>
      <c r="J47" s="82"/>
      <c r="K47" s="82"/>
    </row>
    <row r="48" spans="1:11" x14ac:dyDescent="0.25">
      <c r="B48" s="82"/>
      <c r="C48" s="82"/>
      <c r="D48" s="82"/>
      <c r="E48" s="82"/>
      <c r="F48" s="82"/>
      <c r="G48" s="82"/>
      <c r="H48" s="82"/>
      <c r="I48" s="82"/>
      <c r="J48" s="82"/>
      <c r="K48" s="82"/>
    </row>
    <row r="49" spans="2:11" x14ac:dyDescent="0.25">
      <c r="B49" s="82"/>
      <c r="C49" s="82"/>
      <c r="D49" s="82"/>
      <c r="E49" s="82"/>
      <c r="F49" s="82"/>
      <c r="G49" s="82"/>
      <c r="H49" s="82"/>
      <c r="I49" s="82"/>
      <c r="J49" s="82"/>
      <c r="K49" s="82"/>
    </row>
    <row r="50" spans="2:11" x14ac:dyDescent="0.25">
      <c r="B50" s="82"/>
    </row>
    <row r="51" spans="2:11" x14ac:dyDescent="0.25">
      <c r="B51" s="82"/>
    </row>
    <row r="52" spans="2:11" x14ac:dyDescent="0.25">
      <c r="B52" s="82"/>
    </row>
    <row r="53" spans="2:11" x14ac:dyDescent="0.25">
      <c r="B53" s="82"/>
    </row>
    <row r="54" spans="2:11" x14ac:dyDescent="0.25">
      <c r="B54" s="82"/>
    </row>
    <row r="55" spans="2:11" x14ac:dyDescent="0.25">
      <c r="B55" s="82"/>
    </row>
    <row r="56" spans="2:11" x14ac:dyDescent="0.25">
      <c r="B56" s="82"/>
    </row>
    <row r="57" spans="2:11" x14ac:dyDescent="0.25">
      <c r="B57" s="82"/>
    </row>
  </sheetData>
  <sheetProtection algorithmName="SHA-512" hashValue="trI59Q2HCm8IeOA9chqNpZUD2CbsAbWyBulikrVRwMKHMucmwe6MPbg56Jj41G11VIIeiqE+Ar6ZPKrH6Bphng==" saltValue="IuLU/CgdniodIM3qC0PbQw==" spinCount="100000" sheet="1" objects="1" scenarios="1"/>
  <conditionalFormatting sqref="A6:A21">
    <cfRule type="expression" dxfId="469" priority="1" stopIfTrue="1">
      <formula>MOD(ROW(),2)=0</formula>
    </cfRule>
    <cfRule type="expression" dxfId="468" priority="2" stopIfTrue="1">
      <formula>MOD(ROW(),2)&lt;&gt;0</formula>
    </cfRule>
  </conditionalFormatting>
  <conditionalFormatting sqref="A26:A38">
    <cfRule type="expression" dxfId="467" priority="3" stopIfTrue="1">
      <formula>MOD(ROW(),2)=0</formula>
    </cfRule>
    <cfRule type="expression" dxfId="466" priority="4" stopIfTrue="1">
      <formula>MOD(ROW(),2)&lt;&gt;0</formula>
    </cfRule>
  </conditionalFormatting>
  <conditionalFormatting sqref="B17:C21">
    <cfRule type="expression" dxfId="465" priority="7" stopIfTrue="1">
      <formula>MOD(ROW(),2)=0</formula>
    </cfRule>
    <cfRule type="expression" dxfId="464" priority="8" stopIfTrue="1">
      <formula>MOD(ROW(),2)&lt;&gt;0</formula>
    </cfRule>
  </conditionalFormatting>
  <conditionalFormatting sqref="B6:K21">
    <cfRule type="expression" dxfId="463" priority="21" stopIfTrue="1">
      <formula>MOD(ROW(),2)=0</formula>
    </cfRule>
    <cfRule type="expression" dxfId="462" priority="22" stopIfTrue="1">
      <formula>MOD(ROW(),2)&lt;&gt;0</formula>
    </cfRule>
  </conditionalFormatting>
  <conditionalFormatting sqref="B26:K38">
    <cfRule type="expression" dxfId="461" priority="5" stopIfTrue="1">
      <formula>MOD(ROW(),2)=0</formula>
    </cfRule>
    <cfRule type="expression" dxfId="460" priority="6" stopIfTrue="1">
      <formula>MOD(ROW(),2)&lt;&gt;0</formula>
    </cfRule>
  </conditionalFormatting>
  <hyperlinks>
    <hyperlink ref="B24" location="Assumptions!A1" display="Assumptions" xr:uid="{93285C0D-266E-4B29-860F-B89346435B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08"/>
  <dimension ref="A1:H68"/>
  <sheetViews>
    <sheetView showGridLines="0" topLeftCell="A3" zoomScale="84" zoomScaleNormal="84" workbookViewId="0">
      <selection activeCell="B6" sqref="B6:F21"/>
    </sheetView>
  </sheetViews>
  <sheetFormatPr defaultColWidth="10" defaultRowHeight="13.2" x14ac:dyDescent="0.25"/>
  <cols>
    <col min="1" max="1" width="31.5546875" style="27" customWidth="1"/>
    <col min="2" max="6" width="22.5546875" style="27" customWidth="1"/>
    <col min="7" max="16384" width="10" style="27"/>
  </cols>
  <sheetData>
    <row r="1" spans="1:8" ht="21" x14ac:dyDescent="0.4">
      <c r="A1" s="39" t="s">
        <v>0</v>
      </c>
      <c r="B1" s="40"/>
      <c r="C1" s="40"/>
      <c r="D1" s="40"/>
      <c r="E1" s="40"/>
      <c r="F1" s="40"/>
      <c r="G1" s="40"/>
      <c r="H1" s="40"/>
    </row>
    <row r="2" spans="1:8" ht="15.6" x14ac:dyDescent="0.3">
      <c r="A2" s="41" t="str">
        <f>IF(title="&gt; Enter workbook title here","Enter workbook title in Cover sheet",title)</f>
        <v>Fire England - Consolidated Factor Spreadsheet</v>
      </c>
      <c r="B2" s="42"/>
      <c r="C2" s="42"/>
      <c r="D2" s="42"/>
      <c r="E2" s="42"/>
      <c r="F2" s="42"/>
      <c r="G2" s="42"/>
      <c r="H2" s="42"/>
    </row>
    <row r="3" spans="1:8" ht="15.6" x14ac:dyDescent="0.3">
      <c r="A3" s="43" t="str">
        <f>TABLE_FACTOR_TYPE_1&amp;" - x-"&amp;TABLE_SERIES_NUMBER_1</f>
        <v>Pension Debit - x-322</v>
      </c>
      <c r="B3" s="42"/>
      <c r="C3" s="42"/>
      <c r="D3" s="42"/>
      <c r="E3" s="42"/>
      <c r="F3" s="42"/>
      <c r="G3" s="42"/>
      <c r="H3" s="42"/>
    </row>
    <row r="4" spans="1:8" x14ac:dyDescent="0.25">
      <c r="A4" s="44"/>
    </row>
    <row r="6" spans="1:8" x14ac:dyDescent="0.25">
      <c r="A6" s="74" t="s">
        <v>334</v>
      </c>
      <c r="B6" s="148" t="s">
        <v>335</v>
      </c>
      <c r="C6" s="148"/>
      <c r="D6" s="148"/>
      <c r="E6" s="148"/>
      <c r="F6" s="148"/>
    </row>
    <row r="7" spans="1:8" x14ac:dyDescent="0.25">
      <c r="A7" s="76" t="s">
        <v>78</v>
      </c>
      <c r="B7" s="148" t="s">
        <v>67</v>
      </c>
      <c r="C7" s="148"/>
      <c r="D7" s="148"/>
      <c r="E7" s="148"/>
      <c r="F7" s="148"/>
    </row>
    <row r="8" spans="1:8" x14ac:dyDescent="0.25">
      <c r="A8" s="76" t="s">
        <v>79</v>
      </c>
      <c r="B8" s="148">
        <v>2006</v>
      </c>
      <c r="C8" s="148"/>
      <c r="D8" s="148"/>
      <c r="E8" s="148"/>
      <c r="F8" s="148"/>
    </row>
    <row r="9" spans="1:8" x14ac:dyDescent="0.25">
      <c r="A9" s="76" t="s">
        <v>80</v>
      </c>
      <c r="B9" s="148" t="s">
        <v>174</v>
      </c>
      <c r="C9" s="148"/>
      <c r="D9" s="148"/>
      <c r="E9" s="148"/>
      <c r="F9" s="148"/>
    </row>
    <row r="10" spans="1:8" x14ac:dyDescent="0.25">
      <c r="A10" s="76" t="s">
        <v>6</v>
      </c>
      <c r="B10" s="148" t="s">
        <v>189</v>
      </c>
      <c r="C10" s="148"/>
      <c r="D10" s="148"/>
      <c r="E10" s="148"/>
      <c r="F10" s="148"/>
    </row>
    <row r="11" spans="1:8" x14ac:dyDescent="0.25">
      <c r="A11" s="76" t="s">
        <v>81</v>
      </c>
      <c r="B11" s="148" t="s">
        <v>176</v>
      </c>
      <c r="C11" s="148"/>
      <c r="D11" s="148"/>
      <c r="E11" s="148"/>
      <c r="F11" s="148"/>
    </row>
    <row r="12" spans="1:8" x14ac:dyDescent="0.25">
      <c r="A12" s="76" t="s">
        <v>82</v>
      </c>
      <c r="B12" s="148" t="s">
        <v>187</v>
      </c>
      <c r="C12" s="148"/>
      <c r="D12" s="148"/>
      <c r="E12" s="148"/>
      <c r="F12" s="148"/>
    </row>
    <row r="13" spans="1:8" hidden="1" x14ac:dyDescent="0.25">
      <c r="A13" s="76" t="s">
        <v>342</v>
      </c>
      <c r="B13" s="148">
        <v>1</v>
      </c>
      <c r="C13" s="148"/>
      <c r="D13" s="148"/>
      <c r="E13" s="148"/>
      <c r="F13" s="148"/>
    </row>
    <row r="14" spans="1:8" hidden="1" x14ac:dyDescent="0.25">
      <c r="A14" s="76" t="s">
        <v>84</v>
      </c>
      <c r="B14" s="148">
        <v>322</v>
      </c>
      <c r="C14" s="148"/>
      <c r="D14" s="148"/>
      <c r="E14" s="148"/>
      <c r="F14" s="148"/>
    </row>
    <row r="15" spans="1:8" x14ac:dyDescent="0.25">
      <c r="A15" s="76" t="s">
        <v>345</v>
      </c>
      <c r="B15" s="148" t="s">
        <v>190</v>
      </c>
      <c r="C15" s="148"/>
      <c r="D15" s="148"/>
      <c r="E15" s="148"/>
      <c r="F15" s="148"/>
    </row>
    <row r="16" spans="1:8" x14ac:dyDescent="0.25">
      <c r="A16" s="76" t="s">
        <v>86</v>
      </c>
      <c r="B16" s="148" t="s">
        <v>191</v>
      </c>
      <c r="C16" s="148"/>
      <c r="D16" s="148"/>
      <c r="E16" s="148"/>
      <c r="F16" s="148"/>
    </row>
    <row r="17" spans="1:6" x14ac:dyDescent="0.25">
      <c r="A17" s="76" t="s">
        <v>414</v>
      </c>
      <c r="B17" s="148"/>
      <c r="C17" s="148"/>
      <c r="D17" s="148"/>
      <c r="E17" s="148"/>
      <c r="F17" s="148"/>
    </row>
    <row r="18" spans="1:6" x14ac:dyDescent="0.25">
      <c r="A18" s="76" t="s">
        <v>88</v>
      </c>
      <c r="B18" s="152">
        <v>45070</v>
      </c>
      <c r="C18" s="148"/>
      <c r="D18" s="148"/>
      <c r="E18" s="148"/>
      <c r="F18" s="148"/>
    </row>
    <row r="19" spans="1:6" x14ac:dyDescent="0.25">
      <c r="A19" s="76" t="s">
        <v>89</v>
      </c>
      <c r="B19" s="152">
        <v>45014</v>
      </c>
      <c r="C19" s="148"/>
      <c r="D19" s="148"/>
      <c r="E19" s="148"/>
      <c r="F19" s="148"/>
    </row>
    <row r="20" spans="1:6" x14ac:dyDescent="0.25">
      <c r="A20" s="76" t="s">
        <v>90</v>
      </c>
      <c r="B20" s="148" t="s">
        <v>98</v>
      </c>
      <c r="C20" s="148"/>
      <c r="D20" s="148"/>
      <c r="E20" s="148"/>
      <c r="F20" s="148"/>
    </row>
    <row r="21" spans="1:6" x14ac:dyDescent="0.25">
      <c r="A21" s="72" t="s">
        <v>91</v>
      </c>
      <c r="B21" s="148" t="s">
        <v>99</v>
      </c>
      <c r="C21" s="148"/>
      <c r="D21" s="148"/>
      <c r="E21" s="148"/>
      <c r="F21" s="148"/>
    </row>
    <row r="23" spans="1:6" x14ac:dyDescent="0.25">
      <c r="B23" s="89" t="str">
        <f>HYPERLINK("#'Factor List'!A1","Back to Factor List")</f>
        <v>Back to Factor List</v>
      </c>
    </row>
    <row r="24" spans="1:6" x14ac:dyDescent="0.25">
      <c r="B24" s="89" t="s">
        <v>13</v>
      </c>
    </row>
    <row r="26" spans="1:6" x14ac:dyDescent="0.25">
      <c r="A26" s="85" t="s">
        <v>439</v>
      </c>
      <c r="B26" s="85">
        <v>55</v>
      </c>
      <c r="C26" s="85">
        <v>56</v>
      </c>
      <c r="D26" s="85">
        <v>57</v>
      </c>
      <c r="E26" s="85">
        <v>58</v>
      </c>
      <c r="F26" s="85">
        <v>59</v>
      </c>
    </row>
    <row r="27" spans="1:6" x14ac:dyDescent="0.25">
      <c r="A27" s="86">
        <v>0</v>
      </c>
      <c r="B27" s="88">
        <v>0.8</v>
      </c>
      <c r="C27" s="88">
        <v>0.83399999999999996</v>
      </c>
      <c r="D27" s="88">
        <v>0.871</v>
      </c>
      <c r="E27" s="88">
        <v>0.91100000000000003</v>
      </c>
      <c r="F27" s="88">
        <v>0.95399999999999996</v>
      </c>
    </row>
    <row r="28" spans="1:6" x14ac:dyDescent="0.25">
      <c r="A28" s="86">
        <v>1</v>
      </c>
      <c r="B28" s="88">
        <v>0.80200000000000005</v>
      </c>
      <c r="C28" s="88">
        <v>0.83699999999999997</v>
      </c>
      <c r="D28" s="88">
        <v>0.874</v>
      </c>
      <c r="E28" s="88">
        <v>0.91400000000000003</v>
      </c>
      <c r="F28" s="88">
        <v>0.95799999999999996</v>
      </c>
    </row>
    <row r="29" spans="1:6" x14ac:dyDescent="0.25">
      <c r="A29" s="86">
        <v>2</v>
      </c>
      <c r="B29" s="88">
        <v>0.80500000000000005</v>
      </c>
      <c r="C29" s="88">
        <v>0.84</v>
      </c>
      <c r="D29" s="88">
        <v>0.878</v>
      </c>
      <c r="E29" s="88">
        <v>0.91800000000000004</v>
      </c>
      <c r="F29" s="88">
        <v>0.96099999999999997</v>
      </c>
    </row>
    <row r="30" spans="1:6" x14ac:dyDescent="0.25">
      <c r="A30" s="86">
        <v>3</v>
      </c>
      <c r="B30" s="88">
        <v>0.80800000000000005</v>
      </c>
      <c r="C30" s="88">
        <v>0.84299999999999997</v>
      </c>
      <c r="D30" s="88">
        <v>0.88100000000000001</v>
      </c>
      <c r="E30" s="88">
        <v>0.92200000000000004</v>
      </c>
      <c r="F30" s="88">
        <v>0.96499999999999997</v>
      </c>
    </row>
    <row r="31" spans="1:6" x14ac:dyDescent="0.25">
      <c r="A31" s="86">
        <v>4</v>
      </c>
      <c r="B31" s="88">
        <v>0.81100000000000005</v>
      </c>
      <c r="C31" s="88">
        <v>0.84599999999999997</v>
      </c>
      <c r="D31" s="88">
        <v>0.88400000000000001</v>
      </c>
      <c r="E31" s="88">
        <v>0.92500000000000004</v>
      </c>
      <c r="F31" s="88">
        <v>0.96899999999999997</v>
      </c>
    </row>
    <row r="32" spans="1:6" x14ac:dyDescent="0.25">
      <c r="A32" s="86">
        <v>5</v>
      </c>
      <c r="B32" s="88">
        <v>0.81399999999999995</v>
      </c>
      <c r="C32" s="88">
        <v>0.84899999999999998</v>
      </c>
      <c r="D32" s="88">
        <v>0.88800000000000001</v>
      </c>
      <c r="E32" s="88">
        <v>0.92900000000000005</v>
      </c>
      <c r="F32" s="88">
        <v>0.97299999999999998</v>
      </c>
    </row>
    <row r="33" spans="1:6" x14ac:dyDescent="0.25">
      <c r="A33" s="86">
        <v>6</v>
      </c>
      <c r="B33" s="88">
        <v>0.81699999999999995</v>
      </c>
      <c r="C33" s="88">
        <v>0.85299999999999998</v>
      </c>
      <c r="D33" s="88">
        <v>0.89100000000000001</v>
      </c>
      <c r="E33" s="88">
        <v>0.93200000000000005</v>
      </c>
      <c r="F33" s="88">
        <v>0.97699999999999998</v>
      </c>
    </row>
    <row r="34" spans="1:6" x14ac:dyDescent="0.25">
      <c r="A34" s="86">
        <v>7</v>
      </c>
      <c r="B34" s="88">
        <v>0.82</v>
      </c>
      <c r="C34" s="88">
        <v>0.85599999999999998</v>
      </c>
      <c r="D34" s="88">
        <v>0.89400000000000002</v>
      </c>
      <c r="E34" s="88">
        <v>0.93600000000000005</v>
      </c>
      <c r="F34" s="88">
        <v>0.98099999999999998</v>
      </c>
    </row>
    <row r="35" spans="1:6" x14ac:dyDescent="0.25">
      <c r="A35" s="86">
        <v>8</v>
      </c>
      <c r="B35" s="88">
        <v>0.82299999999999995</v>
      </c>
      <c r="C35" s="88">
        <v>0.85899999999999999</v>
      </c>
      <c r="D35" s="88">
        <v>0.89800000000000002</v>
      </c>
      <c r="E35" s="88">
        <v>0.93899999999999995</v>
      </c>
      <c r="F35" s="88">
        <v>0.98499999999999999</v>
      </c>
    </row>
    <row r="36" spans="1:6" x14ac:dyDescent="0.25">
      <c r="A36" s="86">
        <v>9</v>
      </c>
      <c r="B36" s="88">
        <v>0.82499999999999996</v>
      </c>
      <c r="C36" s="88">
        <v>0.86199999999999999</v>
      </c>
      <c r="D36" s="88">
        <v>0.90100000000000002</v>
      </c>
      <c r="E36" s="88">
        <v>0.94299999999999995</v>
      </c>
      <c r="F36" s="88">
        <v>0.98799999999999999</v>
      </c>
    </row>
    <row r="37" spans="1:6" x14ac:dyDescent="0.25">
      <c r="A37" s="86">
        <v>10</v>
      </c>
      <c r="B37" s="88">
        <v>0.82799999999999996</v>
      </c>
      <c r="C37" s="88">
        <v>0.86499999999999999</v>
      </c>
      <c r="D37" s="88">
        <v>0.90400000000000003</v>
      </c>
      <c r="E37" s="88">
        <v>0.94699999999999995</v>
      </c>
      <c r="F37" s="88">
        <v>0.99199999999999999</v>
      </c>
    </row>
    <row r="38" spans="1:6" x14ac:dyDescent="0.25">
      <c r="A38" s="86">
        <v>11</v>
      </c>
      <c r="B38" s="88">
        <v>0.83099999999999996</v>
      </c>
      <c r="C38" s="88">
        <v>0.86799999999999999</v>
      </c>
      <c r="D38" s="88">
        <v>0.90800000000000003</v>
      </c>
      <c r="E38" s="88">
        <v>0.95</v>
      </c>
      <c r="F38" s="88">
        <v>0.996</v>
      </c>
    </row>
    <row r="39" spans="1:6" x14ac:dyDescent="0.25">
      <c r="B39" s="82"/>
      <c r="C39" s="82"/>
      <c r="D39" s="82"/>
      <c r="E39" s="82"/>
      <c r="F39" s="82"/>
    </row>
    <row r="40" spans="1:6" x14ac:dyDescent="0.25">
      <c r="B40" s="82"/>
      <c r="C40" s="82"/>
      <c r="D40" s="82"/>
      <c r="E40" s="82"/>
      <c r="F40" s="82"/>
    </row>
    <row r="41" spans="1:6" x14ac:dyDescent="0.25">
      <c r="B41" s="82"/>
      <c r="C41" s="82"/>
      <c r="D41" s="82"/>
      <c r="E41" s="82"/>
      <c r="F41" s="82"/>
    </row>
    <row r="42" spans="1:6" x14ac:dyDescent="0.25">
      <c r="B42" s="82"/>
      <c r="C42" s="82"/>
      <c r="D42" s="82"/>
      <c r="E42" s="82"/>
      <c r="F42" s="82"/>
    </row>
    <row r="43" spans="1:6" x14ac:dyDescent="0.25">
      <c r="B43" s="82"/>
      <c r="C43" s="82"/>
      <c r="D43" s="82"/>
      <c r="E43" s="82"/>
      <c r="F43" s="82"/>
    </row>
    <row r="44" spans="1:6" ht="39.6" customHeight="1" x14ac:dyDescent="0.25">
      <c r="B44" s="82"/>
      <c r="C44" s="82"/>
      <c r="D44" s="82"/>
      <c r="E44" s="82"/>
      <c r="F44" s="82"/>
    </row>
    <row r="45" spans="1:6" x14ac:dyDescent="0.25">
      <c r="B45" s="82"/>
      <c r="C45" s="82"/>
      <c r="D45" s="82"/>
      <c r="E45" s="82"/>
      <c r="F45" s="82"/>
    </row>
    <row r="46" spans="1:6" ht="27.6" customHeight="1" x14ac:dyDescent="0.25">
      <c r="B46" s="82"/>
      <c r="C46" s="82"/>
      <c r="D46" s="82"/>
      <c r="E46" s="82"/>
      <c r="F46" s="82"/>
    </row>
    <row r="47" spans="1:6" x14ac:dyDescent="0.25">
      <c r="B47" s="82"/>
      <c r="C47" s="82"/>
      <c r="D47" s="82"/>
      <c r="E47" s="82"/>
      <c r="F47" s="82"/>
    </row>
    <row r="48" spans="1:6" x14ac:dyDescent="0.25">
      <c r="B48" s="82"/>
      <c r="C48" s="82"/>
      <c r="D48" s="82"/>
      <c r="E48" s="82"/>
      <c r="F48" s="82"/>
    </row>
    <row r="49" spans="2:6" x14ac:dyDescent="0.25">
      <c r="B49" s="82"/>
      <c r="C49" s="82"/>
      <c r="D49" s="82"/>
      <c r="E49" s="82"/>
      <c r="F49" s="82"/>
    </row>
    <row r="50" spans="2:6" x14ac:dyDescent="0.25">
      <c r="B50" s="82"/>
    </row>
    <row r="51" spans="2:6" x14ac:dyDescent="0.25">
      <c r="B51" s="82"/>
    </row>
    <row r="52" spans="2:6" x14ac:dyDescent="0.25">
      <c r="B52" s="82"/>
    </row>
    <row r="53" spans="2:6" x14ac:dyDescent="0.25">
      <c r="B53" s="82"/>
    </row>
    <row r="54" spans="2:6" x14ac:dyDescent="0.25">
      <c r="B54" s="82"/>
    </row>
    <row r="55" spans="2:6" x14ac:dyDescent="0.25">
      <c r="B55" s="82"/>
    </row>
    <row r="56" spans="2:6" x14ac:dyDescent="0.25">
      <c r="B56" s="82"/>
    </row>
    <row r="57" spans="2:6" x14ac:dyDescent="0.25">
      <c r="B57" s="82"/>
    </row>
    <row r="58" spans="2:6" x14ac:dyDescent="0.25">
      <c r="B58" s="82"/>
    </row>
    <row r="59" spans="2:6" x14ac:dyDescent="0.25">
      <c r="B59" s="82"/>
    </row>
    <row r="60" spans="2:6" x14ac:dyDescent="0.25">
      <c r="B60" s="82"/>
    </row>
    <row r="61" spans="2:6" x14ac:dyDescent="0.25">
      <c r="B61" s="82"/>
    </row>
    <row r="62" spans="2:6" x14ac:dyDescent="0.25">
      <c r="B62" s="82"/>
    </row>
    <row r="63" spans="2:6" x14ac:dyDescent="0.25">
      <c r="B63" s="82"/>
    </row>
    <row r="64" spans="2:6" x14ac:dyDescent="0.25">
      <c r="B64" s="82"/>
    </row>
    <row r="65" spans="2:2" x14ac:dyDescent="0.25">
      <c r="B65" s="82"/>
    </row>
    <row r="66" spans="2:2" x14ac:dyDescent="0.25">
      <c r="B66" s="82"/>
    </row>
    <row r="67" spans="2:2" x14ac:dyDescent="0.25">
      <c r="B67" s="82"/>
    </row>
    <row r="68" spans="2:2" x14ac:dyDescent="0.25">
      <c r="B68" s="82"/>
    </row>
  </sheetData>
  <sheetProtection algorithmName="SHA-512" hashValue="SAaxMFmEgBbEi2QUbOQ908uVBk7q7yqkW3Y2dAmQTL/+SIMKOMB4odCNIOqFnxsdqoRmJ2lU5mKlJHnPHB9DUQ==" saltValue="AdSgSpgKH5C3NNdjM2OGVw==" spinCount="100000" sheet="1" objects="1" scenarios="1"/>
  <conditionalFormatting sqref="A6:A21">
    <cfRule type="expression" dxfId="459" priority="1" stopIfTrue="1">
      <formula>MOD(ROW(),2)=0</formula>
    </cfRule>
    <cfRule type="expression" dxfId="458" priority="2" stopIfTrue="1">
      <formula>MOD(ROW(),2)&lt;&gt;0</formula>
    </cfRule>
  </conditionalFormatting>
  <conditionalFormatting sqref="A26:A38">
    <cfRule type="expression" dxfId="457" priority="3" stopIfTrue="1">
      <formula>MOD(ROW(),2)=0</formula>
    </cfRule>
    <cfRule type="expression" dxfId="456" priority="4" stopIfTrue="1">
      <formula>MOD(ROW(),2)&lt;&gt;0</formula>
    </cfRule>
  </conditionalFormatting>
  <conditionalFormatting sqref="B17:C21">
    <cfRule type="expression" dxfId="455" priority="7" stopIfTrue="1">
      <formula>MOD(ROW(),2)=0</formula>
    </cfRule>
    <cfRule type="expression" dxfId="454" priority="8" stopIfTrue="1">
      <formula>MOD(ROW(),2)&lt;&gt;0</formula>
    </cfRule>
  </conditionalFormatting>
  <conditionalFormatting sqref="B6:F21">
    <cfRule type="expression" dxfId="453" priority="21" stopIfTrue="1">
      <formula>MOD(ROW(),2)=0</formula>
    </cfRule>
    <cfRule type="expression" dxfId="452" priority="22" stopIfTrue="1">
      <formula>MOD(ROW(),2)&lt;&gt;0</formula>
    </cfRule>
  </conditionalFormatting>
  <conditionalFormatting sqref="B26:F38">
    <cfRule type="expression" dxfId="451" priority="5" stopIfTrue="1">
      <formula>MOD(ROW(),2)=0</formula>
    </cfRule>
    <cfRule type="expression" dxfId="450" priority="6" stopIfTrue="1">
      <formula>MOD(ROW(),2)&lt;&gt;0</formula>
    </cfRule>
  </conditionalFormatting>
  <hyperlinks>
    <hyperlink ref="B24" location="Assumptions!A1" display="Assumptions" xr:uid="{37D6326C-8466-4008-AD32-DAB036F2AA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09"/>
  <dimension ref="A1:K68"/>
  <sheetViews>
    <sheetView showGridLines="0" topLeftCell="A3"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Pension Debit - x-323</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2006</v>
      </c>
      <c r="C8" s="148"/>
      <c r="D8" s="148"/>
      <c r="E8" s="148"/>
      <c r="F8" s="148"/>
      <c r="G8" s="148"/>
      <c r="H8" s="148"/>
      <c r="I8" s="148"/>
      <c r="J8" s="148"/>
      <c r="K8" s="148"/>
    </row>
    <row r="9" spans="1:11" x14ac:dyDescent="0.25">
      <c r="A9" s="76" t="s">
        <v>80</v>
      </c>
      <c r="B9" s="148" t="s">
        <v>174</v>
      </c>
      <c r="C9" s="148"/>
      <c r="D9" s="148"/>
      <c r="E9" s="148"/>
      <c r="F9" s="148"/>
      <c r="G9" s="148"/>
      <c r="H9" s="148"/>
      <c r="I9" s="148"/>
      <c r="J9" s="148"/>
      <c r="K9" s="148"/>
    </row>
    <row r="10" spans="1:11" x14ac:dyDescent="0.25">
      <c r="A10" s="76" t="s">
        <v>6</v>
      </c>
      <c r="B10" s="148" t="s">
        <v>192</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187</v>
      </c>
      <c r="C12" s="148"/>
      <c r="D12" s="148"/>
      <c r="E12" s="148"/>
      <c r="F12" s="148"/>
      <c r="G12" s="148"/>
      <c r="H12" s="148"/>
      <c r="I12" s="148"/>
      <c r="J12" s="148"/>
      <c r="K12" s="148"/>
    </row>
    <row r="13" spans="1:11" hidden="1" x14ac:dyDescent="0.25">
      <c r="A13" s="76" t="s">
        <v>342</v>
      </c>
      <c r="B13" s="148">
        <v>1</v>
      </c>
      <c r="C13" s="148"/>
      <c r="D13" s="148"/>
      <c r="E13" s="148"/>
      <c r="F13" s="148"/>
      <c r="G13" s="148"/>
      <c r="H13" s="148"/>
      <c r="I13" s="148"/>
      <c r="J13" s="148"/>
      <c r="K13" s="148"/>
    </row>
    <row r="14" spans="1:11" hidden="1" x14ac:dyDescent="0.25">
      <c r="A14" s="76" t="s">
        <v>84</v>
      </c>
      <c r="B14" s="148">
        <v>323</v>
      </c>
      <c r="C14" s="148"/>
      <c r="D14" s="148"/>
      <c r="E14" s="148"/>
      <c r="F14" s="148"/>
      <c r="G14" s="148"/>
      <c r="H14" s="148"/>
      <c r="I14" s="148"/>
      <c r="J14" s="148"/>
      <c r="K14" s="148"/>
    </row>
    <row r="15" spans="1:11" x14ac:dyDescent="0.25">
      <c r="A15" s="76" t="s">
        <v>345</v>
      </c>
      <c r="B15" s="148" t="s">
        <v>193</v>
      </c>
      <c r="C15" s="148"/>
      <c r="D15" s="148"/>
      <c r="E15" s="148"/>
      <c r="F15" s="148"/>
      <c r="G15" s="148"/>
      <c r="H15" s="148"/>
      <c r="I15" s="148"/>
      <c r="J15" s="148"/>
      <c r="K15" s="148"/>
    </row>
    <row r="16" spans="1:11" x14ac:dyDescent="0.25">
      <c r="A16" s="76" t="s">
        <v>86</v>
      </c>
      <c r="B16" s="148" t="s">
        <v>182</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45070</v>
      </c>
      <c r="C18" s="148"/>
      <c r="D18" s="148"/>
      <c r="E18" s="148"/>
      <c r="F18" s="148"/>
      <c r="G18" s="148"/>
      <c r="H18" s="148"/>
      <c r="I18" s="148"/>
      <c r="J18" s="148"/>
      <c r="K18" s="148"/>
    </row>
    <row r="19" spans="1:11" x14ac:dyDescent="0.25">
      <c r="A19" s="76" t="s">
        <v>89</v>
      </c>
      <c r="B19" s="152">
        <v>45014</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6" spans="1:11" x14ac:dyDescent="0.25">
      <c r="A26" s="85" t="s">
        <v>439</v>
      </c>
      <c r="B26" s="85">
        <v>65</v>
      </c>
      <c r="C26" s="85">
        <v>66</v>
      </c>
      <c r="D26" s="85">
        <v>67</v>
      </c>
      <c r="E26" s="85">
        <v>68</v>
      </c>
      <c r="F26" s="85">
        <v>69</v>
      </c>
      <c r="G26" s="85">
        <v>70</v>
      </c>
      <c r="H26" s="85">
        <v>71</v>
      </c>
      <c r="I26" s="85">
        <v>72</v>
      </c>
      <c r="J26" s="85">
        <v>73</v>
      </c>
      <c r="K26" s="85">
        <v>74</v>
      </c>
    </row>
    <row r="27" spans="1:11" x14ac:dyDescent="0.25">
      <c r="A27" s="86">
        <v>0</v>
      </c>
      <c r="B27" s="88">
        <v>1</v>
      </c>
      <c r="C27" s="88">
        <v>1.0589999999999999</v>
      </c>
      <c r="D27" s="88">
        <v>1.125</v>
      </c>
      <c r="E27" s="88">
        <v>1.1970000000000001</v>
      </c>
      <c r="F27" s="88">
        <v>1.276</v>
      </c>
      <c r="G27" s="88">
        <v>1.363</v>
      </c>
      <c r="H27" s="88">
        <v>1.46</v>
      </c>
      <c r="I27" s="88">
        <v>1.5669999999999999</v>
      </c>
      <c r="J27" s="88">
        <v>1.6859999999999999</v>
      </c>
      <c r="K27" s="88">
        <v>1.819</v>
      </c>
    </row>
    <row r="28" spans="1:11" x14ac:dyDescent="0.25">
      <c r="A28" s="86">
        <v>1</v>
      </c>
      <c r="B28" s="88">
        <v>1.0049999999999999</v>
      </c>
      <c r="C28" s="88">
        <v>1.0649999999999999</v>
      </c>
      <c r="D28" s="88">
        <v>1.131</v>
      </c>
      <c r="E28" s="88">
        <v>1.2030000000000001</v>
      </c>
      <c r="F28" s="88">
        <v>1.2829999999999999</v>
      </c>
      <c r="G28" s="88">
        <v>1.371</v>
      </c>
      <c r="H28" s="88">
        <v>1.4690000000000001</v>
      </c>
      <c r="I28" s="88">
        <v>1.577</v>
      </c>
      <c r="J28" s="88">
        <v>1.6970000000000001</v>
      </c>
      <c r="K28" s="88">
        <v>1.831</v>
      </c>
    </row>
    <row r="29" spans="1:11" x14ac:dyDescent="0.25">
      <c r="A29" s="86">
        <v>2</v>
      </c>
      <c r="B29" s="88">
        <v>1.01</v>
      </c>
      <c r="C29" s="88">
        <v>1.07</v>
      </c>
      <c r="D29" s="88">
        <v>1.137</v>
      </c>
      <c r="E29" s="88">
        <v>1.21</v>
      </c>
      <c r="F29" s="88">
        <v>1.29</v>
      </c>
      <c r="G29" s="88">
        <v>1.379</v>
      </c>
      <c r="H29" s="88">
        <v>1.478</v>
      </c>
      <c r="I29" s="88">
        <v>1.587</v>
      </c>
      <c r="J29" s="88">
        <v>1.708</v>
      </c>
      <c r="K29" s="88">
        <v>1.8440000000000001</v>
      </c>
    </row>
    <row r="30" spans="1:11" x14ac:dyDescent="0.25">
      <c r="A30" s="86">
        <v>3</v>
      </c>
      <c r="B30" s="88">
        <v>1.0149999999999999</v>
      </c>
      <c r="C30" s="88">
        <v>1.0760000000000001</v>
      </c>
      <c r="D30" s="88">
        <v>1.143</v>
      </c>
      <c r="E30" s="88">
        <v>1.2170000000000001</v>
      </c>
      <c r="F30" s="88">
        <v>1.298</v>
      </c>
      <c r="G30" s="88">
        <v>1.387</v>
      </c>
      <c r="H30" s="88">
        <v>1.4870000000000001</v>
      </c>
      <c r="I30" s="88">
        <v>1.597</v>
      </c>
      <c r="J30" s="88">
        <v>1.7190000000000001</v>
      </c>
      <c r="K30" s="88">
        <v>1.8560000000000001</v>
      </c>
    </row>
    <row r="31" spans="1:11" x14ac:dyDescent="0.25">
      <c r="A31" s="86">
        <v>4</v>
      </c>
      <c r="B31" s="88">
        <v>1.02</v>
      </c>
      <c r="C31" s="88">
        <v>1.081</v>
      </c>
      <c r="D31" s="88">
        <v>1.149</v>
      </c>
      <c r="E31" s="88">
        <v>1.2230000000000001</v>
      </c>
      <c r="F31" s="88">
        <v>1.3049999999999999</v>
      </c>
      <c r="G31" s="88">
        <v>1.3959999999999999</v>
      </c>
      <c r="H31" s="88">
        <v>1.496</v>
      </c>
      <c r="I31" s="88">
        <v>1.607</v>
      </c>
      <c r="J31" s="88">
        <v>1.73</v>
      </c>
      <c r="K31" s="88">
        <v>1.869</v>
      </c>
    </row>
    <row r="32" spans="1:11" x14ac:dyDescent="0.25">
      <c r="A32" s="86">
        <v>5</v>
      </c>
      <c r="B32" s="88">
        <v>1.0249999999999999</v>
      </c>
      <c r="C32" s="88">
        <v>1.087</v>
      </c>
      <c r="D32" s="88">
        <v>1.155</v>
      </c>
      <c r="E32" s="88">
        <v>1.23</v>
      </c>
      <c r="F32" s="88">
        <v>1.3120000000000001</v>
      </c>
      <c r="G32" s="88">
        <v>1.4039999999999999</v>
      </c>
      <c r="H32" s="88">
        <v>1.5049999999999999</v>
      </c>
      <c r="I32" s="88">
        <v>1.617</v>
      </c>
      <c r="J32" s="88">
        <v>1.742</v>
      </c>
      <c r="K32" s="88">
        <v>1.881</v>
      </c>
    </row>
    <row r="33" spans="1:11" x14ac:dyDescent="0.25">
      <c r="A33" s="86">
        <v>6</v>
      </c>
      <c r="B33" s="88">
        <v>1.03</v>
      </c>
      <c r="C33" s="88">
        <v>1.0920000000000001</v>
      </c>
      <c r="D33" s="88">
        <v>1.161</v>
      </c>
      <c r="E33" s="88">
        <v>1.236</v>
      </c>
      <c r="F33" s="88">
        <v>1.32</v>
      </c>
      <c r="G33" s="88">
        <v>1.4119999999999999</v>
      </c>
      <c r="H33" s="88">
        <v>1.5129999999999999</v>
      </c>
      <c r="I33" s="88">
        <v>1.627</v>
      </c>
      <c r="J33" s="88">
        <v>1.7529999999999999</v>
      </c>
      <c r="K33" s="88">
        <v>1.893</v>
      </c>
    </row>
    <row r="34" spans="1:11" x14ac:dyDescent="0.25">
      <c r="A34" s="86">
        <v>7</v>
      </c>
      <c r="B34" s="88">
        <v>1.0349999999999999</v>
      </c>
      <c r="C34" s="88">
        <v>1.0980000000000001</v>
      </c>
      <c r="D34" s="88">
        <v>1.167</v>
      </c>
      <c r="E34" s="88">
        <v>1.2430000000000001</v>
      </c>
      <c r="F34" s="88">
        <v>1.327</v>
      </c>
      <c r="G34" s="88">
        <v>1.42</v>
      </c>
      <c r="H34" s="88">
        <v>1.522</v>
      </c>
      <c r="I34" s="88">
        <v>1.637</v>
      </c>
      <c r="J34" s="88">
        <v>1.764</v>
      </c>
      <c r="K34" s="88">
        <v>1.9059999999999999</v>
      </c>
    </row>
    <row r="35" spans="1:11" x14ac:dyDescent="0.25">
      <c r="A35" s="86">
        <v>8</v>
      </c>
      <c r="B35" s="88">
        <v>1.04</v>
      </c>
      <c r="C35" s="88">
        <v>1.103</v>
      </c>
      <c r="D35" s="88">
        <v>1.173</v>
      </c>
      <c r="E35" s="88">
        <v>1.25</v>
      </c>
      <c r="F35" s="88">
        <v>1.3340000000000001</v>
      </c>
      <c r="G35" s="88">
        <v>1.4279999999999999</v>
      </c>
      <c r="H35" s="88">
        <v>1.5309999999999999</v>
      </c>
      <c r="I35" s="88">
        <v>1.6459999999999999</v>
      </c>
      <c r="J35" s="88">
        <v>1.7749999999999999</v>
      </c>
      <c r="K35" s="88">
        <v>1.9179999999999999</v>
      </c>
    </row>
    <row r="36" spans="1:11" x14ac:dyDescent="0.25">
      <c r="A36" s="86">
        <v>9</v>
      </c>
      <c r="B36" s="88">
        <v>1.0449999999999999</v>
      </c>
      <c r="C36" s="88">
        <v>1.1080000000000001</v>
      </c>
      <c r="D36" s="88">
        <v>1.179</v>
      </c>
      <c r="E36" s="88">
        <v>1.256</v>
      </c>
      <c r="F36" s="88">
        <v>1.341</v>
      </c>
      <c r="G36" s="88">
        <v>1.4359999999999999</v>
      </c>
      <c r="H36" s="88">
        <v>1.54</v>
      </c>
      <c r="I36" s="88">
        <v>1.6559999999999999</v>
      </c>
      <c r="J36" s="88">
        <v>1.786</v>
      </c>
      <c r="K36" s="88">
        <v>1.931</v>
      </c>
    </row>
    <row r="37" spans="1:11" x14ac:dyDescent="0.25">
      <c r="A37" s="86">
        <v>10</v>
      </c>
      <c r="B37" s="88">
        <v>1.05</v>
      </c>
      <c r="C37" s="88">
        <v>1.1140000000000001</v>
      </c>
      <c r="D37" s="88">
        <v>1.1850000000000001</v>
      </c>
      <c r="E37" s="88">
        <v>1.2629999999999999</v>
      </c>
      <c r="F37" s="88">
        <v>1.349</v>
      </c>
      <c r="G37" s="88">
        <v>1.444</v>
      </c>
      <c r="H37" s="88">
        <v>1.5489999999999999</v>
      </c>
      <c r="I37" s="88">
        <v>1.6659999999999999</v>
      </c>
      <c r="J37" s="88">
        <v>1.7969999999999999</v>
      </c>
      <c r="K37" s="88">
        <v>1.9430000000000001</v>
      </c>
    </row>
    <row r="38" spans="1:11" x14ac:dyDescent="0.25">
      <c r="A38" s="86">
        <v>11</v>
      </c>
      <c r="B38" s="88">
        <v>1.0549999999999999</v>
      </c>
      <c r="C38" s="88">
        <v>1.119</v>
      </c>
      <c r="D38" s="88">
        <v>1.1910000000000001</v>
      </c>
      <c r="E38" s="88">
        <v>1.2689999999999999</v>
      </c>
      <c r="F38" s="88">
        <v>1.3560000000000001</v>
      </c>
      <c r="G38" s="88">
        <v>1.452</v>
      </c>
      <c r="H38" s="88">
        <v>1.5580000000000001</v>
      </c>
      <c r="I38" s="88">
        <v>1.6759999999999999</v>
      </c>
      <c r="J38" s="88">
        <v>1.8080000000000001</v>
      </c>
      <c r="K38" s="88">
        <v>1.9550000000000001</v>
      </c>
    </row>
    <row r="39" spans="1:11" x14ac:dyDescent="0.25">
      <c r="B39" s="82"/>
      <c r="C39" s="82"/>
      <c r="D39" s="82"/>
      <c r="E39" s="82"/>
      <c r="F39" s="82"/>
      <c r="G39" s="82"/>
      <c r="H39" s="82"/>
      <c r="I39" s="82"/>
      <c r="J39" s="82"/>
      <c r="K39" s="82"/>
    </row>
    <row r="40" spans="1:11" x14ac:dyDescent="0.25">
      <c r="B40" s="82"/>
      <c r="C40" s="82"/>
      <c r="D40" s="82"/>
      <c r="E40" s="82"/>
      <c r="F40" s="82"/>
      <c r="G40" s="82"/>
      <c r="H40" s="82"/>
      <c r="I40" s="82"/>
      <c r="J40" s="82"/>
      <c r="K40" s="82"/>
    </row>
    <row r="41" spans="1:11" x14ac:dyDescent="0.25">
      <c r="B41" s="82"/>
      <c r="C41" s="82"/>
      <c r="D41" s="82"/>
      <c r="E41" s="82"/>
      <c r="F41" s="82"/>
      <c r="G41" s="82"/>
      <c r="H41" s="82"/>
      <c r="I41" s="82"/>
      <c r="J41" s="82"/>
      <c r="K41" s="82"/>
    </row>
    <row r="42" spans="1:11" x14ac:dyDescent="0.25">
      <c r="B42" s="82"/>
      <c r="C42" s="82"/>
      <c r="D42" s="82"/>
      <c r="E42" s="82"/>
      <c r="F42" s="82"/>
      <c r="G42" s="82"/>
      <c r="H42" s="82"/>
      <c r="I42" s="82"/>
      <c r="J42" s="82"/>
      <c r="K42" s="82"/>
    </row>
    <row r="43" spans="1:11" x14ac:dyDescent="0.25">
      <c r="B43" s="82"/>
      <c r="C43" s="82"/>
      <c r="D43" s="82"/>
      <c r="E43" s="82"/>
      <c r="F43" s="82"/>
      <c r="G43" s="82"/>
      <c r="H43" s="82"/>
      <c r="I43" s="82"/>
      <c r="J43" s="82"/>
      <c r="K43" s="82"/>
    </row>
    <row r="44" spans="1:11" ht="39.6" customHeight="1" x14ac:dyDescent="0.25">
      <c r="B44" s="82"/>
      <c r="C44" s="82"/>
      <c r="D44" s="82"/>
      <c r="E44" s="82"/>
      <c r="F44" s="82"/>
      <c r="G44" s="82"/>
      <c r="H44" s="82"/>
      <c r="I44" s="82"/>
      <c r="J44" s="82"/>
      <c r="K44" s="82"/>
    </row>
    <row r="45" spans="1:11" x14ac:dyDescent="0.25">
      <c r="B45" s="82"/>
      <c r="C45" s="82"/>
      <c r="D45" s="82"/>
      <c r="E45" s="82"/>
      <c r="F45" s="82"/>
      <c r="G45" s="82"/>
      <c r="H45" s="82"/>
      <c r="I45" s="82"/>
      <c r="J45" s="82"/>
      <c r="K45" s="82"/>
    </row>
    <row r="46" spans="1:11" ht="27.6" customHeight="1" x14ac:dyDescent="0.25">
      <c r="B46" s="82"/>
      <c r="C46" s="82"/>
      <c r="D46" s="82"/>
      <c r="E46" s="82"/>
      <c r="F46" s="82"/>
      <c r="G46" s="82"/>
      <c r="H46" s="82"/>
      <c r="I46" s="82"/>
      <c r="J46" s="82"/>
      <c r="K46" s="82"/>
    </row>
    <row r="47" spans="1:11" x14ac:dyDescent="0.25">
      <c r="B47" s="82"/>
      <c r="C47" s="82"/>
      <c r="D47" s="82"/>
      <c r="E47" s="82"/>
      <c r="F47" s="82"/>
      <c r="G47" s="82"/>
      <c r="H47" s="82"/>
      <c r="I47" s="82"/>
      <c r="J47" s="82"/>
      <c r="K47" s="82"/>
    </row>
    <row r="48" spans="1:11" x14ac:dyDescent="0.25">
      <c r="B48" s="82"/>
      <c r="C48" s="82"/>
      <c r="D48" s="82"/>
      <c r="E48" s="82"/>
      <c r="F48" s="82"/>
      <c r="G48" s="82"/>
      <c r="H48" s="82"/>
      <c r="I48" s="82"/>
      <c r="J48" s="82"/>
      <c r="K48" s="82"/>
    </row>
    <row r="49" spans="2:11" x14ac:dyDescent="0.25">
      <c r="B49" s="82"/>
      <c r="C49" s="82"/>
      <c r="D49" s="82"/>
      <c r="E49" s="82"/>
      <c r="F49" s="82"/>
      <c r="G49" s="82"/>
      <c r="H49" s="82"/>
      <c r="I49" s="82"/>
      <c r="J49" s="82"/>
      <c r="K49" s="82"/>
    </row>
    <row r="50" spans="2:11" x14ac:dyDescent="0.25">
      <c r="B50" s="82"/>
    </row>
    <row r="51" spans="2:11" x14ac:dyDescent="0.25">
      <c r="B51" s="82"/>
    </row>
    <row r="52" spans="2:11" x14ac:dyDescent="0.25">
      <c r="B52" s="82"/>
    </row>
    <row r="53" spans="2:11" x14ac:dyDescent="0.25">
      <c r="B53" s="82"/>
    </row>
    <row r="54" spans="2:11" x14ac:dyDescent="0.25">
      <c r="B54" s="82"/>
    </row>
    <row r="55" spans="2:11" x14ac:dyDescent="0.25">
      <c r="B55" s="82"/>
    </row>
    <row r="56" spans="2:11" x14ac:dyDescent="0.25">
      <c r="B56" s="82"/>
    </row>
    <row r="57" spans="2:11" x14ac:dyDescent="0.25">
      <c r="B57" s="82"/>
    </row>
    <row r="58" spans="2:11" x14ac:dyDescent="0.25">
      <c r="B58" s="82"/>
    </row>
    <row r="59" spans="2:11" x14ac:dyDescent="0.25">
      <c r="B59" s="82"/>
    </row>
    <row r="60" spans="2:11" x14ac:dyDescent="0.25">
      <c r="B60" s="82"/>
    </row>
    <row r="61" spans="2:11" x14ac:dyDescent="0.25">
      <c r="B61" s="82"/>
    </row>
    <row r="62" spans="2:11" x14ac:dyDescent="0.25">
      <c r="B62" s="82"/>
    </row>
    <row r="63" spans="2:11" x14ac:dyDescent="0.25">
      <c r="B63" s="82"/>
    </row>
    <row r="64" spans="2:11" x14ac:dyDescent="0.25">
      <c r="B64" s="82"/>
    </row>
    <row r="65" spans="2:2" x14ac:dyDescent="0.25">
      <c r="B65" s="82"/>
    </row>
    <row r="66" spans="2:2" x14ac:dyDescent="0.25">
      <c r="B66" s="82"/>
    </row>
    <row r="67" spans="2:2" x14ac:dyDescent="0.25">
      <c r="B67" s="82"/>
    </row>
    <row r="68" spans="2:2" x14ac:dyDescent="0.25">
      <c r="B68" s="82"/>
    </row>
  </sheetData>
  <sheetProtection algorithmName="SHA-512" hashValue="1Vl6cNpciTaUyMxjpG6LQl3vk7aGkaPVV1LW9or2o4lCeJ6M1wwjHBwFfp6ueOSbgRMfJZfkgZcpw59/9cUwjg==" saltValue="oD5QBsdakmoLW21KafPloA==" spinCount="100000" sheet="1" objects="1" scenarios="1"/>
  <conditionalFormatting sqref="A6:A21">
    <cfRule type="expression" dxfId="449" priority="1" stopIfTrue="1">
      <formula>MOD(ROW(),2)=0</formula>
    </cfRule>
    <cfRule type="expression" dxfId="448" priority="2" stopIfTrue="1">
      <formula>MOD(ROW(),2)&lt;&gt;0</formula>
    </cfRule>
  </conditionalFormatting>
  <conditionalFormatting sqref="A26:A38">
    <cfRule type="expression" dxfId="447" priority="3" stopIfTrue="1">
      <formula>MOD(ROW(),2)=0</formula>
    </cfRule>
    <cfRule type="expression" dxfId="446" priority="4" stopIfTrue="1">
      <formula>MOD(ROW(),2)&lt;&gt;0</formula>
    </cfRule>
  </conditionalFormatting>
  <conditionalFormatting sqref="B17:C21">
    <cfRule type="expression" dxfId="445" priority="7" stopIfTrue="1">
      <formula>MOD(ROW(),2)=0</formula>
    </cfRule>
    <cfRule type="expression" dxfId="444" priority="8" stopIfTrue="1">
      <formula>MOD(ROW(),2)&lt;&gt;0</formula>
    </cfRule>
  </conditionalFormatting>
  <conditionalFormatting sqref="B6:K21">
    <cfRule type="expression" dxfId="443" priority="21" stopIfTrue="1">
      <formula>MOD(ROW(),2)=0</formula>
    </cfRule>
    <cfRule type="expression" dxfId="442" priority="22" stopIfTrue="1">
      <formula>MOD(ROW(),2)&lt;&gt;0</formula>
    </cfRule>
  </conditionalFormatting>
  <conditionalFormatting sqref="B26:K38">
    <cfRule type="expression" dxfId="441" priority="5" stopIfTrue="1">
      <formula>MOD(ROW(),2)=0</formula>
    </cfRule>
    <cfRule type="expression" dxfId="440" priority="6" stopIfTrue="1">
      <formula>MOD(ROW(),2)&lt;&gt;0</formula>
    </cfRule>
  </conditionalFormatting>
  <hyperlinks>
    <hyperlink ref="B24" location="Assumptions!A1" display="Assumptions" xr:uid="{44EC4CCF-8EC1-4A87-92D0-1FE34FF7454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0"/>
  <dimension ref="A1:K51"/>
  <sheetViews>
    <sheetView showGridLines="0" topLeftCell="A3"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Pension Debit - x-324</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2006</v>
      </c>
      <c r="C8" s="148"/>
      <c r="D8" s="148"/>
      <c r="E8" s="148"/>
      <c r="F8" s="148"/>
      <c r="G8" s="148"/>
      <c r="H8" s="148"/>
      <c r="I8" s="148"/>
      <c r="J8" s="148"/>
      <c r="K8" s="148"/>
    </row>
    <row r="9" spans="1:11" x14ac:dyDescent="0.25">
      <c r="A9" s="76" t="s">
        <v>80</v>
      </c>
      <c r="B9" s="148" t="s">
        <v>174</v>
      </c>
      <c r="C9" s="148"/>
      <c r="D9" s="148"/>
      <c r="E9" s="148"/>
      <c r="F9" s="148"/>
      <c r="G9" s="148"/>
      <c r="H9" s="148"/>
      <c r="I9" s="148"/>
      <c r="J9" s="148"/>
      <c r="K9" s="148"/>
    </row>
    <row r="10" spans="1:11" x14ac:dyDescent="0.25">
      <c r="A10" s="76" t="s">
        <v>6</v>
      </c>
      <c r="B10" s="148" t="s">
        <v>194</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187</v>
      </c>
      <c r="C12" s="148"/>
      <c r="D12" s="148"/>
      <c r="E12" s="148"/>
      <c r="F12" s="148"/>
      <c r="G12" s="148"/>
      <c r="H12" s="148"/>
      <c r="I12" s="148"/>
      <c r="J12" s="148"/>
      <c r="K12" s="148"/>
    </row>
    <row r="13" spans="1:11" hidden="1" x14ac:dyDescent="0.25">
      <c r="A13" s="76" t="s">
        <v>342</v>
      </c>
      <c r="B13" s="148">
        <v>1</v>
      </c>
      <c r="C13" s="148"/>
      <c r="D13" s="148"/>
      <c r="E13" s="148"/>
      <c r="F13" s="148"/>
      <c r="G13" s="148"/>
      <c r="H13" s="148"/>
      <c r="I13" s="148"/>
      <c r="J13" s="148"/>
      <c r="K13" s="148"/>
    </row>
    <row r="14" spans="1:11" hidden="1" x14ac:dyDescent="0.25">
      <c r="A14" s="76" t="s">
        <v>84</v>
      </c>
      <c r="B14" s="148">
        <v>324</v>
      </c>
      <c r="C14" s="148"/>
      <c r="D14" s="148"/>
      <c r="E14" s="148"/>
      <c r="F14" s="148"/>
      <c r="G14" s="148"/>
      <c r="H14" s="148"/>
      <c r="I14" s="148"/>
      <c r="J14" s="148"/>
      <c r="K14" s="148"/>
    </row>
    <row r="15" spans="1:11" x14ac:dyDescent="0.25">
      <c r="A15" s="76" t="s">
        <v>345</v>
      </c>
      <c r="B15" s="148" t="s">
        <v>195</v>
      </c>
      <c r="C15" s="148"/>
      <c r="D15" s="148"/>
      <c r="E15" s="148"/>
      <c r="F15" s="148"/>
      <c r="G15" s="148"/>
      <c r="H15" s="148"/>
      <c r="I15" s="148"/>
      <c r="J15" s="148"/>
      <c r="K15" s="148"/>
    </row>
    <row r="16" spans="1:11" x14ac:dyDescent="0.25">
      <c r="A16" s="76" t="s">
        <v>86</v>
      </c>
      <c r="B16" s="148" t="s">
        <v>196</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45070</v>
      </c>
      <c r="C18" s="148"/>
      <c r="D18" s="148"/>
      <c r="E18" s="148"/>
      <c r="F18" s="148"/>
      <c r="G18" s="148"/>
      <c r="H18" s="148"/>
      <c r="I18" s="148"/>
      <c r="J18" s="148"/>
      <c r="K18" s="148"/>
    </row>
    <row r="19" spans="1:11" x14ac:dyDescent="0.25">
      <c r="A19" s="76" t="s">
        <v>89</v>
      </c>
      <c r="B19" s="152">
        <v>45014</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6" spans="1:11" x14ac:dyDescent="0.25">
      <c r="A26" s="85" t="s">
        <v>439</v>
      </c>
      <c r="B26" s="85">
        <v>60</v>
      </c>
      <c r="C26" s="85">
        <v>61</v>
      </c>
      <c r="D26" s="85">
        <v>62</v>
      </c>
      <c r="E26" s="85">
        <v>63</v>
      </c>
      <c r="F26" s="85">
        <v>64</v>
      </c>
      <c r="G26" s="85">
        <v>65</v>
      </c>
      <c r="H26" s="85">
        <v>66</v>
      </c>
      <c r="I26" s="85">
        <v>67</v>
      </c>
      <c r="J26" s="85">
        <v>68</v>
      </c>
      <c r="K26" s="85">
        <v>69</v>
      </c>
    </row>
    <row r="27" spans="1:11" x14ac:dyDescent="0.25">
      <c r="A27" s="86">
        <v>0</v>
      </c>
      <c r="B27" s="88">
        <v>1</v>
      </c>
      <c r="C27" s="88">
        <v>1.05</v>
      </c>
      <c r="D27" s="88">
        <v>1.105</v>
      </c>
      <c r="E27" s="88">
        <v>1.1639999999999999</v>
      </c>
      <c r="F27" s="88">
        <v>1.228</v>
      </c>
      <c r="G27" s="88">
        <v>1.298</v>
      </c>
      <c r="H27" s="88">
        <v>1.3740000000000001</v>
      </c>
      <c r="I27" s="88">
        <v>1.4570000000000001</v>
      </c>
      <c r="J27" s="88">
        <v>1.548</v>
      </c>
      <c r="K27" s="88">
        <v>1.6479999999999999</v>
      </c>
    </row>
    <row r="28" spans="1:11" x14ac:dyDescent="0.25">
      <c r="A28" s="86">
        <v>1</v>
      </c>
      <c r="B28" s="88">
        <v>1.004</v>
      </c>
      <c r="C28" s="88">
        <v>1.0549999999999999</v>
      </c>
      <c r="D28" s="88">
        <v>1.1100000000000001</v>
      </c>
      <c r="E28" s="88">
        <v>1.169</v>
      </c>
      <c r="F28" s="88">
        <v>1.234</v>
      </c>
      <c r="G28" s="88">
        <v>1.304</v>
      </c>
      <c r="H28" s="88">
        <v>1.381</v>
      </c>
      <c r="I28" s="88">
        <v>1.4650000000000001</v>
      </c>
      <c r="J28" s="88">
        <v>1.5569999999999999</v>
      </c>
      <c r="K28" s="88">
        <v>1.6579999999999999</v>
      </c>
    </row>
    <row r="29" spans="1:11" x14ac:dyDescent="0.25">
      <c r="A29" s="86">
        <v>2</v>
      </c>
      <c r="B29" s="88">
        <v>1.008</v>
      </c>
      <c r="C29" s="88">
        <v>1.0589999999999999</v>
      </c>
      <c r="D29" s="88">
        <v>1.115</v>
      </c>
      <c r="E29" s="88">
        <v>1.175</v>
      </c>
      <c r="F29" s="88">
        <v>1.24</v>
      </c>
      <c r="G29" s="88">
        <v>1.3109999999999999</v>
      </c>
      <c r="H29" s="88">
        <v>1.3879999999999999</v>
      </c>
      <c r="I29" s="88">
        <v>1.472</v>
      </c>
      <c r="J29" s="88">
        <v>1.5649999999999999</v>
      </c>
      <c r="K29" s="88">
        <v>1.667</v>
      </c>
    </row>
    <row r="30" spans="1:11" x14ac:dyDescent="0.25">
      <c r="A30" s="86">
        <v>3</v>
      </c>
      <c r="B30" s="88">
        <v>1.0129999999999999</v>
      </c>
      <c r="C30" s="88">
        <v>1.0640000000000001</v>
      </c>
      <c r="D30" s="88">
        <v>1.1200000000000001</v>
      </c>
      <c r="E30" s="88">
        <v>1.18</v>
      </c>
      <c r="F30" s="88">
        <v>1.2450000000000001</v>
      </c>
      <c r="G30" s="88">
        <v>1.3169999999999999</v>
      </c>
      <c r="H30" s="88">
        <v>1.395</v>
      </c>
      <c r="I30" s="88">
        <v>1.48</v>
      </c>
      <c r="J30" s="88">
        <v>1.573</v>
      </c>
      <c r="K30" s="88">
        <v>1.6759999999999999</v>
      </c>
    </row>
    <row r="31" spans="1:11" x14ac:dyDescent="0.25">
      <c r="A31" s="86">
        <v>4</v>
      </c>
      <c r="B31" s="88">
        <v>1.0169999999999999</v>
      </c>
      <c r="C31" s="88">
        <v>1.0680000000000001</v>
      </c>
      <c r="D31" s="88">
        <v>1.1240000000000001</v>
      </c>
      <c r="E31" s="88">
        <v>1.1850000000000001</v>
      </c>
      <c r="F31" s="88">
        <v>1.2509999999999999</v>
      </c>
      <c r="G31" s="88">
        <v>1.323</v>
      </c>
      <c r="H31" s="88">
        <v>1.4019999999999999</v>
      </c>
      <c r="I31" s="88">
        <v>1.4870000000000001</v>
      </c>
      <c r="J31" s="88">
        <v>1.5820000000000001</v>
      </c>
      <c r="K31" s="88">
        <v>1.6850000000000001</v>
      </c>
    </row>
    <row r="32" spans="1:11" x14ac:dyDescent="0.25">
      <c r="A32" s="86">
        <v>5</v>
      </c>
      <c r="B32" s="88">
        <v>1.0209999999999999</v>
      </c>
      <c r="C32" s="88">
        <v>1.073</v>
      </c>
      <c r="D32" s="88">
        <v>1.129</v>
      </c>
      <c r="E32" s="88">
        <v>1.1910000000000001</v>
      </c>
      <c r="F32" s="88">
        <v>1.2569999999999999</v>
      </c>
      <c r="G32" s="88">
        <v>1.33</v>
      </c>
      <c r="H32" s="88">
        <v>1.409</v>
      </c>
      <c r="I32" s="88">
        <v>1.4950000000000001</v>
      </c>
      <c r="J32" s="88">
        <v>1.59</v>
      </c>
      <c r="K32" s="88">
        <v>1.694</v>
      </c>
    </row>
    <row r="33" spans="1:11" x14ac:dyDescent="0.25">
      <c r="A33" s="86">
        <v>6</v>
      </c>
      <c r="B33" s="88">
        <v>1.0249999999999999</v>
      </c>
      <c r="C33" s="88">
        <v>1.0780000000000001</v>
      </c>
      <c r="D33" s="88">
        <v>1.1339999999999999</v>
      </c>
      <c r="E33" s="88">
        <v>1.196</v>
      </c>
      <c r="F33" s="88">
        <v>1.2629999999999999</v>
      </c>
      <c r="G33" s="88">
        <v>1.3360000000000001</v>
      </c>
      <c r="H33" s="88">
        <v>1.4159999999999999</v>
      </c>
      <c r="I33" s="88">
        <v>1.5029999999999999</v>
      </c>
      <c r="J33" s="88">
        <v>1.5980000000000001</v>
      </c>
      <c r="K33" s="88">
        <v>1.7030000000000001</v>
      </c>
    </row>
    <row r="34" spans="1:11" x14ac:dyDescent="0.25">
      <c r="A34" s="86">
        <v>7</v>
      </c>
      <c r="B34" s="88">
        <v>1.0289999999999999</v>
      </c>
      <c r="C34" s="88">
        <v>1.0820000000000001</v>
      </c>
      <c r="D34" s="88">
        <v>1.139</v>
      </c>
      <c r="E34" s="88">
        <v>1.2010000000000001</v>
      </c>
      <c r="F34" s="88">
        <v>1.2689999999999999</v>
      </c>
      <c r="G34" s="88">
        <v>1.3420000000000001</v>
      </c>
      <c r="H34" s="88">
        <v>1.4219999999999999</v>
      </c>
      <c r="I34" s="88">
        <v>1.51</v>
      </c>
      <c r="J34" s="88">
        <v>1.607</v>
      </c>
      <c r="K34" s="88">
        <v>1.7130000000000001</v>
      </c>
    </row>
    <row r="35" spans="1:11" x14ac:dyDescent="0.25">
      <c r="A35" s="86">
        <v>8</v>
      </c>
      <c r="B35" s="88">
        <v>1.034</v>
      </c>
      <c r="C35" s="88">
        <v>1.087</v>
      </c>
      <c r="D35" s="88">
        <v>1.1439999999999999</v>
      </c>
      <c r="E35" s="88">
        <v>1.2070000000000001</v>
      </c>
      <c r="F35" s="88">
        <v>1.2749999999999999</v>
      </c>
      <c r="G35" s="88">
        <v>1.349</v>
      </c>
      <c r="H35" s="88">
        <v>1.429</v>
      </c>
      <c r="I35" s="88">
        <v>1.518</v>
      </c>
      <c r="J35" s="88">
        <v>1.615</v>
      </c>
      <c r="K35" s="88">
        <v>1.722</v>
      </c>
    </row>
    <row r="36" spans="1:11" x14ac:dyDescent="0.25">
      <c r="A36" s="86">
        <v>9</v>
      </c>
      <c r="B36" s="88">
        <v>1.038</v>
      </c>
      <c r="C36" s="88">
        <v>1.091</v>
      </c>
      <c r="D36" s="88">
        <v>1.149</v>
      </c>
      <c r="E36" s="88">
        <v>1.212</v>
      </c>
      <c r="F36" s="88">
        <v>1.28</v>
      </c>
      <c r="G36" s="88">
        <v>1.355</v>
      </c>
      <c r="H36" s="88">
        <v>1.4359999999999999</v>
      </c>
      <c r="I36" s="88">
        <v>1.5249999999999999</v>
      </c>
      <c r="J36" s="88">
        <v>1.623</v>
      </c>
      <c r="K36" s="88">
        <v>1.7310000000000001</v>
      </c>
    </row>
    <row r="37" spans="1:11" x14ac:dyDescent="0.25">
      <c r="A37" s="86">
        <v>10</v>
      </c>
      <c r="B37" s="88">
        <v>1.042</v>
      </c>
      <c r="C37" s="88">
        <v>1.0960000000000001</v>
      </c>
      <c r="D37" s="88">
        <v>1.1539999999999999</v>
      </c>
      <c r="E37" s="88">
        <v>1.2170000000000001</v>
      </c>
      <c r="F37" s="88">
        <v>1.286</v>
      </c>
      <c r="G37" s="88">
        <v>1.361</v>
      </c>
      <c r="H37" s="88">
        <v>1.4430000000000001</v>
      </c>
      <c r="I37" s="88">
        <v>1.5329999999999999</v>
      </c>
      <c r="J37" s="88">
        <v>1.6319999999999999</v>
      </c>
      <c r="K37" s="88">
        <v>1.74</v>
      </c>
    </row>
    <row r="38" spans="1:11" x14ac:dyDescent="0.25">
      <c r="A38" s="86">
        <v>11</v>
      </c>
      <c r="B38" s="88">
        <v>1.046</v>
      </c>
      <c r="C38" s="88">
        <v>1.1000000000000001</v>
      </c>
      <c r="D38" s="88">
        <v>1.159</v>
      </c>
      <c r="E38" s="88">
        <v>1.2230000000000001</v>
      </c>
      <c r="F38" s="88">
        <v>1.292</v>
      </c>
      <c r="G38" s="88">
        <v>1.3680000000000001</v>
      </c>
      <c r="H38" s="88">
        <v>1.45</v>
      </c>
      <c r="I38" s="88">
        <v>1.5409999999999999</v>
      </c>
      <c r="J38" s="88">
        <v>1.64</v>
      </c>
      <c r="K38" s="88">
        <v>1.7490000000000001</v>
      </c>
    </row>
    <row r="39" spans="1:11" x14ac:dyDescent="0.25">
      <c r="B39" s="82"/>
      <c r="C39" s="82"/>
      <c r="D39" s="82"/>
      <c r="E39" s="82"/>
      <c r="F39" s="82"/>
      <c r="G39" s="82"/>
      <c r="H39" s="82"/>
      <c r="I39" s="82"/>
      <c r="J39" s="82"/>
      <c r="K39" s="82"/>
    </row>
    <row r="40" spans="1:11" x14ac:dyDescent="0.25">
      <c r="B40" s="82"/>
      <c r="C40" s="82"/>
      <c r="D40" s="82"/>
      <c r="E40" s="82"/>
      <c r="F40" s="82"/>
      <c r="G40" s="82"/>
      <c r="H40" s="82"/>
      <c r="I40" s="82"/>
      <c r="J40" s="82"/>
      <c r="K40" s="82"/>
    </row>
    <row r="41" spans="1:11" x14ac:dyDescent="0.25">
      <c r="B41" s="82"/>
      <c r="C41" s="82"/>
      <c r="D41" s="82"/>
      <c r="E41" s="82"/>
      <c r="F41" s="82"/>
      <c r="G41" s="82"/>
      <c r="H41" s="82"/>
      <c r="I41" s="82"/>
      <c r="J41" s="82"/>
      <c r="K41" s="82"/>
    </row>
    <row r="42" spans="1:11" x14ac:dyDescent="0.25">
      <c r="B42" s="82"/>
      <c r="C42" s="82"/>
      <c r="D42" s="82"/>
      <c r="E42" s="82"/>
      <c r="F42" s="82"/>
      <c r="G42" s="82"/>
      <c r="H42" s="82"/>
      <c r="I42" s="82"/>
      <c r="J42" s="82"/>
      <c r="K42" s="82"/>
    </row>
    <row r="43" spans="1:11" x14ac:dyDescent="0.25">
      <c r="B43" s="82"/>
      <c r="C43" s="82"/>
      <c r="D43" s="82"/>
      <c r="E43" s="82"/>
      <c r="F43" s="82"/>
      <c r="G43" s="82"/>
      <c r="H43" s="82"/>
      <c r="I43" s="82"/>
      <c r="J43" s="82"/>
      <c r="K43" s="82"/>
    </row>
    <row r="44" spans="1:11" ht="39.6" customHeight="1" x14ac:dyDescent="0.25">
      <c r="B44" s="82"/>
      <c r="C44" s="82"/>
      <c r="D44" s="82"/>
      <c r="E44" s="82"/>
      <c r="F44" s="82"/>
      <c r="G44" s="82"/>
      <c r="H44" s="82"/>
      <c r="I44" s="82"/>
      <c r="J44" s="82"/>
      <c r="K44" s="82"/>
    </row>
    <row r="45" spans="1:11" x14ac:dyDescent="0.25">
      <c r="B45" s="82"/>
      <c r="C45" s="82"/>
      <c r="D45" s="82"/>
      <c r="E45" s="82"/>
      <c r="F45" s="82"/>
      <c r="G45" s="82"/>
      <c r="H45" s="82"/>
      <c r="I45" s="82"/>
      <c r="J45" s="82"/>
      <c r="K45" s="82"/>
    </row>
    <row r="46" spans="1:11" ht="27.6" customHeight="1" x14ac:dyDescent="0.25">
      <c r="B46" s="82"/>
      <c r="C46" s="82"/>
      <c r="D46" s="82"/>
      <c r="E46" s="82"/>
      <c r="F46" s="82"/>
      <c r="G46" s="82"/>
      <c r="H46" s="82"/>
      <c r="I46" s="82"/>
      <c r="J46" s="82"/>
      <c r="K46" s="82"/>
    </row>
    <row r="47" spans="1:11" x14ac:dyDescent="0.25">
      <c r="B47" s="82"/>
      <c r="C47" s="82"/>
      <c r="D47" s="82"/>
      <c r="E47" s="82"/>
      <c r="F47" s="82"/>
      <c r="G47" s="82"/>
      <c r="H47" s="82"/>
      <c r="I47" s="82"/>
      <c r="J47" s="82"/>
      <c r="K47" s="82"/>
    </row>
    <row r="48" spans="1:11" x14ac:dyDescent="0.25">
      <c r="B48" s="82"/>
      <c r="C48" s="82"/>
      <c r="D48" s="82"/>
      <c r="E48" s="82"/>
      <c r="F48" s="82"/>
      <c r="G48" s="82"/>
      <c r="H48" s="82"/>
      <c r="I48" s="82"/>
      <c r="J48" s="82"/>
      <c r="K48" s="82"/>
    </row>
    <row r="49" spans="2:11" x14ac:dyDescent="0.25">
      <c r="B49" s="82"/>
      <c r="C49" s="82"/>
      <c r="D49" s="82"/>
      <c r="E49" s="82"/>
      <c r="F49" s="82"/>
      <c r="G49" s="82"/>
      <c r="H49" s="82"/>
      <c r="I49" s="82"/>
      <c r="J49" s="82"/>
      <c r="K49" s="82"/>
    </row>
    <row r="50" spans="2:11" x14ac:dyDescent="0.25">
      <c r="B50" s="82"/>
    </row>
    <row r="51" spans="2:11" x14ac:dyDescent="0.25">
      <c r="B51" s="82"/>
    </row>
  </sheetData>
  <sheetProtection algorithmName="SHA-512" hashValue="wkCyEveZWr16OsTiOx2SHHbD0PUp5GHJhCVv2LrP3yCGCtLvYFmHh4kNCdrnbYaS3/hCuo9NV3YqdiyPeuz4cw==" saltValue="70tvWiR4akQ9ghoHH/2c1w==" spinCount="100000" sheet="1" objects="1" scenarios="1"/>
  <conditionalFormatting sqref="A6:A21">
    <cfRule type="expression" dxfId="439" priority="1" stopIfTrue="1">
      <formula>MOD(ROW(),2)=0</formula>
    </cfRule>
    <cfRule type="expression" dxfId="438" priority="2" stopIfTrue="1">
      <formula>MOD(ROW(),2)&lt;&gt;0</formula>
    </cfRule>
  </conditionalFormatting>
  <conditionalFormatting sqref="A26:A38">
    <cfRule type="expression" dxfId="437" priority="3" stopIfTrue="1">
      <formula>MOD(ROW(),2)=0</formula>
    </cfRule>
    <cfRule type="expression" dxfId="436" priority="4" stopIfTrue="1">
      <formula>MOD(ROW(),2)&lt;&gt;0</formula>
    </cfRule>
  </conditionalFormatting>
  <conditionalFormatting sqref="B17:C21">
    <cfRule type="expression" dxfId="435" priority="7" stopIfTrue="1">
      <formula>MOD(ROW(),2)=0</formula>
    </cfRule>
    <cfRule type="expression" dxfId="434" priority="8" stopIfTrue="1">
      <formula>MOD(ROW(),2)&lt;&gt;0</formula>
    </cfRule>
  </conditionalFormatting>
  <conditionalFormatting sqref="B6:K21">
    <cfRule type="expression" dxfId="433" priority="21" stopIfTrue="1">
      <formula>MOD(ROW(),2)=0</formula>
    </cfRule>
    <cfRule type="expression" dxfId="432" priority="22" stopIfTrue="1">
      <formula>MOD(ROW(),2)&lt;&gt;0</formula>
    </cfRule>
  </conditionalFormatting>
  <conditionalFormatting sqref="B26:K38">
    <cfRule type="expression" dxfId="431" priority="5" stopIfTrue="1">
      <formula>MOD(ROW(),2)=0</formula>
    </cfRule>
    <cfRule type="expression" dxfId="430" priority="6" stopIfTrue="1">
      <formula>MOD(ROW(),2)&lt;&gt;0</formula>
    </cfRule>
  </conditionalFormatting>
  <hyperlinks>
    <hyperlink ref="B24" location="Assumptions!A1" display="Assumptions" xr:uid="{3998599A-10D6-42B6-A56B-EED480578C8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1"/>
  <dimension ref="A1:AV54"/>
  <sheetViews>
    <sheetView showGridLines="0" topLeftCell="A3" zoomScale="84" zoomScaleNormal="84" workbookViewId="0">
      <selection activeCell="B6" sqref="B6:AV21"/>
    </sheetView>
  </sheetViews>
  <sheetFormatPr defaultColWidth="10" defaultRowHeight="13.2" x14ac:dyDescent="0.25"/>
  <cols>
    <col min="1" max="1" width="31.5546875" style="27" customWidth="1"/>
    <col min="2" max="48" width="22.5546875" style="27" customWidth="1"/>
    <col min="49" max="16384" width="10" style="27"/>
  </cols>
  <sheetData>
    <row r="1" spans="1:48" ht="21" x14ac:dyDescent="0.4">
      <c r="A1" s="39" t="s">
        <v>0</v>
      </c>
      <c r="B1" s="40"/>
      <c r="C1" s="40"/>
      <c r="D1" s="40"/>
      <c r="E1" s="40"/>
      <c r="F1" s="40"/>
      <c r="G1" s="40"/>
      <c r="H1" s="40"/>
      <c r="I1" s="40"/>
    </row>
    <row r="2" spans="1:48" ht="15.6" x14ac:dyDescent="0.3">
      <c r="A2" s="41" t="str">
        <f>IF(title="&gt; Enter workbook title here","Enter workbook title in Cover sheet",title)</f>
        <v>Fire England - Consolidated Factor Spreadsheet</v>
      </c>
      <c r="B2" s="42"/>
      <c r="C2" s="42"/>
      <c r="D2" s="42"/>
      <c r="E2" s="42"/>
      <c r="F2" s="42"/>
      <c r="G2" s="42"/>
      <c r="H2" s="42"/>
      <c r="I2" s="42"/>
    </row>
    <row r="3" spans="1:48" ht="15.6" x14ac:dyDescent="0.3">
      <c r="A3" s="43" t="str">
        <f>TABLE_FACTOR_TYPE_1&amp;" - x-"&amp;TABLE_SERIES_NUMBER_1</f>
        <v>Pension Debit - x-325</v>
      </c>
      <c r="B3" s="42"/>
      <c r="C3" s="42"/>
      <c r="D3" s="42"/>
      <c r="E3" s="42"/>
      <c r="F3" s="42"/>
      <c r="G3" s="42"/>
      <c r="H3" s="42"/>
      <c r="I3" s="42"/>
    </row>
    <row r="4" spans="1:48" x14ac:dyDescent="0.25">
      <c r="A4" s="44"/>
    </row>
    <row r="6" spans="1:48" x14ac:dyDescent="0.25">
      <c r="A6" s="74" t="s">
        <v>334</v>
      </c>
      <c r="B6" s="148" t="s">
        <v>335</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row>
    <row r="7" spans="1:48" x14ac:dyDescent="0.25">
      <c r="A7" s="76" t="s">
        <v>78</v>
      </c>
      <c r="B7" s="148" t="s">
        <v>67</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row>
    <row r="8" spans="1:48" x14ac:dyDescent="0.25">
      <c r="A8" s="76" t="s">
        <v>79</v>
      </c>
      <c r="B8" s="148">
        <v>2006</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row>
    <row r="9" spans="1:48" x14ac:dyDescent="0.25">
      <c r="A9" s="76" t="s">
        <v>80</v>
      </c>
      <c r="B9" s="148" t="s">
        <v>174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row>
    <row r="10" spans="1:48" x14ac:dyDescent="0.25">
      <c r="A10" s="76" t="s">
        <v>6</v>
      </c>
      <c r="B10" s="148" t="s">
        <v>197</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row>
    <row r="11" spans="1:48" x14ac:dyDescent="0.25">
      <c r="A11" s="76" t="s">
        <v>81</v>
      </c>
      <c r="B11" s="148" t="s">
        <v>176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row>
    <row r="12" spans="1:48" x14ac:dyDescent="0.25">
      <c r="A12" s="76" t="s">
        <v>82</v>
      </c>
      <c r="B12" s="148" t="s">
        <v>187</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row>
    <row r="13" spans="1:48" hidden="1" x14ac:dyDescent="0.25">
      <c r="A13" s="76" t="s">
        <v>342</v>
      </c>
      <c r="B13" s="148">
        <v>1</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row>
    <row r="14" spans="1:48" hidden="1" x14ac:dyDescent="0.25">
      <c r="A14" s="76" t="s">
        <v>84</v>
      </c>
      <c r="B14" s="148">
        <v>325</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row>
    <row r="15" spans="1:48" x14ac:dyDescent="0.25">
      <c r="A15" s="76" t="s">
        <v>345</v>
      </c>
      <c r="B15" s="148" t="s">
        <v>198</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row>
    <row r="16" spans="1:48" x14ac:dyDescent="0.25">
      <c r="A16" s="76" t="s">
        <v>86</v>
      </c>
      <c r="B16" s="148" t="s">
        <v>185</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row>
    <row r="17" spans="1:48" x14ac:dyDescent="0.25">
      <c r="A17" s="76" t="s">
        <v>414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row>
    <row r="18" spans="1:48" x14ac:dyDescent="0.25">
      <c r="A18" s="76" t="s">
        <v>88</v>
      </c>
      <c r="B18" s="152">
        <v>45070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row>
    <row r="19" spans="1:48" x14ac:dyDescent="0.25">
      <c r="A19" s="76" t="s">
        <v>89</v>
      </c>
      <c r="B19" s="152">
        <v>45014</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row>
    <row r="20" spans="1:48" x14ac:dyDescent="0.25">
      <c r="A20" s="76" t="s">
        <v>90</v>
      </c>
      <c r="B20" s="148" t="s">
        <v>98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row>
    <row r="21" spans="1:48" x14ac:dyDescent="0.25">
      <c r="A21" s="72" t="s">
        <v>91</v>
      </c>
      <c r="B21" s="148" t="s">
        <v>99</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row>
    <row r="23" spans="1:48" x14ac:dyDescent="0.25">
      <c r="B23" s="89" t="str">
        <f>HYPERLINK("#'Factor List'!A1","Back to Factor List")</f>
        <v>Back to Factor List</v>
      </c>
    </row>
    <row r="24" spans="1:48" x14ac:dyDescent="0.25">
      <c r="B24" s="89" t="s">
        <v>13</v>
      </c>
    </row>
    <row r="26" spans="1:48" x14ac:dyDescent="0.25">
      <c r="A26" s="85" t="s">
        <v>439</v>
      </c>
      <c r="B26" s="85">
        <v>18</v>
      </c>
      <c r="C26" s="85">
        <v>19</v>
      </c>
      <c r="D26" s="85">
        <v>20</v>
      </c>
      <c r="E26" s="85">
        <v>21</v>
      </c>
      <c r="F26" s="85">
        <v>22</v>
      </c>
      <c r="G26" s="85">
        <v>23</v>
      </c>
      <c r="H26" s="85">
        <v>24</v>
      </c>
      <c r="I26" s="85">
        <v>25</v>
      </c>
      <c r="J26" s="85">
        <v>26</v>
      </c>
      <c r="K26" s="85">
        <v>27</v>
      </c>
      <c r="L26" s="85">
        <v>28</v>
      </c>
      <c r="M26" s="85">
        <v>29</v>
      </c>
      <c r="N26" s="85">
        <v>30</v>
      </c>
      <c r="O26" s="85">
        <v>31</v>
      </c>
      <c r="P26" s="85">
        <v>32</v>
      </c>
      <c r="Q26" s="85">
        <v>33</v>
      </c>
      <c r="R26" s="85">
        <v>34</v>
      </c>
      <c r="S26" s="85">
        <v>35</v>
      </c>
      <c r="T26" s="85">
        <v>36</v>
      </c>
      <c r="U26" s="85">
        <v>37</v>
      </c>
      <c r="V26" s="85">
        <v>38</v>
      </c>
      <c r="W26" s="85">
        <v>39</v>
      </c>
      <c r="X26" s="85">
        <v>40</v>
      </c>
      <c r="Y26" s="85">
        <v>41</v>
      </c>
      <c r="Z26" s="85">
        <v>42</v>
      </c>
      <c r="AA26" s="85">
        <v>43</v>
      </c>
      <c r="AB26" s="85">
        <v>44</v>
      </c>
      <c r="AC26" s="85">
        <v>45</v>
      </c>
      <c r="AD26" s="85">
        <v>46</v>
      </c>
      <c r="AE26" s="85">
        <v>47</v>
      </c>
      <c r="AF26" s="85">
        <v>48</v>
      </c>
      <c r="AG26" s="85">
        <v>49</v>
      </c>
      <c r="AH26" s="85">
        <v>50</v>
      </c>
      <c r="AI26" s="85">
        <v>51</v>
      </c>
      <c r="AJ26" s="85">
        <v>52</v>
      </c>
      <c r="AK26" s="85">
        <v>53</v>
      </c>
      <c r="AL26" s="85">
        <v>54</v>
      </c>
      <c r="AM26" s="85">
        <v>55</v>
      </c>
      <c r="AN26" s="85">
        <v>56</v>
      </c>
      <c r="AO26" s="85">
        <v>57</v>
      </c>
      <c r="AP26" s="85">
        <v>58</v>
      </c>
      <c r="AQ26" s="85">
        <v>59</v>
      </c>
      <c r="AR26" s="85">
        <v>60</v>
      </c>
      <c r="AS26" s="85">
        <v>61</v>
      </c>
      <c r="AT26" s="85">
        <v>62</v>
      </c>
      <c r="AU26" s="85">
        <v>63</v>
      </c>
      <c r="AV26" s="85">
        <v>64</v>
      </c>
    </row>
    <row r="27" spans="1:48" x14ac:dyDescent="0.25">
      <c r="A27" s="86">
        <v>0</v>
      </c>
      <c r="B27" s="88">
        <v>0.21199999999999999</v>
      </c>
      <c r="C27" s="88">
        <v>0.216</v>
      </c>
      <c r="D27" s="88">
        <v>0.221</v>
      </c>
      <c r="E27" s="88">
        <v>0.22700000000000001</v>
      </c>
      <c r="F27" s="88">
        <v>0.23200000000000001</v>
      </c>
      <c r="G27" s="88">
        <v>0.23699999999999999</v>
      </c>
      <c r="H27" s="88">
        <v>0.24299999999999999</v>
      </c>
      <c r="I27" s="88">
        <v>0.249</v>
      </c>
      <c r="J27" s="88">
        <v>0.255</v>
      </c>
      <c r="K27" s="88">
        <v>0.26100000000000001</v>
      </c>
      <c r="L27" s="88">
        <v>0.26700000000000002</v>
      </c>
      <c r="M27" s="88">
        <v>0.27400000000000002</v>
      </c>
      <c r="N27" s="88">
        <v>0.28100000000000003</v>
      </c>
      <c r="O27" s="88">
        <v>0.28799999999999998</v>
      </c>
      <c r="P27" s="88">
        <v>0.29599999999999999</v>
      </c>
      <c r="Q27" s="88">
        <v>0.30399999999999999</v>
      </c>
      <c r="R27" s="88">
        <v>0.312</v>
      </c>
      <c r="S27" s="88">
        <v>0.32100000000000001</v>
      </c>
      <c r="T27" s="88">
        <v>0.33</v>
      </c>
      <c r="U27" s="88">
        <v>0.33900000000000002</v>
      </c>
      <c r="V27" s="88">
        <v>0.34899999999999998</v>
      </c>
      <c r="W27" s="88">
        <v>0.35899999999999999</v>
      </c>
      <c r="X27" s="88">
        <v>0.36899999999999999</v>
      </c>
      <c r="Y27" s="88">
        <v>0.38100000000000001</v>
      </c>
      <c r="Z27" s="88">
        <v>0.39200000000000002</v>
      </c>
      <c r="AA27" s="88">
        <v>0.40500000000000003</v>
      </c>
      <c r="AB27" s="88">
        <v>0.41799999999999998</v>
      </c>
      <c r="AC27" s="88">
        <v>0.43099999999999999</v>
      </c>
      <c r="AD27" s="88">
        <v>0.44600000000000001</v>
      </c>
      <c r="AE27" s="88">
        <v>0.46100000000000002</v>
      </c>
      <c r="AF27" s="88">
        <v>0.47699999999999998</v>
      </c>
      <c r="AG27" s="88">
        <v>0.49399999999999999</v>
      </c>
      <c r="AH27" s="88">
        <v>0.51200000000000001</v>
      </c>
      <c r="AI27" s="88">
        <v>0.53100000000000003</v>
      </c>
      <c r="AJ27" s="88">
        <v>0.55100000000000005</v>
      </c>
      <c r="AK27" s="88">
        <v>0.57199999999999995</v>
      </c>
      <c r="AL27" s="88">
        <v>0.59499999999999997</v>
      </c>
      <c r="AM27" s="88">
        <v>0.62</v>
      </c>
      <c r="AN27" s="88">
        <v>0.64600000000000002</v>
      </c>
      <c r="AO27" s="88">
        <v>0.67400000000000004</v>
      </c>
      <c r="AP27" s="88">
        <v>0.70499999999999996</v>
      </c>
      <c r="AQ27" s="88">
        <v>0.73699999999999999</v>
      </c>
      <c r="AR27" s="88">
        <v>0.77200000000000002</v>
      </c>
      <c r="AS27" s="88">
        <v>0.81100000000000005</v>
      </c>
      <c r="AT27" s="88">
        <v>0.85199999999999998</v>
      </c>
      <c r="AU27" s="88">
        <v>0.89700000000000002</v>
      </c>
      <c r="AV27" s="88">
        <v>0.94599999999999995</v>
      </c>
    </row>
    <row r="28" spans="1:48" x14ac:dyDescent="0.25">
      <c r="A28" s="86">
        <v>1</v>
      </c>
      <c r="B28" s="88">
        <v>0.21199999999999999</v>
      </c>
      <c r="C28" s="88">
        <v>0.217</v>
      </c>
      <c r="D28" s="88">
        <v>0.222</v>
      </c>
      <c r="E28" s="88">
        <v>0.22700000000000001</v>
      </c>
      <c r="F28" s="88">
        <v>0.23200000000000001</v>
      </c>
      <c r="G28" s="88">
        <v>0.23799999999999999</v>
      </c>
      <c r="H28" s="88">
        <v>0.24299999999999999</v>
      </c>
      <c r="I28" s="88">
        <v>0.249</v>
      </c>
      <c r="J28" s="88">
        <v>0.255</v>
      </c>
      <c r="K28" s="88">
        <v>0.26200000000000001</v>
      </c>
      <c r="L28" s="88">
        <v>0.26800000000000002</v>
      </c>
      <c r="M28" s="88">
        <v>0.27500000000000002</v>
      </c>
      <c r="N28" s="88">
        <v>0.28199999999999997</v>
      </c>
      <c r="O28" s="88">
        <v>0.28899999999999998</v>
      </c>
      <c r="P28" s="88">
        <v>0.29699999999999999</v>
      </c>
      <c r="Q28" s="88">
        <v>0.30499999999999999</v>
      </c>
      <c r="R28" s="88">
        <v>0.313</v>
      </c>
      <c r="S28" s="88">
        <v>0.32100000000000001</v>
      </c>
      <c r="T28" s="88">
        <v>0.33</v>
      </c>
      <c r="U28" s="88">
        <v>0.34</v>
      </c>
      <c r="V28" s="88">
        <v>0.35</v>
      </c>
      <c r="W28" s="88">
        <v>0.36</v>
      </c>
      <c r="X28" s="88">
        <v>0.37</v>
      </c>
      <c r="Y28" s="88">
        <v>0.38200000000000001</v>
      </c>
      <c r="Z28" s="88">
        <v>0.39300000000000002</v>
      </c>
      <c r="AA28" s="88">
        <v>0.40600000000000003</v>
      </c>
      <c r="AB28" s="88">
        <v>0.41899999999999998</v>
      </c>
      <c r="AC28" s="88">
        <v>0.432</v>
      </c>
      <c r="AD28" s="88">
        <v>0.44700000000000001</v>
      </c>
      <c r="AE28" s="88">
        <v>0.46200000000000002</v>
      </c>
      <c r="AF28" s="88">
        <v>0.47799999999999998</v>
      </c>
      <c r="AG28" s="88">
        <v>0.495</v>
      </c>
      <c r="AH28" s="88">
        <v>0.51300000000000001</v>
      </c>
      <c r="AI28" s="88">
        <v>0.53200000000000003</v>
      </c>
      <c r="AJ28" s="88">
        <v>0.55300000000000005</v>
      </c>
      <c r="AK28" s="88">
        <v>0.57399999999999995</v>
      </c>
      <c r="AL28" s="88">
        <v>0.59699999999999998</v>
      </c>
      <c r="AM28" s="88">
        <v>0.622</v>
      </c>
      <c r="AN28" s="88">
        <v>0.64800000000000002</v>
      </c>
      <c r="AO28" s="88">
        <v>0.67700000000000005</v>
      </c>
      <c r="AP28" s="88">
        <v>0.70699999999999996</v>
      </c>
      <c r="AQ28" s="88">
        <v>0.74</v>
      </c>
      <c r="AR28" s="88">
        <v>0.77600000000000002</v>
      </c>
      <c r="AS28" s="88">
        <v>0.81399999999999995</v>
      </c>
      <c r="AT28" s="88">
        <v>0.85599999999999998</v>
      </c>
      <c r="AU28" s="88">
        <v>0.90100000000000002</v>
      </c>
      <c r="AV28" s="88">
        <v>0.95099999999999996</v>
      </c>
    </row>
    <row r="29" spans="1:48" x14ac:dyDescent="0.25">
      <c r="A29" s="86">
        <v>2</v>
      </c>
      <c r="B29" s="88">
        <v>0.21299999999999999</v>
      </c>
      <c r="C29" s="88">
        <v>0.217</v>
      </c>
      <c r="D29" s="88">
        <v>0.222</v>
      </c>
      <c r="E29" s="88">
        <v>0.22700000000000001</v>
      </c>
      <c r="F29" s="88">
        <v>0.23300000000000001</v>
      </c>
      <c r="G29" s="88">
        <v>0.23799999999999999</v>
      </c>
      <c r="H29" s="88">
        <v>0.24399999999999999</v>
      </c>
      <c r="I29" s="88">
        <v>0.25</v>
      </c>
      <c r="J29" s="88">
        <v>0.25600000000000001</v>
      </c>
      <c r="K29" s="88">
        <v>0.26200000000000001</v>
      </c>
      <c r="L29" s="88">
        <v>0.26900000000000002</v>
      </c>
      <c r="M29" s="88">
        <v>0.27500000000000002</v>
      </c>
      <c r="N29" s="88">
        <v>0.28199999999999997</v>
      </c>
      <c r="O29" s="88">
        <v>0.28999999999999998</v>
      </c>
      <c r="P29" s="88">
        <v>0.29699999999999999</v>
      </c>
      <c r="Q29" s="88">
        <v>0.30499999999999999</v>
      </c>
      <c r="R29" s="88">
        <v>0.314</v>
      </c>
      <c r="S29" s="88">
        <v>0.32200000000000001</v>
      </c>
      <c r="T29" s="88">
        <v>0.33100000000000002</v>
      </c>
      <c r="U29" s="88">
        <v>0.34100000000000003</v>
      </c>
      <c r="V29" s="88">
        <v>0.35</v>
      </c>
      <c r="W29" s="88">
        <v>0.36099999999999999</v>
      </c>
      <c r="X29" s="88">
        <v>0.371</v>
      </c>
      <c r="Y29" s="88">
        <v>0.38300000000000001</v>
      </c>
      <c r="Z29" s="88">
        <v>0.39400000000000002</v>
      </c>
      <c r="AA29" s="88">
        <v>0.40699999999999997</v>
      </c>
      <c r="AB29" s="88">
        <v>0.42</v>
      </c>
      <c r="AC29" s="88">
        <v>0.434</v>
      </c>
      <c r="AD29" s="88">
        <v>0.44800000000000001</v>
      </c>
      <c r="AE29" s="88">
        <v>0.46300000000000002</v>
      </c>
      <c r="AF29" s="88">
        <v>0.48</v>
      </c>
      <c r="AG29" s="88">
        <v>0.497</v>
      </c>
      <c r="AH29" s="88">
        <v>0.51500000000000001</v>
      </c>
      <c r="AI29" s="88">
        <v>0.53400000000000003</v>
      </c>
      <c r="AJ29" s="88">
        <v>0.55400000000000005</v>
      </c>
      <c r="AK29" s="88">
        <v>0.57599999999999996</v>
      </c>
      <c r="AL29" s="88">
        <v>0.59899999999999998</v>
      </c>
      <c r="AM29" s="88">
        <v>0.624</v>
      </c>
      <c r="AN29" s="88">
        <v>0.65100000000000002</v>
      </c>
      <c r="AO29" s="88">
        <v>0.67900000000000005</v>
      </c>
      <c r="AP29" s="88">
        <v>0.71</v>
      </c>
      <c r="AQ29" s="88">
        <v>0.74299999999999999</v>
      </c>
      <c r="AR29" s="88">
        <v>0.77900000000000003</v>
      </c>
      <c r="AS29" s="88">
        <v>0.81699999999999995</v>
      </c>
      <c r="AT29" s="88">
        <v>0.85899999999999999</v>
      </c>
      <c r="AU29" s="88">
        <v>0.90500000000000003</v>
      </c>
      <c r="AV29" s="88">
        <v>0.95499999999999996</v>
      </c>
    </row>
    <row r="30" spans="1:48" x14ac:dyDescent="0.25">
      <c r="A30" s="86">
        <v>3</v>
      </c>
      <c r="B30" s="88">
        <v>0.21299999999999999</v>
      </c>
      <c r="C30" s="88">
        <v>0.218</v>
      </c>
      <c r="D30" s="88">
        <v>0.223</v>
      </c>
      <c r="E30" s="88">
        <v>0.22800000000000001</v>
      </c>
      <c r="F30" s="88">
        <v>0.23300000000000001</v>
      </c>
      <c r="G30" s="88">
        <v>0.23899999999999999</v>
      </c>
      <c r="H30" s="88">
        <v>0.24399999999999999</v>
      </c>
      <c r="I30" s="88">
        <v>0.25</v>
      </c>
      <c r="J30" s="88">
        <v>0.25600000000000001</v>
      </c>
      <c r="K30" s="88">
        <v>0.26300000000000001</v>
      </c>
      <c r="L30" s="88">
        <v>0.26900000000000002</v>
      </c>
      <c r="M30" s="88">
        <v>0.27600000000000002</v>
      </c>
      <c r="N30" s="88">
        <v>0.28299999999999997</v>
      </c>
      <c r="O30" s="88">
        <v>0.28999999999999998</v>
      </c>
      <c r="P30" s="88">
        <v>0.29799999999999999</v>
      </c>
      <c r="Q30" s="88">
        <v>0.30599999999999999</v>
      </c>
      <c r="R30" s="88">
        <v>0.314</v>
      </c>
      <c r="S30" s="88">
        <v>0.32300000000000001</v>
      </c>
      <c r="T30" s="88">
        <v>0.33200000000000002</v>
      </c>
      <c r="U30" s="88">
        <v>0.34100000000000003</v>
      </c>
      <c r="V30" s="88">
        <v>0.35099999999999998</v>
      </c>
      <c r="W30" s="88">
        <v>0.36199999999999999</v>
      </c>
      <c r="X30" s="88">
        <v>0.372</v>
      </c>
      <c r="Y30" s="88">
        <v>0.38400000000000001</v>
      </c>
      <c r="Z30" s="88">
        <v>0.39500000000000002</v>
      </c>
      <c r="AA30" s="88">
        <v>0.40799999999999997</v>
      </c>
      <c r="AB30" s="88">
        <v>0.42099999999999999</v>
      </c>
      <c r="AC30" s="88">
        <v>0.435</v>
      </c>
      <c r="AD30" s="88">
        <v>0.44900000000000001</v>
      </c>
      <c r="AE30" s="88">
        <v>0.46500000000000002</v>
      </c>
      <c r="AF30" s="88">
        <v>0.48099999999999998</v>
      </c>
      <c r="AG30" s="88">
        <v>0.498</v>
      </c>
      <c r="AH30" s="88">
        <v>0.51600000000000001</v>
      </c>
      <c r="AI30" s="88">
        <v>0.53600000000000003</v>
      </c>
      <c r="AJ30" s="88">
        <v>0.55600000000000005</v>
      </c>
      <c r="AK30" s="88">
        <v>0.57799999999999996</v>
      </c>
      <c r="AL30" s="88">
        <v>0.60099999999999998</v>
      </c>
      <c r="AM30" s="88">
        <v>0.626</v>
      </c>
      <c r="AN30" s="88">
        <v>0.65300000000000002</v>
      </c>
      <c r="AO30" s="88">
        <v>0.68200000000000005</v>
      </c>
      <c r="AP30" s="88">
        <v>0.71299999999999997</v>
      </c>
      <c r="AQ30" s="88">
        <v>0.746</v>
      </c>
      <c r="AR30" s="88">
        <v>0.78200000000000003</v>
      </c>
      <c r="AS30" s="88">
        <v>0.82099999999999995</v>
      </c>
      <c r="AT30" s="88">
        <v>0.86299999999999999</v>
      </c>
      <c r="AU30" s="88">
        <v>0.90900000000000003</v>
      </c>
      <c r="AV30" s="88">
        <v>0.96</v>
      </c>
    </row>
    <row r="31" spans="1:48" x14ac:dyDescent="0.25">
      <c r="A31" s="86">
        <v>4</v>
      </c>
      <c r="B31" s="88">
        <v>0.21299999999999999</v>
      </c>
      <c r="C31" s="88">
        <v>0.218</v>
      </c>
      <c r="D31" s="88">
        <v>0.223</v>
      </c>
      <c r="E31" s="88">
        <v>0.22800000000000001</v>
      </c>
      <c r="F31" s="88">
        <v>0.23400000000000001</v>
      </c>
      <c r="G31" s="88">
        <v>0.23899999999999999</v>
      </c>
      <c r="H31" s="88">
        <v>0.245</v>
      </c>
      <c r="I31" s="88">
        <v>0.251</v>
      </c>
      <c r="J31" s="88">
        <v>0.25700000000000001</v>
      </c>
      <c r="K31" s="88">
        <v>0.26300000000000001</v>
      </c>
      <c r="L31" s="88">
        <v>0.27</v>
      </c>
      <c r="M31" s="88">
        <v>0.27700000000000002</v>
      </c>
      <c r="N31" s="88">
        <v>0.28399999999999997</v>
      </c>
      <c r="O31" s="88">
        <v>0.29099999999999998</v>
      </c>
      <c r="P31" s="88">
        <v>0.29899999999999999</v>
      </c>
      <c r="Q31" s="88">
        <v>0.307</v>
      </c>
      <c r="R31" s="88">
        <v>0.315</v>
      </c>
      <c r="S31" s="88">
        <v>0.32400000000000001</v>
      </c>
      <c r="T31" s="88">
        <v>0.33300000000000002</v>
      </c>
      <c r="U31" s="88">
        <v>0.34200000000000003</v>
      </c>
      <c r="V31" s="88">
        <v>0.35199999999999998</v>
      </c>
      <c r="W31" s="88">
        <v>0.36199999999999999</v>
      </c>
      <c r="X31" s="88">
        <v>0.373</v>
      </c>
      <c r="Y31" s="88">
        <v>0.38500000000000001</v>
      </c>
      <c r="Z31" s="88">
        <v>0.39600000000000002</v>
      </c>
      <c r="AA31" s="88">
        <v>0.40899999999999997</v>
      </c>
      <c r="AB31" s="88">
        <v>0.42199999999999999</v>
      </c>
      <c r="AC31" s="88">
        <v>0.436</v>
      </c>
      <c r="AD31" s="88">
        <v>0.45100000000000001</v>
      </c>
      <c r="AE31" s="88">
        <v>0.46600000000000003</v>
      </c>
      <c r="AF31" s="88">
        <v>0.48199999999999998</v>
      </c>
      <c r="AG31" s="88">
        <v>0.5</v>
      </c>
      <c r="AH31" s="88">
        <v>0.51800000000000002</v>
      </c>
      <c r="AI31" s="88">
        <v>0.53700000000000003</v>
      </c>
      <c r="AJ31" s="88">
        <v>0.55800000000000005</v>
      </c>
      <c r="AK31" s="88">
        <v>0.57999999999999996</v>
      </c>
      <c r="AL31" s="88">
        <v>0.60299999999999998</v>
      </c>
      <c r="AM31" s="88">
        <v>0.629</v>
      </c>
      <c r="AN31" s="88">
        <v>0.65600000000000003</v>
      </c>
      <c r="AO31" s="88">
        <v>0.68400000000000005</v>
      </c>
      <c r="AP31" s="88">
        <v>0.71499999999999997</v>
      </c>
      <c r="AQ31" s="88">
        <v>0.749</v>
      </c>
      <c r="AR31" s="88">
        <v>0.78500000000000003</v>
      </c>
      <c r="AS31" s="88">
        <v>0.82399999999999995</v>
      </c>
      <c r="AT31" s="88">
        <v>0.86699999999999999</v>
      </c>
      <c r="AU31" s="88">
        <v>0.91300000000000003</v>
      </c>
      <c r="AV31" s="88">
        <v>0.96399999999999997</v>
      </c>
    </row>
    <row r="32" spans="1:48" x14ac:dyDescent="0.25">
      <c r="A32" s="86">
        <v>5</v>
      </c>
      <c r="B32" s="88">
        <v>0.214</v>
      </c>
      <c r="C32" s="88">
        <v>0.219</v>
      </c>
      <c r="D32" s="88">
        <v>0.224</v>
      </c>
      <c r="E32" s="88">
        <v>0.22900000000000001</v>
      </c>
      <c r="F32" s="88">
        <v>0.23400000000000001</v>
      </c>
      <c r="G32" s="88">
        <v>0.24</v>
      </c>
      <c r="H32" s="88">
        <v>0.245</v>
      </c>
      <c r="I32" s="88">
        <v>0.251</v>
      </c>
      <c r="J32" s="88">
        <v>0.25700000000000001</v>
      </c>
      <c r="K32" s="88">
        <v>0.26400000000000001</v>
      </c>
      <c r="L32" s="88">
        <v>0.27</v>
      </c>
      <c r="M32" s="88">
        <v>0.27700000000000002</v>
      </c>
      <c r="N32" s="88">
        <v>0.28399999999999997</v>
      </c>
      <c r="O32" s="88">
        <v>0.29199999999999998</v>
      </c>
      <c r="P32" s="88">
        <v>0.29899999999999999</v>
      </c>
      <c r="Q32" s="88">
        <v>0.307</v>
      </c>
      <c r="R32" s="88">
        <v>0.316</v>
      </c>
      <c r="S32" s="88">
        <v>0.32400000000000001</v>
      </c>
      <c r="T32" s="88">
        <v>0.33300000000000002</v>
      </c>
      <c r="U32" s="88">
        <v>0.34300000000000003</v>
      </c>
      <c r="V32" s="88">
        <v>0.35299999999999998</v>
      </c>
      <c r="W32" s="88">
        <v>0.36299999999999999</v>
      </c>
      <c r="X32" s="88">
        <v>0.374</v>
      </c>
      <c r="Y32" s="88">
        <v>0.38600000000000001</v>
      </c>
      <c r="Z32" s="88">
        <v>0.39800000000000002</v>
      </c>
      <c r="AA32" s="88">
        <v>0.41</v>
      </c>
      <c r="AB32" s="88">
        <v>0.42299999999999999</v>
      </c>
      <c r="AC32" s="88">
        <v>0.437</v>
      </c>
      <c r="AD32" s="88">
        <v>0.45200000000000001</v>
      </c>
      <c r="AE32" s="88">
        <v>0.46700000000000003</v>
      </c>
      <c r="AF32" s="88">
        <v>0.48399999999999999</v>
      </c>
      <c r="AG32" s="88">
        <v>0.501</v>
      </c>
      <c r="AH32" s="88">
        <v>0.52</v>
      </c>
      <c r="AI32" s="88">
        <v>0.53900000000000003</v>
      </c>
      <c r="AJ32" s="88">
        <v>0.56000000000000005</v>
      </c>
      <c r="AK32" s="88">
        <v>0.58199999999999996</v>
      </c>
      <c r="AL32" s="88">
        <v>0.60599999999999998</v>
      </c>
      <c r="AM32" s="88">
        <v>0.63100000000000001</v>
      </c>
      <c r="AN32" s="88">
        <v>0.65800000000000003</v>
      </c>
      <c r="AO32" s="88">
        <v>0.68700000000000006</v>
      </c>
      <c r="AP32" s="88">
        <v>0.71799999999999997</v>
      </c>
      <c r="AQ32" s="88">
        <v>0.752</v>
      </c>
      <c r="AR32" s="88">
        <v>0.78800000000000003</v>
      </c>
      <c r="AS32" s="88">
        <v>0.82799999999999996</v>
      </c>
      <c r="AT32" s="88">
        <v>0.871</v>
      </c>
      <c r="AU32" s="88">
        <v>0.91700000000000004</v>
      </c>
      <c r="AV32" s="88">
        <v>0.96899999999999997</v>
      </c>
    </row>
    <row r="33" spans="1:48" x14ac:dyDescent="0.25">
      <c r="A33" s="86">
        <v>6</v>
      </c>
      <c r="B33" s="88">
        <v>0.214</v>
      </c>
      <c r="C33" s="88">
        <v>0.219</v>
      </c>
      <c r="D33" s="88">
        <v>0.224</v>
      </c>
      <c r="E33" s="88">
        <v>0.22900000000000001</v>
      </c>
      <c r="F33" s="88">
        <v>0.23400000000000001</v>
      </c>
      <c r="G33" s="88">
        <v>0.24</v>
      </c>
      <c r="H33" s="88">
        <v>0.246</v>
      </c>
      <c r="I33" s="88">
        <v>0.252</v>
      </c>
      <c r="J33" s="88">
        <v>0.25800000000000001</v>
      </c>
      <c r="K33" s="88">
        <v>0.26400000000000001</v>
      </c>
      <c r="L33" s="88">
        <v>0.27100000000000002</v>
      </c>
      <c r="M33" s="88">
        <v>0.27800000000000002</v>
      </c>
      <c r="N33" s="88">
        <v>0.28499999999999998</v>
      </c>
      <c r="O33" s="88">
        <v>0.29199999999999998</v>
      </c>
      <c r="P33" s="88">
        <v>0.3</v>
      </c>
      <c r="Q33" s="88">
        <v>0.308</v>
      </c>
      <c r="R33" s="88">
        <v>0.316</v>
      </c>
      <c r="S33" s="88">
        <v>0.32500000000000001</v>
      </c>
      <c r="T33" s="88">
        <v>0.33400000000000002</v>
      </c>
      <c r="U33" s="88">
        <v>0.34399999999999997</v>
      </c>
      <c r="V33" s="88">
        <v>0.35399999999999998</v>
      </c>
      <c r="W33" s="88">
        <v>0.36399999999999999</v>
      </c>
      <c r="X33" s="88">
        <v>0.375</v>
      </c>
      <c r="Y33" s="88">
        <v>0.38700000000000001</v>
      </c>
      <c r="Z33" s="88">
        <v>0.39900000000000002</v>
      </c>
      <c r="AA33" s="88">
        <v>0.41099999999999998</v>
      </c>
      <c r="AB33" s="88">
        <v>0.42399999999999999</v>
      </c>
      <c r="AC33" s="88">
        <v>0.438</v>
      </c>
      <c r="AD33" s="88">
        <v>0.45300000000000001</v>
      </c>
      <c r="AE33" s="88">
        <v>0.46899999999999997</v>
      </c>
      <c r="AF33" s="88">
        <v>0.48499999999999999</v>
      </c>
      <c r="AG33" s="88">
        <v>0.503</v>
      </c>
      <c r="AH33" s="88">
        <v>0.52100000000000002</v>
      </c>
      <c r="AI33" s="88">
        <v>0.54100000000000004</v>
      </c>
      <c r="AJ33" s="88">
        <v>0.56200000000000006</v>
      </c>
      <c r="AK33" s="88">
        <v>0.58399999999999996</v>
      </c>
      <c r="AL33" s="88">
        <v>0.60799999999999998</v>
      </c>
      <c r="AM33" s="88">
        <v>0.63300000000000001</v>
      </c>
      <c r="AN33" s="88">
        <v>0.66</v>
      </c>
      <c r="AO33" s="88">
        <v>0.68899999999999995</v>
      </c>
      <c r="AP33" s="88">
        <v>0.72099999999999997</v>
      </c>
      <c r="AQ33" s="88">
        <v>0.755</v>
      </c>
      <c r="AR33" s="88">
        <v>0.79100000000000004</v>
      </c>
      <c r="AS33" s="88">
        <v>0.83099999999999996</v>
      </c>
      <c r="AT33" s="88">
        <v>0.874</v>
      </c>
      <c r="AU33" s="88">
        <v>0.92200000000000004</v>
      </c>
      <c r="AV33" s="88">
        <v>0.97299999999999998</v>
      </c>
    </row>
    <row r="34" spans="1:48" x14ac:dyDescent="0.25">
      <c r="A34" s="86">
        <v>7</v>
      </c>
      <c r="B34" s="88">
        <v>0.215</v>
      </c>
      <c r="C34" s="88">
        <v>0.219</v>
      </c>
      <c r="D34" s="88">
        <v>0.224</v>
      </c>
      <c r="E34" s="88">
        <v>0.23</v>
      </c>
      <c r="F34" s="88">
        <v>0.23499999999999999</v>
      </c>
      <c r="G34" s="88">
        <v>0.24</v>
      </c>
      <c r="H34" s="88">
        <v>0.246</v>
      </c>
      <c r="I34" s="88">
        <v>0.252</v>
      </c>
      <c r="J34" s="88">
        <v>0.25800000000000001</v>
      </c>
      <c r="K34" s="88">
        <v>0.26500000000000001</v>
      </c>
      <c r="L34" s="88">
        <v>0.27100000000000002</v>
      </c>
      <c r="M34" s="88">
        <v>0.27800000000000002</v>
      </c>
      <c r="N34" s="88">
        <v>0.28499999999999998</v>
      </c>
      <c r="O34" s="88">
        <v>0.29299999999999998</v>
      </c>
      <c r="P34" s="88">
        <v>0.30099999999999999</v>
      </c>
      <c r="Q34" s="88">
        <v>0.309</v>
      </c>
      <c r="R34" s="88">
        <v>0.317</v>
      </c>
      <c r="S34" s="88">
        <v>0.32600000000000001</v>
      </c>
      <c r="T34" s="88">
        <v>0.33500000000000002</v>
      </c>
      <c r="U34" s="88">
        <v>0.34499999999999997</v>
      </c>
      <c r="V34" s="88">
        <v>0.35499999999999998</v>
      </c>
      <c r="W34" s="88">
        <v>0.36499999999999999</v>
      </c>
      <c r="X34" s="88">
        <v>0.376</v>
      </c>
      <c r="Y34" s="88">
        <v>0.38800000000000001</v>
      </c>
      <c r="Z34" s="88">
        <v>0.4</v>
      </c>
      <c r="AA34" s="88">
        <v>0.41199999999999998</v>
      </c>
      <c r="AB34" s="88">
        <v>0.42599999999999999</v>
      </c>
      <c r="AC34" s="88">
        <v>0.44</v>
      </c>
      <c r="AD34" s="88">
        <v>0.45400000000000001</v>
      </c>
      <c r="AE34" s="88">
        <v>0.47</v>
      </c>
      <c r="AF34" s="88">
        <v>0.48699999999999999</v>
      </c>
      <c r="AG34" s="88">
        <v>0.504</v>
      </c>
      <c r="AH34" s="88">
        <v>0.52300000000000002</v>
      </c>
      <c r="AI34" s="88">
        <v>0.54200000000000004</v>
      </c>
      <c r="AJ34" s="88">
        <v>0.56299999999999994</v>
      </c>
      <c r="AK34" s="88">
        <v>0.58599999999999997</v>
      </c>
      <c r="AL34" s="88">
        <v>0.61</v>
      </c>
      <c r="AM34" s="88">
        <v>0.63500000000000001</v>
      </c>
      <c r="AN34" s="88">
        <v>0.66300000000000003</v>
      </c>
      <c r="AO34" s="88">
        <v>0.69199999999999995</v>
      </c>
      <c r="AP34" s="88">
        <v>0.72399999999999998</v>
      </c>
      <c r="AQ34" s="88">
        <v>0.75800000000000001</v>
      </c>
      <c r="AR34" s="88">
        <v>0.79500000000000004</v>
      </c>
      <c r="AS34" s="88">
        <v>0.83499999999999996</v>
      </c>
      <c r="AT34" s="88">
        <v>0.878</v>
      </c>
      <c r="AU34" s="88">
        <v>0.92600000000000005</v>
      </c>
      <c r="AV34" s="88">
        <v>0.97799999999999998</v>
      </c>
    </row>
    <row r="35" spans="1:48" x14ac:dyDescent="0.25">
      <c r="A35" s="86">
        <v>8</v>
      </c>
      <c r="B35" s="88">
        <v>0.215</v>
      </c>
      <c r="C35" s="88">
        <v>0.22</v>
      </c>
      <c r="D35" s="88">
        <v>0.22500000000000001</v>
      </c>
      <c r="E35" s="88">
        <v>0.23</v>
      </c>
      <c r="F35" s="88">
        <v>0.23499999999999999</v>
      </c>
      <c r="G35" s="88">
        <v>0.24099999999999999</v>
      </c>
      <c r="H35" s="88">
        <v>0.247</v>
      </c>
      <c r="I35" s="88">
        <v>0.253</v>
      </c>
      <c r="J35" s="88">
        <v>0.25900000000000001</v>
      </c>
      <c r="K35" s="88">
        <v>0.26500000000000001</v>
      </c>
      <c r="L35" s="88">
        <v>0.27200000000000002</v>
      </c>
      <c r="M35" s="88">
        <v>0.27900000000000003</v>
      </c>
      <c r="N35" s="88">
        <v>0.28599999999999998</v>
      </c>
      <c r="O35" s="88">
        <v>0.29399999999999998</v>
      </c>
      <c r="P35" s="88">
        <v>0.30099999999999999</v>
      </c>
      <c r="Q35" s="88">
        <v>0.309</v>
      </c>
      <c r="R35" s="88">
        <v>0.318</v>
      </c>
      <c r="S35" s="88">
        <v>0.32700000000000001</v>
      </c>
      <c r="T35" s="88">
        <v>0.33600000000000002</v>
      </c>
      <c r="U35" s="88">
        <v>0.34499999999999997</v>
      </c>
      <c r="V35" s="88">
        <v>0.35499999999999998</v>
      </c>
      <c r="W35" s="88">
        <v>0.36599999999999999</v>
      </c>
      <c r="X35" s="88">
        <v>0.377</v>
      </c>
      <c r="Y35" s="88">
        <v>0.38800000000000001</v>
      </c>
      <c r="Z35" s="88">
        <v>0.40100000000000002</v>
      </c>
      <c r="AA35" s="88">
        <v>0.41299999999999998</v>
      </c>
      <c r="AB35" s="88">
        <v>0.42699999999999999</v>
      </c>
      <c r="AC35" s="88">
        <v>0.441</v>
      </c>
      <c r="AD35" s="88">
        <v>0.45600000000000002</v>
      </c>
      <c r="AE35" s="88">
        <v>0.47099999999999997</v>
      </c>
      <c r="AF35" s="88">
        <v>0.48799999999999999</v>
      </c>
      <c r="AG35" s="88">
        <v>0.50600000000000001</v>
      </c>
      <c r="AH35" s="88">
        <v>0.52400000000000002</v>
      </c>
      <c r="AI35" s="88">
        <v>0.54400000000000004</v>
      </c>
      <c r="AJ35" s="88">
        <v>0.56499999999999995</v>
      </c>
      <c r="AK35" s="88">
        <v>0.58799999999999997</v>
      </c>
      <c r="AL35" s="88">
        <v>0.61199999999999999</v>
      </c>
      <c r="AM35" s="88">
        <v>0.63700000000000001</v>
      </c>
      <c r="AN35" s="88">
        <v>0.66500000000000004</v>
      </c>
      <c r="AO35" s="88">
        <v>0.69399999999999995</v>
      </c>
      <c r="AP35" s="88">
        <v>0.72599999999999998</v>
      </c>
      <c r="AQ35" s="88">
        <v>0.76100000000000001</v>
      </c>
      <c r="AR35" s="88">
        <v>0.79800000000000004</v>
      </c>
      <c r="AS35" s="88">
        <v>0.83799999999999997</v>
      </c>
      <c r="AT35" s="88">
        <v>0.88200000000000001</v>
      </c>
      <c r="AU35" s="88">
        <v>0.93</v>
      </c>
      <c r="AV35" s="88">
        <v>0.98199999999999998</v>
      </c>
    </row>
    <row r="36" spans="1:48" x14ac:dyDescent="0.25">
      <c r="A36" s="86">
        <v>9</v>
      </c>
      <c r="B36" s="88">
        <v>0.215</v>
      </c>
      <c r="C36" s="88">
        <v>0.22</v>
      </c>
      <c r="D36" s="88">
        <v>0.22500000000000001</v>
      </c>
      <c r="E36" s="88">
        <v>0.23</v>
      </c>
      <c r="F36" s="88">
        <v>0.23599999999999999</v>
      </c>
      <c r="G36" s="88">
        <v>0.24099999999999999</v>
      </c>
      <c r="H36" s="88">
        <v>0.247</v>
      </c>
      <c r="I36" s="88">
        <v>0.253</v>
      </c>
      <c r="J36" s="88">
        <v>0.25900000000000001</v>
      </c>
      <c r="K36" s="88">
        <v>0.26600000000000001</v>
      </c>
      <c r="L36" s="88">
        <v>0.27300000000000002</v>
      </c>
      <c r="M36" s="88">
        <v>0.27900000000000003</v>
      </c>
      <c r="N36" s="88">
        <v>0.28699999999999998</v>
      </c>
      <c r="O36" s="88">
        <v>0.29399999999999998</v>
      </c>
      <c r="P36" s="88">
        <v>0.30199999999999999</v>
      </c>
      <c r="Q36" s="88">
        <v>0.31</v>
      </c>
      <c r="R36" s="88">
        <v>0.31900000000000001</v>
      </c>
      <c r="S36" s="88">
        <v>0.32700000000000001</v>
      </c>
      <c r="T36" s="88">
        <v>0.33700000000000002</v>
      </c>
      <c r="U36" s="88">
        <v>0.34599999999999997</v>
      </c>
      <c r="V36" s="88">
        <v>0.35599999999999998</v>
      </c>
      <c r="W36" s="88">
        <v>0.36699999999999999</v>
      </c>
      <c r="X36" s="88">
        <v>0.378</v>
      </c>
      <c r="Y36" s="88">
        <v>0.38900000000000001</v>
      </c>
      <c r="Z36" s="88">
        <v>0.40200000000000002</v>
      </c>
      <c r="AA36" s="88">
        <v>0.41399999999999998</v>
      </c>
      <c r="AB36" s="88">
        <v>0.42799999999999999</v>
      </c>
      <c r="AC36" s="88">
        <v>0.442</v>
      </c>
      <c r="AD36" s="88">
        <v>0.45700000000000002</v>
      </c>
      <c r="AE36" s="88">
        <v>0.47299999999999998</v>
      </c>
      <c r="AF36" s="88">
        <v>0.48899999999999999</v>
      </c>
      <c r="AG36" s="88">
        <v>0.50700000000000001</v>
      </c>
      <c r="AH36" s="88">
        <v>0.52600000000000002</v>
      </c>
      <c r="AI36" s="88">
        <v>0.54600000000000004</v>
      </c>
      <c r="AJ36" s="88">
        <v>0.56699999999999995</v>
      </c>
      <c r="AK36" s="88">
        <v>0.59</v>
      </c>
      <c r="AL36" s="88">
        <v>0.61399999999999999</v>
      </c>
      <c r="AM36" s="88">
        <v>0.64</v>
      </c>
      <c r="AN36" s="88">
        <v>0.66700000000000004</v>
      </c>
      <c r="AO36" s="88">
        <v>0.69699999999999995</v>
      </c>
      <c r="AP36" s="88">
        <v>0.72899999999999998</v>
      </c>
      <c r="AQ36" s="88">
        <v>0.76400000000000001</v>
      </c>
      <c r="AR36" s="88">
        <v>0.80100000000000005</v>
      </c>
      <c r="AS36" s="88">
        <v>0.84199999999999997</v>
      </c>
      <c r="AT36" s="88">
        <v>0.88600000000000001</v>
      </c>
      <c r="AU36" s="88">
        <v>0.93400000000000005</v>
      </c>
      <c r="AV36" s="88">
        <v>0.98699999999999999</v>
      </c>
    </row>
    <row r="37" spans="1:48" x14ac:dyDescent="0.25">
      <c r="A37" s="86">
        <v>10</v>
      </c>
      <c r="B37" s="88">
        <v>0.216</v>
      </c>
      <c r="C37" s="88">
        <v>0.221</v>
      </c>
      <c r="D37" s="88">
        <v>0.22600000000000001</v>
      </c>
      <c r="E37" s="88">
        <v>0.23100000000000001</v>
      </c>
      <c r="F37" s="88">
        <v>0.23599999999999999</v>
      </c>
      <c r="G37" s="88">
        <v>0.24199999999999999</v>
      </c>
      <c r="H37" s="88">
        <v>0.248</v>
      </c>
      <c r="I37" s="88">
        <v>0.254</v>
      </c>
      <c r="J37" s="88">
        <v>0.26</v>
      </c>
      <c r="K37" s="88">
        <v>0.26600000000000001</v>
      </c>
      <c r="L37" s="88">
        <v>0.27300000000000002</v>
      </c>
      <c r="M37" s="88">
        <v>0.28000000000000003</v>
      </c>
      <c r="N37" s="88">
        <v>0.28699999999999998</v>
      </c>
      <c r="O37" s="88">
        <v>0.29499999999999998</v>
      </c>
      <c r="P37" s="88">
        <v>0.30299999999999999</v>
      </c>
      <c r="Q37" s="88">
        <v>0.311</v>
      </c>
      <c r="R37" s="88">
        <v>0.31900000000000001</v>
      </c>
      <c r="S37" s="88">
        <v>0.32800000000000001</v>
      </c>
      <c r="T37" s="88">
        <v>0.33700000000000002</v>
      </c>
      <c r="U37" s="88">
        <v>0.34699999999999998</v>
      </c>
      <c r="V37" s="88">
        <v>0.35699999999999998</v>
      </c>
      <c r="W37" s="88">
        <v>0.36799999999999999</v>
      </c>
      <c r="X37" s="88">
        <v>0.379</v>
      </c>
      <c r="Y37" s="88">
        <v>0.39</v>
      </c>
      <c r="Z37" s="88">
        <v>0.40300000000000002</v>
      </c>
      <c r="AA37" s="88">
        <v>0.41499999999999998</v>
      </c>
      <c r="AB37" s="88">
        <v>0.42899999999999999</v>
      </c>
      <c r="AC37" s="88">
        <v>0.443</v>
      </c>
      <c r="AD37" s="88">
        <v>0.45800000000000002</v>
      </c>
      <c r="AE37" s="88">
        <v>0.47399999999999998</v>
      </c>
      <c r="AF37" s="88">
        <v>0.49099999999999999</v>
      </c>
      <c r="AG37" s="88">
        <v>0.50900000000000001</v>
      </c>
      <c r="AH37" s="88">
        <v>0.52700000000000002</v>
      </c>
      <c r="AI37" s="88">
        <v>0.54700000000000004</v>
      </c>
      <c r="AJ37" s="88">
        <v>0.56899999999999995</v>
      </c>
      <c r="AK37" s="88">
        <v>0.59099999999999997</v>
      </c>
      <c r="AL37" s="88">
        <v>0.61599999999999999</v>
      </c>
      <c r="AM37" s="88">
        <v>0.64200000000000002</v>
      </c>
      <c r="AN37" s="88">
        <v>0.67</v>
      </c>
      <c r="AO37" s="88">
        <v>0.7</v>
      </c>
      <c r="AP37" s="88">
        <v>0.73199999999999998</v>
      </c>
      <c r="AQ37" s="88">
        <v>0.76700000000000002</v>
      </c>
      <c r="AR37" s="88">
        <v>0.80400000000000005</v>
      </c>
      <c r="AS37" s="88">
        <v>0.84499999999999997</v>
      </c>
      <c r="AT37" s="88">
        <v>0.88900000000000001</v>
      </c>
      <c r="AU37" s="88">
        <v>0.93799999999999994</v>
      </c>
      <c r="AV37" s="88">
        <v>0.99099999999999999</v>
      </c>
    </row>
    <row r="38" spans="1:48" x14ac:dyDescent="0.25">
      <c r="A38" s="86">
        <v>11</v>
      </c>
      <c r="B38" s="88">
        <v>0.216</v>
      </c>
      <c r="C38" s="88">
        <v>0.221</v>
      </c>
      <c r="D38" s="88">
        <v>0.22600000000000001</v>
      </c>
      <c r="E38" s="88">
        <v>0.23100000000000001</v>
      </c>
      <c r="F38" s="88">
        <v>0.23699999999999999</v>
      </c>
      <c r="G38" s="88">
        <v>0.24199999999999999</v>
      </c>
      <c r="H38" s="88">
        <v>0.248</v>
      </c>
      <c r="I38" s="88">
        <v>0.254</v>
      </c>
      <c r="J38" s="88">
        <v>0.26</v>
      </c>
      <c r="K38" s="88">
        <v>0.26700000000000002</v>
      </c>
      <c r="L38" s="88">
        <v>0.27400000000000002</v>
      </c>
      <c r="M38" s="88">
        <v>0.28100000000000003</v>
      </c>
      <c r="N38" s="88">
        <v>0.28799999999999998</v>
      </c>
      <c r="O38" s="88">
        <v>0.29499999999999998</v>
      </c>
      <c r="P38" s="88">
        <v>0.30299999999999999</v>
      </c>
      <c r="Q38" s="88">
        <v>0.311</v>
      </c>
      <c r="R38" s="88">
        <v>0.32</v>
      </c>
      <c r="S38" s="88">
        <v>0.32900000000000001</v>
      </c>
      <c r="T38" s="88">
        <v>0.33800000000000002</v>
      </c>
      <c r="U38" s="88">
        <v>0.34799999999999998</v>
      </c>
      <c r="V38" s="88">
        <v>0.35799999999999998</v>
      </c>
      <c r="W38" s="88">
        <v>0.36899999999999999</v>
      </c>
      <c r="X38" s="88">
        <v>0.38</v>
      </c>
      <c r="Y38" s="88">
        <v>0.39100000000000001</v>
      </c>
      <c r="Z38" s="88">
        <v>0.40400000000000003</v>
      </c>
      <c r="AA38" s="88">
        <v>0.41699999999999998</v>
      </c>
      <c r="AB38" s="88">
        <v>0.43</v>
      </c>
      <c r="AC38" s="88">
        <v>0.44400000000000001</v>
      </c>
      <c r="AD38" s="88">
        <v>0.45900000000000002</v>
      </c>
      <c r="AE38" s="88">
        <v>0.47499999999999998</v>
      </c>
      <c r="AF38" s="88">
        <v>0.49199999999999999</v>
      </c>
      <c r="AG38" s="88">
        <v>0.51</v>
      </c>
      <c r="AH38" s="88">
        <v>0.52900000000000003</v>
      </c>
      <c r="AI38" s="88">
        <v>0.54900000000000004</v>
      </c>
      <c r="AJ38" s="88">
        <v>0.57099999999999995</v>
      </c>
      <c r="AK38" s="88">
        <v>0.59299999999999997</v>
      </c>
      <c r="AL38" s="88">
        <v>0.61799999999999999</v>
      </c>
      <c r="AM38" s="88">
        <v>0.64400000000000002</v>
      </c>
      <c r="AN38" s="88">
        <v>0.67200000000000004</v>
      </c>
      <c r="AO38" s="88">
        <v>0.70199999999999996</v>
      </c>
      <c r="AP38" s="88">
        <v>0.73399999999999999</v>
      </c>
      <c r="AQ38" s="88">
        <v>0.76900000000000002</v>
      </c>
      <c r="AR38" s="88">
        <v>0.80700000000000005</v>
      </c>
      <c r="AS38" s="88">
        <v>0.84799999999999998</v>
      </c>
      <c r="AT38" s="88">
        <v>0.89300000000000002</v>
      </c>
      <c r="AU38" s="88">
        <v>0.94199999999999995</v>
      </c>
      <c r="AV38" s="88">
        <v>0.996</v>
      </c>
    </row>
    <row r="39" spans="1:48" x14ac:dyDescent="0.25">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row>
    <row r="40" spans="1:48" x14ac:dyDescent="0.25">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row>
    <row r="41" spans="1:48" x14ac:dyDescent="0.25">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row>
    <row r="42" spans="1:48" x14ac:dyDescent="0.25">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row>
    <row r="43" spans="1:48" x14ac:dyDescent="0.25">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row>
    <row r="44" spans="1:48" ht="39.6" customHeight="1" x14ac:dyDescent="0.25">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row>
    <row r="45" spans="1:48" x14ac:dyDescent="0.25">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row>
    <row r="46" spans="1:48" ht="27.6" customHeight="1" x14ac:dyDescent="0.25">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row>
    <row r="47" spans="1:48" x14ac:dyDescent="0.25">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row>
    <row r="48" spans="1:48" x14ac:dyDescent="0.25">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row>
    <row r="49" spans="2:48" x14ac:dyDescent="0.25">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row>
    <row r="50" spans="2:48" x14ac:dyDescent="0.25">
      <c r="B50" s="82"/>
    </row>
    <row r="51" spans="2:48" x14ac:dyDescent="0.25">
      <c r="B51" s="82"/>
    </row>
    <row r="52" spans="2:48" x14ac:dyDescent="0.25">
      <c r="B52" s="82"/>
    </row>
    <row r="53" spans="2:48" x14ac:dyDescent="0.25">
      <c r="B53" s="82"/>
    </row>
    <row r="54" spans="2:48" x14ac:dyDescent="0.25">
      <c r="B54" s="82"/>
    </row>
  </sheetData>
  <sheetProtection algorithmName="SHA-512" hashValue="drRyW5qiHE+QMgP4ne2KJ9Rpfq8JeMEpBvFdYVUoUahaMeAIW5uPaTvQZzb+9hSVb1bk6pRNR1Y3JzubTZ+ZMw==" saltValue="aqZNVJN/oSau71anz8u76Q==" spinCount="100000" sheet="1" objects="1" scenarios="1"/>
  <conditionalFormatting sqref="A6:A21">
    <cfRule type="expression" dxfId="429" priority="1" stopIfTrue="1">
      <formula>MOD(ROW(),2)=0</formula>
    </cfRule>
    <cfRule type="expression" dxfId="428" priority="2" stopIfTrue="1">
      <formula>MOD(ROW(),2)&lt;&gt;0</formula>
    </cfRule>
  </conditionalFormatting>
  <conditionalFormatting sqref="A26:A38">
    <cfRule type="expression" dxfId="427" priority="3" stopIfTrue="1">
      <formula>MOD(ROW(),2)=0</formula>
    </cfRule>
    <cfRule type="expression" dxfId="426" priority="4" stopIfTrue="1">
      <formula>MOD(ROW(),2)&lt;&gt;0</formula>
    </cfRule>
  </conditionalFormatting>
  <conditionalFormatting sqref="B17:C21">
    <cfRule type="expression" dxfId="425" priority="7" stopIfTrue="1">
      <formula>MOD(ROW(),2)=0</formula>
    </cfRule>
    <cfRule type="expression" dxfId="424" priority="8" stopIfTrue="1">
      <formula>MOD(ROW(),2)&lt;&gt;0</formula>
    </cfRule>
  </conditionalFormatting>
  <conditionalFormatting sqref="B6:AV21">
    <cfRule type="expression" dxfId="423" priority="23" stopIfTrue="1">
      <formula>MOD(ROW(),2)=0</formula>
    </cfRule>
    <cfRule type="expression" dxfId="422" priority="24" stopIfTrue="1">
      <formula>MOD(ROW(),2)&lt;&gt;0</formula>
    </cfRule>
  </conditionalFormatting>
  <conditionalFormatting sqref="B26:AV38">
    <cfRule type="expression" dxfId="421" priority="5" stopIfTrue="1">
      <formula>MOD(ROW(),2)=0</formula>
    </cfRule>
    <cfRule type="expression" dxfId="420" priority="6" stopIfTrue="1">
      <formula>MOD(ROW(),2)&lt;&gt;0</formula>
    </cfRule>
  </conditionalFormatting>
  <hyperlinks>
    <hyperlink ref="B24" location="Assumptions!A1" display="Assumptions" xr:uid="{AACE5220-81B3-462C-B8B2-0098C0F820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3" tint="0.39997558519241921"/>
    <pageSetUpPr autoPageBreaks="0"/>
  </sheetPr>
  <dimension ref="A1:V999"/>
  <sheetViews>
    <sheetView showGridLines="0" tabSelected="1" zoomScale="85" zoomScaleNormal="85" workbookViewId="0">
      <selection activeCell="F6" sqref="F6"/>
    </sheetView>
  </sheetViews>
  <sheetFormatPr defaultRowHeight="13.2" x14ac:dyDescent="0.25"/>
  <cols>
    <col min="1" max="4" width="17.21875" customWidth="1"/>
    <col min="5" max="5" width="50.6640625" customWidth="1"/>
    <col min="6" max="6" width="17.21875" customWidth="1"/>
    <col min="7" max="7" width="50.6640625" customWidth="1"/>
    <col min="8" max="10" width="17.21875" customWidth="1"/>
    <col min="11" max="11" width="30.6640625" customWidth="1"/>
    <col min="12" max="12" width="17.21875" customWidth="1"/>
    <col min="13" max="14" width="17.21875" style="8" customWidth="1"/>
    <col min="15" max="16" width="17.21875" customWidth="1"/>
  </cols>
  <sheetData>
    <row r="1" spans="1:22" ht="21" x14ac:dyDescent="0.4">
      <c r="A1" s="4" t="s">
        <v>0</v>
      </c>
      <c r="B1" s="10"/>
      <c r="C1" s="10"/>
      <c r="D1" s="10"/>
      <c r="E1" s="10"/>
      <c r="F1" s="10"/>
      <c r="G1" s="10"/>
      <c r="H1" s="10"/>
      <c r="I1" s="10"/>
      <c r="J1" s="10"/>
      <c r="K1" s="10"/>
      <c r="L1" s="10"/>
      <c r="M1" s="98"/>
      <c r="N1" s="98"/>
      <c r="O1" s="10"/>
      <c r="P1" s="10"/>
    </row>
    <row r="2" spans="1:22" ht="15.6" x14ac:dyDescent="0.3">
      <c r="A2" s="11" t="str">
        <f>IF(title="&gt; Enter workbook title here","Enter workbook title in Cover sheet",title)</f>
        <v>Fire England - Consolidated Factor Spreadsheet</v>
      </c>
      <c r="B2" s="9"/>
      <c r="C2" s="9"/>
      <c r="D2" s="9"/>
      <c r="E2" s="9"/>
      <c r="F2" s="9"/>
      <c r="G2" s="9"/>
      <c r="H2" s="9"/>
      <c r="I2" s="9"/>
      <c r="J2" s="9"/>
      <c r="K2" s="9"/>
      <c r="L2" s="9"/>
      <c r="M2" s="99"/>
      <c r="N2" s="99"/>
      <c r="O2" s="9"/>
      <c r="P2" s="9"/>
    </row>
    <row r="3" spans="1:22" ht="15.6" x14ac:dyDescent="0.3">
      <c r="A3" s="6" t="s">
        <v>11</v>
      </c>
      <c r="B3" s="9"/>
      <c r="C3" s="9"/>
      <c r="D3" s="9"/>
      <c r="E3" s="9"/>
      <c r="F3" s="9"/>
      <c r="G3" s="9"/>
      <c r="H3" s="9"/>
      <c r="I3" s="9"/>
      <c r="J3" s="9"/>
      <c r="K3" s="9"/>
      <c r="L3" s="9"/>
      <c r="M3" s="99"/>
      <c r="N3" s="99"/>
      <c r="O3" s="9"/>
      <c r="P3" s="9"/>
    </row>
    <row r="4" spans="1:22" x14ac:dyDescent="0.25">
      <c r="A4" s="7"/>
    </row>
    <row r="5" spans="1:22" x14ac:dyDescent="0.25">
      <c r="M5"/>
      <c r="N5"/>
    </row>
    <row r="6" spans="1:22" x14ac:dyDescent="0.25">
      <c r="M6"/>
      <c r="N6"/>
    </row>
    <row r="7" spans="1:22" s="144" customFormat="1" ht="50.25" customHeight="1" x14ac:dyDescent="0.25">
      <c r="A7" s="146" t="s">
        <v>77</v>
      </c>
      <c r="B7" s="146" t="s">
        <v>78</v>
      </c>
      <c r="C7" s="146" t="s">
        <v>79</v>
      </c>
      <c r="D7" s="146" t="s">
        <v>80</v>
      </c>
      <c r="E7" s="146" t="s">
        <v>6</v>
      </c>
      <c r="F7" s="146" t="s">
        <v>81</v>
      </c>
      <c r="G7" s="146" t="s">
        <v>82</v>
      </c>
      <c r="H7" s="146" t="s">
        <v>83</v>
      </c>
      <c r="I7" s="146" t="s">
        <v>84</v>
      </c>
      <c r="J7" s="146" t="s">
        <v>85</v>
      </c>
      <c r="K7" s="154" t="s">
        <v>86</v>
      </c>
      <c r="L7" s="154" t="s">
        <v>87</v>
      </c>
      <c r="M7" s="146" t="s">
        <v>88</v>
      </c>
      <c r="N7" s="155" t="s">
        <v>89</v>
      </c>
      <c r="O7" s="146" t="s">
        <v>90</v>
      </c>
      <c r="P7" s="146" t="s">
        <v>91</v>
      </c>
      <c r="Q7"/>
      <c r="R7"/>
      <c r="S7"/>
      <c r="T7"/>
      <c r="U7"/>
      <c r="V7"/>
    </row>
    <row r="8" spans="1:22" ht="26.4" x14ac:dyDescent="0.25">
      <c r="A8" s="156" t="str">
        <f ca="1">HYPERLINK(MID(CELL("filename",A1),FIND("[",CELL("filename",A1)),FIND("]",CELL("filename",A1)) - FIND("[",CELL("filename",A1)) + 1) &amp; "'x-201'!TABLE_CLIENT_1","x-201 1")</f>
        <v>x-201 1</v>
      </c>
      <c r="B8" s="149" t="s">
        <v>67</v>
      </c>
      <c r="C8" s="149">
        <v>1992</v>
      </c>
      <c r="D8" s="149" t="s">
        <v>92</v>
      </c>
      <c r="E8" s="149" t="s">
        <v>93</v>
      </c>
      <c r="F8" s="149" t="s">
        <v>94</v>
      </c>
      <c r="G8" s="149" t="s">
        <v>95</v>
      </c>
      <c r="H8" s="149">
        <v>2</v>
      </c>
      <c r="I8" s="72">
        <v>201</v>
      </c>
      <c r="J8" t="s">
        <v>96</v>
      </c>
      <c r="K8" s="73" t="s">
        <v>97</v>
      </c>
      <c r="L8" s="73"/>
      <c r="M8" s="157">
        <v>45070</v>
      </c>
      <c r="N8" s="157">
        <v>45014</v>
      </c>
      <c r="O8" s="149" t="s">
        <v>98</v>
      </c>
      <c r="P8" s="157" t="s">
        <v>99</v>
      </c>
    </row>
    <row r="9" spans="1:22" ht="26.4" x14ac:dyDescent="0.25">
      <c r="A9" s="156" t="str">
        <f ca="1">HYPERLINK(MID(CELL("filename",A1),FIND("[",CELL("filename",A1)),FIND("]",CELL("filename",A1)) - FIND("[",CELL("filename",A1)) + 1) &amp; "'x-202'!TABLE_CLIENT_1","x-202 1")</f>
        <v>x-202 1</v>
      </c>
      <c r="B9" s="149" t="s">
        <v>67</v>
      </c>
      <c r="C9" s="149">
        <v>1992</v>
      </c>
      <c r="D9" s="149" t="s">
        <v>92</v>
      </c>
      <c r="E9" s="149" t="s">
        <v>93</v>
      </c>
      <c r="F9" s="149" t="s">
        <v>100</v>
      </c>
      <c r="G9" s="149" t="s">
        <v>95</v>
      </c>
      <c r="H9" s="149">
        <v>2</v>
      </c>
      <c r="I9" s="72">
        <v>202</v>
      </c>
      <c r="J9" t="s">
        <v>101</v>
      </c>
      <c r="K9" s="73" t="s">
        <v>102</v>
      </c>
      <c r="L9" s="73"/>
      <c r="M9" s="157">
        <v>45070</v>
      </c>
      <c r="N9" s="157">
        <v>45014</v>
      </c>
      <c r="O9" s="149" t="s">
        <v>98</v>
      </c>
      <c r="P9" s="157" t="s">
        <v>99</v>
      </c>
    </row>
    <row r="10" spans="1:22" ht="26.4" x14ac:dyDescent="0.25">
      <c r="A10" s="156" t="str">
        <f ca="1">HYPERLINK(MID(CELL("filename",A1),FIND("[",CELL("filename",A1)),FIND("]",CELL("filename",A1)) - FIND("[",CELL("filename",A1)) + 1) &amp; "'x-203'!TABLE_CLIENT_1","x-203 1")</f>
        <v>x-203 1</v>
      </c>
      <c r="B10" s="149" t="s">
        <v>67</v>
      </c>
      <c r="C10" s="149">
        <v>2006</v>
      </c>
      <c r="D10" s="149" t="s">
        <v>92</v>
      </c>
      <c r="E10" s="149" t="s">
        <v>103</v>
      </c>
      <c r="F10" s="149" t="s">
        <v>94</v>
      </c>
      <c r="G10" s="149" t="s">
        <v>95</v>
      </c>
      <c r="H10" s="149">
        <v>1</v>
      </c>
      <c r="I10" s="72">
        <v>203</v>
      </c>
      <c r="J10" t="s">
        <v>104</v>
      </c>
      <c r="K10" s="73" t="s">
        <v>97</v>
      </c>
      <c r="L10" s="73"/>
      <c r="M10" s="157">
        <v>45070</v>
      </c>
      <c r="N10" s="157">
        <v>45014</v>
      </c>
      <c r="O10" s="149" t="s">
        <v>98</v>
      </c>
      <c r="P10" s="157" t="s">
        <v>99</v>
      </c>
    </row>
    <row r="11" spans="1:22" ht="26.4" x14ac:dyDescent="0.25">
      <c r="A11" s="156" t="str">
        <f ca="1">HYPERLINK(MID(CELL("filename",A1),FIND("[",CELL("filename",A1)),FIND("]",CELL("filename",A1)) - FIND("[",CELL("filename",A1)) + 1) &amp; "'x-204'!TABLE_CLIENT_1","x-204 1")</f>
        <v>x-204 1</v>
      </c>
      <c r="B11" s="149" t="s">
        <v>67</v>
      </c>
      <c r="C11" s="149">
        <v>2006</v>
      </c>
      <c r="D11" s="149" t="s">
        <v>92</v>
      </c>
      <c r="E11" s="149" t="s">
        <v>105</v>
      </c>
      <c r="F11" s="149" t="s">
        <v>100</v>
      </c>
      <c r="G11" s="149" t="s">
        <v>95</v>
      </c>
      <c r="H11" s="149">
        <v>1</v>
      </c>
      <c r="I11" s="72">
        <v>204</v>
      </c>
      <c r="J11" t="s">
        <v>106</v>
      </c>
      <c r="K11" s="73" t="s">
        <v>102</v>
      </c>
      <c r="L11" s="73"/>
      <c r="M11" s="157">
        <v>45070</v>
      </c>
      <c r="N11" s="157">
        <v>45014</v>
      </c>
      <c r="O11" s="149" t="s">
        <v>98</v>
      </c>
      <c r="P11" s="157" t="s">
        <v>99</v>
      </c>
    </row>
    <row r="12" spans="1:22" ht="26.4" x14ac:dyDescent="0.25">
      <c r="A12" s="156" t="str">
        <f ca="1">HYPERLINK(MID(CELL("filename",A1),FIND("[",CELL("filename",A1)),FIND("]",CELL("filename",A1)) - FIND("[",CELL("filename",A1)) + 1) &amp; "'x-205'!TABLE_CLIENT_1","x-205 1")</f>
        <v>x-205 1</v>
      </c>
      <c r="B12" s="149" t="s">
        <v>67</v>
      </c>
      <c r="C12" s="149">
        <v>2006</v>
      </c>
      <c r="D12" s="149" t="s">
        <v>92</v>
      </c>
      <c r="E12" s="149" t="s">
        <v>107</v>
      </c>
      <c r="F12" s="149" t="s">
        <v>100</v>
      </c>
      <c r="G12" s="149" t="s">
        <v>95</v>
      </c>
      <c r="H12" s="149">
        <v>1</v>
      </c>
      <c r="I12" s="72">
        <v>205</v>
      </c>
      <c r="J12" t="s">
        <v>108</v>
      </c>
      <c r="K12" s="73" t="s">
        <v>109</v>
      </c>
      <c r="L12" s="73"/>
      <c r="M12" s="157">
        <v>45070</v>
      </c>
      <c r="N12" s="157">
        <v>45014</v>
      </c>
      <c r="O12" s="149" t="s">
        <v>98</v>
      </c>
      <c r="P12" s="157" t="s">
        <v>99</v>
      </c>
    </row>
    <row r="13" spans="1:22" ht="26.4" x14ac:dyDescent="0.25">
      <c r="A13" s="156" t="str">
        <f ca="1">HYPERLINK(MID(CELL("filename",A1),FIND("[",CELL("filename",A1)),FIND("]",CELL("filename",A1)) - FIND("[",CELL("filename",A1)) + 1) &amp; "'x-206'!TABLE_CLIENT_1","x-206 1")</f>
        <v>x-206 1</v>
      </c>
      <c r="B13" s="149" t="s">
        <v>67</v>
      </c>
      <c r="C13" s="149">
        <v>2006</v>
      </c>
      <c r="D13" s="149" t="s">
        <v>92</v>
      </c>
      <c r="E13" s="149" t="s">
        <v>93</v>
      </c>
      <c r="F13" s="149" t="s">
        <v>94</v>
      </c>
      <c r="G13" s="149" t="s">
        <v>95</v>
      </c>
      <c r="H13" s="149">
        <v>1</v>
      </c>
      <c r="I13" s="72">
        <v>206</v>
      </c>
      <c r="J13" t="s">
        <v>110</v>
      </c>
      <c r="K13" s="73" t="s">
        <v>111</v>
      </c>
      <c r="L13" s="73"/>
      <c r="M13" s="157">
        <v>45070</v>
      </c>
      <c r="N13" s="157">
        <v>45014</v>
      </c>
      <c r="O13" s="149" t="s">
        <v>98</v>
      </c>
      <c r="P13" s="157" t="s">
        <v>99</v>
      </c>
    </row>
    <row r="14" spans="1:22" ht="26.4" x14ac:dyDescent="0.25">
      <c r="A14" s="156" t="str">
        <f ca="1">HYPERLINK(MID(CELL("filename",A1),FIND("[",CELL("filename",A1)),FIND("]",CELL("filename",A1)) - FIND("[",CELL("filename",A1)) + 1) &amp; "'x-207'!TABLE_CLIENT_1","x-207 1")</f>
        <v>x-207 1</v>
      </c>
      <c r="B14" s="149" t="s">
        <v>67</v>
      </c>
      <c r="C14" s="149">
        <v>2006</v>
      </c>
      <c r="D14" s="149" t="s">
        <v>92</v>
      </c>
      <c r="E14" s="149" t="s">
        <v>93</v>
      </c>
      <c r="F14" s="149" t="s">
        <v>100</v>
      </c>
      <c r="G14" s="149" t="s">
        <v>95</v>
      </c>
      <c r="H14" s="149">
        <v>1</v>
      </c>
      <c r="I14" s="72">
        <v>207</v>
      </c>
      <c r="J14" t="s">
        <v>112</v>
      </c>
      <c r="K14" s="73" t="s">
        <v>113</v>
      </c>
      <c r="L14" s="73"/>
      <c r="M14" s="157">
        <v>45070</v>
      </c>
      <c r="N14" s="157">
        <v>45014</v>
      </c>
      <c r="O14" s="149" t="s">
        <v>98</v>
      </c>
      <c r="P14" s="157" t="s">
        <v>99</v>
      </c>
    </row>
    <row r="15" spans="1:22" ht="26.4" x14ac:dyDescent="0.25">
      <c r="A15" s="156" t="str">
        <f ca="1">HYPERLINK(MID(CELL("filename",A1),FIND("[",CELL("filename",A1)),FIND("]",CELL("filename",A1)) - FIND("[",CELL("filename",A1)) + 1) &amp; "'x-208'!TABLE_CLIENT_1","x-208 1")</f>
        <v>x-208 1</v>
      </c>
      <c r="B15" s="149" t="s">
        <v>67</v>
      </c>
      <c r="C15" s="149">
        <v>2015</v>
      </c>
      <c r="D15" s="149" t="s">
        <v>92</v>
      </c>
      <c r="E15" s="149" t="s">
        <v>114</v>
      </c>
      <c r="F15" s="149" t="s">
        <v>94</v>
      </c>
      <c r="G15" s="149" t="s">
        <v>95</v>
      </c>
      <c r="H15" s="149">
        <v>0</v>
      </c>
      <c r="I15" s="72">
        <v>208</v>
      </c>
      <c r="J15" t="s">
        <v>115</v>
      </c>
      <c r="K15" s="73" t="s">
        <v>116</v>
      </c>
      <c r="L15" s="73"/>
      <c r="M15" s="157">
        <v>45070</v>
      </c>
      <c r="N15" s="157">
        <v>45014</v>
      </c>
      <c r="O15" s="149" t="s">
        <v>98</v>
      </c>
      <c r="P15" s="157" t="s">
        <v>99</v>
      </c>
    </row>
    <row r="16" spans="1:22" ht="26.4" x14ac:dyDescent="0.25">
      <c r="A16" s="156" t="str">
        <f ca="1">HYPERLINK(MID(CELL("filename",A1),FIND("[",CELL("filename",A1)),FIND("]",CELL("filename",A1)) - FIND("[",CELL("filename",A1)) + 1) &amp; "'x-209'!TABLE_CLIENT_1","x-209 1")</f>
        <v>x-209 1</v>
      </c>
      <c r="B16" s="149" t="s">
        <v>67</v>
      </c>
      <c r="C16" s="149">
        <v>2015</v>
      </c>
      <c r="D16" s="149" t="s">
        <v>92</v>
      </c>
      <c r="E16" s="149" t="s">
        <v>114</v>
      </c>
      <c r="F16" s="149" t="s">
        <v>100</v>
      </c>
      <c r="G16" s="149" t="s">
        <v>95</v>
      </c>
      <c r="H16" s="149">
        <v>0</v>
      </c>
      <c r="I16" s="72">
        <v>209</v>
      </c>
      <c r="J16" t="s">
        <v>117</v>
      </c>
      <c r="K16" s="73" t="s">
        <v>118</v>
      </c>
      <c r="L16" s="73"/>
      <c r="M16" s="157">
        <v>45070</v>
      </c>
      <c r="N16" s="157">
        <v>45014</v>
      </c>
      <c r="O16" s="149" t="s">
        <v>98</v>
      </c>
      <c r="P16" s="157" t="s">
        <v>99</v>
      </c>
    </row>
    <row r="17" spans="1:16" ht="26.4" x14ac:dyDescent="0.25">
      <c r="A17" s="156" t="str">
        <f ca="1">HYPERLINK(MID(CELL("filename",A1),FIND("[",CELL("filename",A1)),FIND("]",CELL("filename",A1)) - FIND("[",CELL("filename",A1)) + 1) &amp; "'x-210'!TABLE_CLIENT_1","x-210 1")</f>
        <v>x-210 1</v>
      </c>
      <c r="B17" s="149" t="s">
        <v>67</v>
      </c>
      <c r="C17" s="149">
        <v>2015</v>
      </c>
      <c r="D17" s="149" t="s">
        <v>92</v>
      </c>
      <c r="E17" s="149" t="s">
        <v>119</v>
      </c>
      <c r="F17" s="149" t="s">
        <v>94</v>
      </c>
      <c r="G17" s="149" t="s">
        <v>95</v>
      </c>
      <c r="H17" s="149">
        <v>0</v>
      </c>
      <c r="I17" s="72">
        <v>210</v>
      </c>
      <c r="J17" t="s">
        <v>120</v>
      </c>
      <c r="K17" s="73" t="s">
        <v>121</v>
      </c>
      <c r="L17" s="73"/>
      <c r="M17" s="157">
        <v>45070</v>
      </c>
      <c r="N17" s="157">
        <v>45014</v>
      </c>
      <c r="O17" s="149" t="s">
        <v>98</v>
      </c>
      <c r="P17" s="157" t="s">
        <v>99</v>
      </c>
    </row>
    <row r="18" spans="1:16" ht="26.4" x14ac:dyDescent="0.25">
      <c r="A18" s="156" t="str">
        <f ca="1">HYPERLINK(MID(CELL("filename",A1),FIND("[",CELL("filename",A1)),FIND("]",CELL("filename",A1)) - FIND("[",CELL("filename",A1)) + 1) &amp; "'x-211'!TABLE_CLIENT_1","x-211 1")</f>
        <v>x-211 1</v>
      </c>
      <c r="B18" s="149" t="s">
        <v>67</v>
      </c>
      <c r="C18" s="149">
        <v>2015</v>
      </c>
      <c r="D18" s="149" t="s">
        <v>92</v>
      </c>
      <c r="E18" s="149" t="s">
        <v>119</v>
      </c>
      <c r="F18" s="149" t="s">
        <v>100</v>
      </c>
      <c r="G18" s="149" t="s">
        <v>95</v>
      </c>
      <c r="H18" s="149">
        <v>0</v>
      </c>
      <c r="I18" s="72">
        <v>211</v>
      </c>
      <c r="J18" t="s">
        <v>122</v>
      </c>
      <c r="K18" s="73" t="s">
        <v>123</v>
      </c>
      <c r="L18" s="73"/>
      <c r="M18" s="157">
        <v>45070</v>
      </c>
      <c r="N18" s="157">
        <v>45014</v>
      </c>
      <c r="O18" s="149" t="s">
        <v>98</v>
      </c>
      <c r="P18" s="157" t="s">
        <v>99</v>
      </c>
    </row>
    <row r="19" spans="1:16" ht="26.4" x14ac:dyDescent="0.25">
      <c r="A19" s="156" t="str">
        <f ca="1">HYPERLINK(MID(CELL("filename",A1),FIND("[",CELL("filename",A1)),FIND("]",CELL("filename",A1)) - FIND("[",CELL("filename",A1)) + 1) &amp; "'x-212'!TABLE_CLIENT_1","x-212 1")</f>
        <v>x-212 1</v>
      </c>
      <c r="B19" s="149" t="s">
        <v>67</v>
      </c>
      <c r="C19" s="149">
        <v>2015</v>
      </c>
      <c r="D19" s="149" t="s">
        <v>92</v>
      </c>
      <c r="E19" s="149" t="s">
        <v>124</v>
      </c>
      <c r="F19" s="149" t="s">
        <v>94</v>
      </c>
      <c r="G19" s="149" t="s">
        <v>95</v>
      </c>
      <c r="H19" s="149">
        <v>0</v>
      </c>
      <c r="I19" s="72">
        <v>212</v>
      </c>
      <c r="J19" t="s">
        <v>125</v>
      </c>
      <c r="K19" s="73" t="s">
        <v>126</v>
      </c>
      <c r="L19" s="73"/>
      <c r="M19" s="157">
        <v>45070</v>
      </c>
      <c r="N19" s="157">
        <v>45014</v>
      </c>
      <c r="O19" s="149" t="s">
        <v>98</v>
      </c>
      <c r="P19" s="157" t="s">
        <v>99</v>
      </c>
    </row>
    <row r="20" spans="1:16" ht="26.4" x14ac:dyDescent="0.25">
      <c r="A20" s="156" t="str">
        <f ca="1">HYPERLINK(MID(CELL("filename",A1),FIND("[",CELL("filename",A1)),FIND("]",CELL("filename",A1)) - FIND("[",CELL("filename",A1)) + 1) &amp; "'x-213'!TABLE_CLIENT_1","x-213 1")</f>
        <v>x-213 1</v>
      </c>
      <c r="B20" s="149" t="s">
        <v>67</v>
      </c>
      <c r="C20" s="149">
        <v>2015</v>
      </c>
      <c r="D20" s="149" t="s">
        <v>92</v>
      </c>
      <c r="E20" s="149" t="s">
        <v>124</v>
      </c>
      <c r="F20" s="149" t="s">
        <v>100</v>
      </c>
      <c r="G20" s="149" t="s">
        <v>95</v>
      </c>
      <c r="H20" s="149">
        <v>0</v>
      </c>
      <c r="I20" s="72">
        <v>213</v>
      </c>
      <c r="J20" t="s">
        <v>127</v>
      </c>
      <c r="K20" s="73" t="s">
        <v>128</v>
      </c>
      <c r="L20" s="73"/>
      <c r="M20" s="157">
        <v>45070</v>
      </c>
      <c r="N20" s="157">
        <v>45014</v>
      </c>
      <c r="O20" s="149" t="s">
        <v>98</v>
      </c>
      <c r="P20" s="157" t="s">
        <v>99</v>
      </c>
    </row>
    <row r="21" spans="1:16" ht="26.4" x14ac:dyDescent="0.25">
      <c r="A21" s="156" t="str">
        <f ca="1">HYPERLINK(MID(CELL("filename",A1),FIND("[",CELL("filename",A1)),FIND("]",CELL("filename",A1)) - FIND("[",CELL("filename",A1)) + 1) &amp; "'x-214'!TABLE_CLIENT_1","x-214 1")</f>
        <v>x-214 1</v>
      </c>
      <c r="B21" s="149" t="s">
        <v>67</v>
      </c>
      <c r="C21" s="149">
        <v>2015</v>
      </c>
      <c r="D21" s="149" t="s">
        <v>92</v>
      </c>
      <c r="E21" s="149" t="s">
        <v>129</v>
      </c>
      <c r="F21" s="149" t="s">
        <v>94</v>
      </c>
      <c r="G21" s="149" t="s">
        <v>95</v>
      </c>
      <c r="H21" s="149">
        <v>0</v>
      </c>
      <c r="I21" s="72">
        <v>214</v>
      </c>
      <c r="J21" t="s">
        <v>130</v>
      </c>
      <c r="K21" s="73" t="s">
        <v>131</v>
      </c>
      <c r="L21" s="73"/>
      <c r="M21" s="157">
        <v>45070</v>
      </c>
      <c r="N21" s="157">
        <v>45014</v>
      </c>
      <c r="O21" s="149" t="s">
        <v>98</v>
      </c>
      <c r="P21" s="157" t="s">
        <v>99</v>
      </c>
    </row>
    <row r="22" spans="1:16" ht="26.4" x14ac:dyDescent="0.25">
      <c r="A22" s="156" t="str">
        <f ca="1">HYPERLINK(MID(CELL("filename",A1),FIND("[",CELL("filename",A1)),FIND("]",CELL("filename",A1)) - FIND("[",CELL("filename",A1)) + 1) &amp; "'x-215'!TABLE_CLIENT_1","x-215 1")</f>
        <v>x-215 1</v>
      </c>
      <c r="B22" s="149" t="s">
        <v>67</v>
      </c>
      <c r="C22" s="149">
        <v>2015</v>
      </c>
      <c r="D22" s="149" t="s">
        <v>92</v>
      </c>
      <c r="E22" s="149" t="s">
        <v>129</v>
      </c>
      <c r="F22" s="149" t="s">
        <v>100</v>
      </c>
      <c r="G22" s="149" t="s">
        <v>95</v>
      </c>
      <c r="H22" s="149">
        <v>0</v>
      </c>
      <c r="I22" s="72">
        <v>215</v>
      </c>
      <c r="J22" t="s">
        <v>132</v>
      </c>
      <c r="K22" s="73" t="s">
        <v>133</v>
      </c>
      <c r="L22" s="73"/>
      <c r="M22" s="157">
        <v>45070</v>
      </c>
      <c r="N22" s="157">
        <v>45014</v>
      </c>
      <c r="O22" s="149" t="s">
        <v>98</v>
      </c>
      <c r="P22" s="157" t="s">
        <v>99</v>
      </c>
    </row>
    <row r="23" spans="1:16" ht="26.4" x14ac:dyDescent="0.25">
      <c r="A23" s="156" t="str">
        <f ca="1">HYPERLINK(MID(CELL("filename",A1),FIND("[",CELL("filename",A1)),FIND("]",CELL("filename",A1)) - FIND("[",CELL("filename",A1)) + 1) &amp; "'x-220'!TABLE_CLIENT_1","x-220 1")</f>
        <v>x-220 1</v>
      </c>
      <c r="B23" s="149" t="s">
        <v>67</v>
      </c>
      <c r="C23" s="149">
        <v>2015</v>
      </c>
      <c r="D23" s="149" t="s">
        <v>134</v>
      </c>
      <c r="E23" s="149" t="s">
        <v>135</v>
      </c>
      <c r="F23" s="149" t="s">
        <v>94</v>
      </c>
      <c r="G23" s="149" t="s">
        <v>95</v>
      </c>
      <c r="H23" s="149">
        <v>0</v>
      </c>
      <c r="I23" s="72">
        <v>220</v>
      </c>
      <c r="J23" t="s">
        <v>136</v>
      </c>
      <c r="K23" s="73" t="s">
        <v>137</v>
      </c>
      <c r="L23" s="73"/>
      <c r="M23" s="157">
        <v>45106</v>
      </c>
      <c r="N23" s="157">
        <v>45014</v>
      </c>
      <c r="O23" s="149" t="s">
        <v>98</v>
      </c>
      <c r="P23" s="157" t="s">
        <v>99</v>
      </c>
    </row>
    <row r="24" spans="1:16" ht="26.4" x14ac:dyDescent="0.25">
      <c r="A24" s="156" t="str">
        <f ca="1">HYPERLINK(MID(CELL("filename",A1),FIND("[",CELL("filename",A1)),FIND("]",CELL("filename",A1)) - FIND("[",CELL("filename",A1)) + 1) &amp; "'x-221'!TABLE_CLIENT_1","x-221 1")</f>
        <v>x-221 1</v>
      </c>
      <c r="B24" s="149" t="s">
        <v>67</v>
      </c>
      <c r="C24" s="149">
        <v>2015</v>
      </c>
      <c r="D24" s="149" t="s">
        <v>134</v>
      </c>
      <c r="E24" s="149" t="s">
        <v>135</v>
      </c>
      <c r="F24" s="149" t="s">
        <v>100</v>
      </c>
      <c r="G24" s="149" t="s">
        <v>95</v>
      </c>
      <c r="H24" s="149">
        <v>0</v>
      </c>
      <c r="I24" s="72">
        <v>221</v>
      </c>
      <c r="J24" t="s">
        <v>138</v>
      </c>
      <c r="K24" s="73" t="s">
        <v>139</v>
      </c>
      <c r="L24" s="73"/>
      <c r="M24" s="157">
        <v>45106</v>
      </c>
      <c r="N24" s="157">
        <v>45014</v>
      </c>
      <c r="O24" s="149" t="s">
        <v>98</v>
      </c>
      <c r="P24" s="157" t="s">
        <v>99</v>
      </c>
    </row>
    <row r="25" spans="1:16" ht="26.4" x14ac:dyDescent="0.25">
      <c r="A25" s="156" t="str">
        <f ca="1">HYPERLINK(MID(CELL("filename",A1),FIND("[",CELL("filename",A1)),FIND("]",CELL("filename",A1)) - FIND("[",CELL("filename",A1)) + 1) &amp; "'x-301'!TABLE_CLIENT_1","x-301 1")</f>
        <v>x-301 1</v>
      </c>
      <c r="B25" s="149" t="s">
        <v>67</v>
      </c>
      <c r="C25" s="149">
        <v>1992</v>
      </c>
      <c r="D25" s="149" t="s">
        <v>140</v>
      </c>
      <c r="E25" s="149" t="s">
        <v>141</v>
      </c>
      <c r="F25" s="149" t="s">
        <v>94</v>
      </c>
      <c r="G25" s="149" t="s">
        <v>95</v>
      </c>
      <c r="H25" s="149">
        <v>2</v>
      </c>
      <c r="I25" s="72">
        <v>301</v>
      </c>
      <c r="J25" t="s">
        <v>142</v>
      </c>
      <c r="K25" s="73" t="s">
        <v>143</v>
      </c>
      <c r="L25" s="73"/>
      <c r="M25" s="157">
        <v>45070</v>
      </c>
      <c r="N25" s="157">
        <v>45014</v>
      </c>
      <c r="O25" s="149" t="s">
        <v>98</v>
      </c>
      <c r="P25" s="157" t="s">
        <v>99</v>
      </c>
    </row>
    <row r="26" spans="1:16" ht="26.4" x14ac:dyDescent="0.25">
      <c r="A26" s="156" t="str">
        <f ca="1">HYPERLINK(MID(CELL("filename",A1),FIND("[",CELL("filename",A1)),FIND("]",CELL("filename",A1)) - FIND("[",CELL("filename",A1)) + 1) &amp; "'x-302'!TABLE_CLIENT_1","x-302 1")</f>
        <v>x-302 1</v>
      </c>
      <c r="B26" s="149" t="s">
        <v>67</v>
      </c>
      <c r="C26" s="149">
        <v>1992</v>
      </c>
      <c r="D26" s="149" t="s">
        <v>140</v>
      </c>
      <c r="E26" s="149" t="s">
        <v>141</v>
      </c>
      <c r="F26" s="149" t="s">
        <v>100</v>
      </c>
      <c r="G26" s="149" t="s">
        <v>95</v>
      </c>
      <c r="H26" s="149">
        <v>2</v>
      </c>
      <c r="I26" s="72">
        <v>302</v>
      </c>
      <c r="J26" t="s">
        <v>144</v>
      </c>
      <c r="K26" s="73" t="s">
        <v>145</v>
      </c>
      <c r="L26" s="73"/>
      <c r="M26" s="157">
        <v>45070</v>
      </c>
      <c r="N26" s="157">
        <v>45014</v>
      </c>
      <c r="O26" s="149" t="s">
        <v>98</v>
      </c>
      <c r="P26" s="157" t="s">
        <v>99</v>
      </c>
    </row>
    <row r="27" spans="1:16" ht="26.4" x14ac:dyDescent="0.25">
      <c r="A27" s="156" t="str">
        <f ca="1">HYPERLINK(MID(CELL("filename",A1),FIND("[",CELL("filename",A1)),FIND("]",CELL("filename",A1)) - FIND("[",CELL("filename",A1)) + 1) &amp; "'x-303'!TABLE_CLIENT_1","x-303 1")</f>
        <v>x-303 1</v>
      </c>
      <c r="B27" s="149" t="s">
        <v>67</v>
      </c>
      <c r="C27" s="149">
        <v>1992</v>
      </c>
      <c r="D27" s="149" t="s">
        <v>140</v>
      </c>
      <c r="E27" s="149" t="s">
        <v>146</v>
      </c>
      <c r="F27" s="149" t="s">
        <v>94</v>
      </c>
      <c r="G27" s="149" t="s">
        <v>95</v>
      </c>
      <c r="H27" s="149">
        <v>2</v>
      </c>
      <c r="I27" s="72">
        <v>303</v>
      </c>
      <c r="J27" t="s">
        <v>147</v>
      </c>
      <c r="K27" s="73" t="s">
        <v>148</v>
      </c>
      <c r="L27" s="73"/>
      <c r="M27" s="157">
        <v>45070</v>
      </c>
      <c r="N27" s="157">
        <v>45014</v>
      </c>
      <c r="O27" s="149" t="s">
        <v>98</v>
      </c>
      <c r="P27" s="157" t="s">
        <v>99</v>
      </c>
    </row>
    <row r="28" spans="1:16" ht="26.4" x14ac:dyDescent="0.25">
      <c r="A28" s="156" t="str">
        <f ca="1">HYPERLINK(MID(CELL("filename",A1),FIND("[",CELL("filename",A1)),FIND("]",CELL("filename",A1)) - FIND("[",CELL("filename",A1)) + 1) &amp; "'x-304'!TABLE_CLIENT_1","x-304 1")</f>
        <v>x-304 1</v>
      </c>
      <c r="B28" s="149" t="s">
        <v>67</v>
      </c>
      <c r="C28" s="149">
        <v>1992</v>
      </c>
      <c r="D28" s="149" t="s">
        <v>140</v>
      </c>
      <c r="E28" s="149" t="s">
        <v>146</v>
      </c>
      <c r="F28" s="149" t="s">
        <v>100</v>
      </c>
      <c r="G28" s="149" t="s">
        <v>95</v>
      </c>
      <c r="H28" s="149">
        <v>2</v>
      </c>
      <c r="I28" s="72">
        <v>304</v>
      </c>
      <c r="J28" t="s">
        <v>149</v>
      </c>
      <c r="K28" s="73" t="s">
        <v>150</v>
      </c>
      <c r="L28" s="73"/>
      <c r="M28" s="157">
        <v>45070</v>
      </c>
      <c r="N28" s="157">
        <v>45014</v>
      </c>
      <c r="O28" s="149" t="s">
        <v>98</v>
      </c>
      <c r="P28" s="157" t="s">
        <v>99</v>
      </c>
    </row>
    <row r="29" spans="1:16" ht="26.4" x14ac:dyDescent="0.25">
      <c r="A29" s="156" t="str">
        <f ca="1">HYPERLINK(MID(CELL("filename",A1),FIND("[",CELL("filename",A1)),FIND("]",CELL("filename",A1)) - FIND("[",CELL("filename",A1)) + 1) &amp; "'x-305'!TABLE_CLIENT_1","x-305 1")</f>
        <v>x-305 1</v>
      </c>
      <c r="B29" s="149" t="s">
        <v>67</v>
      </c>
      <c r="C29" s="149">
        <v>2006</v>
      </c>
      <c r="D29" s="149" t="s">
        <v>140</v>
      </c>
      <c r="E29" s="149" t="s">
        <v>141</v>
      </c>
      <c r="F29" s="149" t="s">
        <v>94</v>
      </c>
      <c r="G29" s="149" t="s">
        <v>95</v>
      </c>
      <c r="H29" s="149">
        <v>1</v>
      </c>
      <c r="I29" s="72">
        <v>305</v>
      </c>
      <c r="J29" t="s">
        <v>151</v>
      </c>
      <c r="K29" s="73" t="s">
        <v>143</v>
      </c>
      <c r="L29" s="73"/>
      <c r="M29" s="157">
        <v>45070</v>
      </c>
      <c r="N29" s="157">
        <v>45014</v>
      </c>
      <c r="O29" s="149" t="s">
        <v>98</v>
      </c>
      <c r="P29" s="157" t="s">
        <v>99</v>
      </c>
    </row>
    <row r="30" spans="1:16" ht="26.4" x14ac:dyDescent="0.25">
      <c r="A30" s="156" t="str">
        <f ca="1">HYPERLINK(MID(CELL("filename",A1),FIND("[",CELL("filename",A1)),FIND("]",CELL("filename",A1)) - FIND("[",CELL("filename",A1)) + 1) &amp; "'x-306'!TABLE_CLIENT_1","x-306 1")</f>
        <v>x-306 1</v>
      </c>
      <c r="B30" s="149" t="s">
        <v>67</v>
      </c>
      <c r="C30" s="149">
        <v>2006</v>
      </c>
      <c r="D30" s="149" t="s">
        <v>140</v>
      </c>
      <c r="E30" s="149" t="s">
        <v>141</v>
      </c>
      <c r="F30" s="149" t="s">
        <v>100</v>
      </c>
      <c r="G30" s="149" t="s">
        <v>95</v>
      </c>
      <c r="H30" s="149">
        <v>1</v>
      </c>
      <c r="I30" s="72">
        <v>306</v>
      </c>
      <c r="J30" t="s">
        <v>152</v>
      </c>
      <c r="K30" s="73" t="s">
        <v>145</v>
      </c>
      <c r="L30" s="73"/>
      <c r="M30" s="157">
        <v>45070</v>
      </c>
      <c r="N30" s="157">
        <v>45014</v>
      </c>
      <c r="O30" s="149" t="s">
        <v>98</v>
      </c>
      <c r="P30" s="157" t="s">
        <v>99</v>
      </c>
    </row>
    <row r="31" spans="1:16" ht="26.4" x14ac:dyDescent="0.25">
      <c r="A31" s="156" t="str">
        <f ca="1">HYPERLINK(MID(CELL("filename",A1),FIND("[",CELL("filename",A1)),FIND("]",CELL("filename",A1)) - FIND("[",CELL("filename",A1)) + 1) &amp; "'x-307'!TABLE_CLIENT_1","x-307 1")</f>
        <v>x-307 1</v>
      </c>
      <c r="B31" s="149" t="s">
        <v>67</v>
      </c>
      <c r="C31" s="149">
        <v>2006</v>
      </c>
      <c r="D31" s="149" t="s">
        <v>140</v>
      </c>
      <c r="E31" s="149" t="s">
        <v>146</v>
      </c>
      <c r="F31" s="149" t="s">
        <v>94</v>
      </c>
      <c r="G31" s="149" t="s">
        <v>95</v>
      </c>
      <c r="H31" s="149">
        <v>1</v>
      </c>
      <c r="I31" s="72">
        <v>307</v>
      </c>
      <c r="J31" t="s">
        <v>153</v>
      </c>
      <c r="K31" s="73" t="s">
        <v>148</v>
      </c>
      <c r="L31" s="73"/>
      <c r="M31" s="157">
        <v>45070</v>
      </c>
      <c r="N31" s="157">
        <v>45014</v>
      </c>
      <c r="O31" s="149" t="s">
        <v>98</v>
      </c>
      <c r="P31" s="157" t="s">
        <v>99</v>
      </c>
    </row>
    <row r="32" spans="1:16" ht="26.4" x14ac:dyDescent="0.25">
      <c r="A32" s="156" t="str">
        <f ca="1">HYPERLINK(MID(CELL("filename",A1),FIND("[",CELL("filename",A1)),FIND("]",CELL("filename",A1)) - FIND("[",CELL("filename",A1)) + 1) &amp; "'x-308'!TABLE_CLIENT_1","x-308 1")</f>
        <v>x-308 1</v>
      </c>
      <c r="B32" s="149" t="s">
        <v>67</v>
      </c>
      <c r="C32" s="149">
        <v>2006</v>
      </c>
      <c r="D32" s="149" t="s">
        <v>140</v>
      </c>
      <c r="E32" s="149" t="s">
        <v>146</v>
      </c>
      <c r="F32" s="149" t="s">
        <v>100</v>
      </c>
      <c r="G32" s="149" t="s">
        <v>95</v>
      </c>
      <c r="H32" s="149">
        <v>1</v>
      </c>
      <c r="I32" s="72">
        <v>308</v>
      </c>
      <c r="J32" t="s">
        <v>154</v>
      </c>
      <c r="K32" s="73" t="s">
        <v>150</v>
      </c>
      <c r="L32" s="73"/>
      <c r="M32" s="157">
        <v>45070</v>
      </c>
      <c r="N32" s="157">
        <v>45014</v>
      </c>
      <c r="O32" s="149" t="s">
        <v>98</v>
      </c>
      <c r="P32" s="157" t="s">
        <v>99</v>
      </c>
    </row>
    <row r="33" spans="1:16" ht="26.4" x14ac:dyDescent="0.25">
      <c r="A33" s="156" t="str">
        <f ca="1">HYPERLINK(MID(CELL("filename",A1),FIND("[",CELL("filename",A1)),FIND("]",CELL("filename",A1)) - FIND("[",CELL("filename",A1)) + 1) &amp; "'x-309'!TABLE_CLIENT_1","x-309 1")</f>
        <v>x-309 1</v>
      </c>
      <c r="B33" s="149" t="s">
        <v>67</v>
      </c>
      <c r="C33" s="149">
        <v>2015</v>
      </c>
      <c r="D33" s="149" t="s">
        <v>140</v>
      </c>
      <c r="E33" s="149" t="s">
        <v>141</v>
      </c>
      <c r="F33" s="149" t="s">
        <v>94</v>
      </c>
      <c r="G33" s="149" t="s">
        <v>95</v>
      </c>
      <c r="H33" s="149">
        <v>0</v>
      </c>
      <c r="I33" s="72">
        <v>309</v>
      </c>
      <c r="J33" t="s">
        <v>155</v>
      </c>
      <c r="K33" s="73" t="s">
        <v>97</v>
      </c>
      <c r="L33" s="73"/>
      <c r="M33" s="157">
        <v>45070</v>
      </c>
      <c r="N33" s="157">
        <v>45014</v>
      </c>
      <c r="O33" s="149" t="s">
        <v>98</v>
      </c>
      <c r="P33" s="157" t="s">
        <v>99</v>
      </c>
    </row>
    <row r="34" spans="1:16" ht="26.4" x14ac:dyDescent="0.25">
      <c r="A34" s="156" t="str">
        <f ca="1">HYPERLINK(MID(CELL("filename",A1),FIND("[",CELL("filename",A1)),FIND("]",CELL("filename",A1)) - FIND("[",CELL("filename",A1)) + 1) &amp; "'x-310'!TABLE_CLIENT_1","x-310 1")</f>
        <v>x-310 1</v>
      </c>
      <c r="B34" s="149" t="s">
        <v>67</v>
      </c>
      <c r="C34" s="149">
        <v>2015</v>
      </c>
      <c r="D34" s="149" t="s">
        <v>140</v>
      </c>
      <c r="E34" s="149" t="s">
        <v>141</v>
      </c>
      <c r="F34" s="149" t="s">
        <v>100</v>
      </c>
      <c r="G34" s="149" t="s">
        <v>95</v>
      </c>
      <c r="H34" s="149">
        <v>0</v>
      </c>
      <c r="I34" s="72">
        <v>310</v>
      </c>
      <c r="J34" t="s">
        <v>156</v>
      </c>
      <c r="K34" s="73" t="s">
        <v>102</v>
      </c>
      <c r="L34" s="73"/>
      <c r="M34" s="157">
        <v>45070</v>
      </c>
      <c r="N34" s="157">
        <v>45014</v>
      </c>
      <c r="O34" s="149" t="s">
        <v>98</v>
      </c>
      <c r="P34" s="157" t="s">
        <v>99</v>
      </c>
    </row>
    <row r="35" spans="1:16" ht="26.4" x14ac:dyDescent="0.25">
      <c r="A35" s="156" t="str">
        <f ca="1">HYPERLINK(MID(CELL("filename",A1),FIND("[",CELL("filename",A1)),FIND("]",CELL("filename",A1)) - FIND("[",CELL("filename",A1)) + 1) &amp; "'x-311'!TABLE_CLIENT_1","x-311 1")</f>
        <v>x-311 1</v>
      </c>
      <c r="B35" s="149" t="s">
        <v>67</v>
      </c>
      <c r="C35" s="149">
        <v>2015</v>
      </c>
      <c r="D35" s="149" t="s">
        <v>140</v>
      </c>
      <c r="E35" s="149" t="s">
        <v>146</v>
      </c>
      <c r="F35" s="149" t="s">
        <v>94</v>
      </c>
      <c r="G35" s="149" t="s">
        <v>95</v>
      </c>
      <c r="H35" s="149">
        <v>0</v>
      </c>
      <c r="I35" s="72">
        <v>311</v>
      </c>
      <c r="J35" t="s">
        <v>157</v>
      </c>
      <c r="K35" s="73" t="s">
        <v>111</v>
      </c>
      <c r="L35" s="73"/>
      <c r="M35" s="157">
        <v>45070</v>
      </c>
      <c r="N35" s="157">
        <v>45014</v>
      </c>
      <c r="O35" s="149" t="s">
        <v>98</v>
      </c>
      <c r="P35" s="157" t="s">
        <v>99</v>
      </c>
    </row>
    <row r="36" spans="1:16" ht="26.4" x14ac:dyDescent="0.25">
      <c r="A36" s="156" t="str">
        <f ca="1">HYPERLINK(MID(CELL("filename",A1),FIND("[",CELL("filename",A1)),FIND("]",CELL("filename",A1)) - FIND("[",CELL("filename",A1)) + 1) &amp; "'x-312'!TABLE_CLIENT_1","x-312 1")</f>
        <v>x-312 1</v>
      </c>
      <c r="B36" s="149" t="s">
        <v>67</v>
      </c>
      <c r="C36" s="149">
        <v>2015</v>
      </c>
      <c r="D36" s="149" t="s">
        <v>140</v>
      </c>
      <c r="E36" s="149" t="s">
        <v>146</v>
      </c>
      <c r="F36" s="149" t="s">
        <v>100</v>
      </c>
      <c r="G36" s="149" t="s">
        <v>95</v>
      </c>
      <c r="H36" s="149">
        <v>0</v>
      </c>
      <c r="I36" s="72">
        <v>312</v>
      </c>
      <c r="J36" t="s">
        <v>158</v>
      </c>
      <c r="K36" s="73" t="s">
        <v>113</v>
      </c>
      <c r="L36" s="73"/>
      <c r="M36" s="157">
        <v>45070</v>
      </c>
      <c r="N36" s="157">
        <v>45014</v>
      </c>
      <c r="O36" s="149" t="s">
        <v>98</v>
      </c>
      <c r="P36" s="157" t="s">
        <v>99</v>
      </c>
    </row>
    <row r="37" spans="1:16" ht="26.4" x14ac:dyDescent="0.25">
      <c r="A37" s="156" t="str">
        <f ca="1">HYPERLINK(MID(CELL("filename",A1),FIND("[",CELL("filename",A1)),FIND("]",CELL("filename",A1)) - FIND("[",CELL("filename",A1)) + 1) &amp; "'x-313'!TABLE_CLIENT_1","x-313 1")</f>
        <v>x-313 1</v>
      </c>
      <c r="B37" s="149" t="s">
        <v>67</v>
      </c>
      <c r="C37" s="149">
        <v>1992</v>
      </c>
      <c r="D37" s="149" t="s">
        <v>159</v>
      </c>
      <c r="E37" s="149" t="s">
        <v>160</v>
      </c>
      <c r="F37" s="149" t="s">
        <v>161</v>
      </c>
      <c r="G37" s="149" t="s">
        <v>95</v>
      </c>
      <c r="H37" s="149">
        <v>2</v>
      </c>
      <c r="I37" s="72">
        <v>313</v>
      </c>
      <c r="J37" t="s">
        <v>162</v>
      </c>
      <c r="K37" s="73" t="s">
        <v>163</v>
      </c>
      <c r="L37" s="73"/>
      <c r="M37" s="157">
        <v>45070</v>
      </c>
      <c r="N37" s="157">
        <v>45014</v>
      </c>
      <c r="O37" s="149" t="s">
        <v>98</v>
      </c>
      <c r="P37" s="157" t="s">
        <v>99</v>
      </c>
    </row>
    <row r="38" spans="1:16" ht="26.4" x14ac:dyDescent="0.25">
      <c r="A38" s="156" t="str">
        <f ca="1">HYPERLINK(MID(CELL("filename",A1),FIND("[",CELL("filename",A1)),FIND("]",CELL("filename",A1)) - FIND("[",CELL("filename",A1)) + 1) &amp; "'x-314'!TABLE_CLIENT_1","x-314 1")</f>
        <v>x-314 1</v>
      </c>
      <c r="B38" s="149" t="s">
        <v>67</v>
      </c>
      <c r="C38" s="149">
        <v>2006</v>
      </c>
      <c r="D38" s="149" t="s">
        <v>159</v>
      </c>
      <c r="E38" s="149" t="s">
        <v>160</v>
      </c>
      <c r="F38" s="149" t="s">
        <v>161</v>
      </c>
      <c r="G38" s="149" t="s">
        <v>95</v>
      </c>
      <c r="H38" s="149">
        <v>1</v>
      </c>
      <c r="I38" s="72">
        <v>314</v>
      </c>
      <c r="J38" t="s">
        <v>164</v>
      </c>
      <c r="K38" s="73" t="s">
        <v>163</v>
      </c>
      <c r="L38" s="73"/>
      <c r="M38" s="157">
        <v>45070</v>
      </c>
      <c r="N38" s="157">
        <v>45014</v>
      </c>
      <c r="O38" s="149" t="s">
        <v>98</v>
      </c>
      <c r="P38" s="157" t="s">
        <v>99</v>
      </c>
    </row>
    <row r="39" spans="1:16" ht="26.4" x14ac:dyDescent="0.25">
      <c r="A39" s="156" t="str">
        <f ca="1">HYPERLINK(MID(CELL("filename",A1),FIND("[",CELL("filename",A1)),FIND("]",CELL("filename",A1)) - FIND("[",CELL("filename",A1)) + 1) &amp; "'x-315'!TABLE_CLIENT_1","x-315 1")</f>
        <v>x-315 1</v>
      </c>
      <c r="B39" s="149" t="s">
        <v>67</v>
      </c>
      <c r="C39" s="149">
        <v>2006</v>
      </c>
      <c r="D39" s="149" t="s">
        <v>159</v>
      </c>
      <c r="E39" s="149" t="s">
        <v>165</v>
      </c>
      <c r="F39" s="149" t="s">
        <v>161</v>
      </c>
      <c r="G39" s="149" t="s">
        <v>95</v>
      </c>
      <c r="H39" s="149">
        <v>1</v>
      </c>
      <c r="I39" s="72">
        <v>315</v>
      </c>
      <c r="J39" t="s">
        <v>166</v>
      </c>
      <c r="K39" s="73" t="s">
        <v>167</v>
      </c>
      <c r="L39" s="73"/>
      <c r="M39" s="157">
        <v>45070</v>
      </c>
      <c r="N39" s="157">
        <v>45014</v>
      </c>
      <c r="O39" s="149" t="s">
        <v>98</v>
      </c>
      <c r="P39" s="157" t="s">
        <v>99</v>
      </c>
    </row>
    <row r="40" spans="1:16" ht="26.4" x14ac:dyDescent="0.25">
      <c r="A40" s="156" t="str">
        <f ca="1">HYPERLINK(MID(CELL("filename",A1),FIND("[",CELL("filename",A1)),FIND("]",CELL("filename",A1)) - FIND("[",CELL("filename",A1)) + 1) &amp; "'x-316'!TABLE_CLIENT_1","x-316 1")</f>
        <v>x-316 1</v>
      </c>
      <c r="B40" s="149" t="s">
        <v>67</v>
      </c>
      <c r="C40" s="149">
        <v>2015</v>
      </c>
      <c r="D40" s="149" t="s">
        <v>159</v>
      </c>
      <c r="E40" s="149" t="s">
        <v>168</v>
      </c>
      <c r="F40" s="149" t="s">
        <v>100</v>
      </c>
      <c r="G40" s="149" t="s">
        <v>95</v>
      </c>
      <c r="H40" s="149">
        <v>0</v>
      </c>
      <c r="I40" s="72">
        <v>316</v>
      </c>
      <c r="J40" t="s">
        <v>169</v>
      </c>
      <c r="K40" s="73" t="s">
        <v>170</v>
      </c>
      <c r="L40" s="73"/>
      <c r="M40" s="157">
        <v>45070</v>
      </c>
      <c r="N40" s="157">
        <v>45014</v>
      </c>
      <c r="O40" s="149" t="s">
        <v>98</v>
      </c>
      <c r="P40" s="157" t="s">
        <v>99</v>
      </c>
    </row>
    <row r="41" spans="1:16" ht="26.4" x14ac:dyDescent="0.25">
      <c r="A41" s="156" t="str">
        <f ca="1">HYPERLINK(MID(CELL("filename",A1),FIND("[",CELL("filename",A1)),FIND("]",CELL("filename",A1)) - FIND("[",CELL("filename",A1)) + 1) &amp; "'x-317'!TABLE_CLIENT_1","x-317 1")</f>
        <v>x-317 1</v>
      </c>
      <c r="B41" s="149" t="s">
        <v>67</v>
      </c>
      <c r="C41" s="149">
        <v>2015</v>
      </c>
      <c r="D41" s="149" t="s">
        <v>159</v>
      </c>
      <c r="E41" s="149" t="s">
        <v>171</v>
      </c>
      <c r="F41" s="149" t="s">
        <v>94</v>
      </c>
      <c r="G41" s="149" t="s">
        <v>95</v>
      </c>
      <c r="H41" s="149">
        <v>0</v>
      </c>
      <c r="I41" s="72">
        <v>317</v>
      </c>
      <c r="J41" t="s">
        <v>172</v>
      </c>
      <c r="K41" s="73" t="s">
        <v>173</v>
      </c>
      <c r="L41" s="73"/>
      <c r="M41" s="157">
        <v>45070</v>
      </c>
      <c r="N41" s="157">
        <v>45014</v>
      </c>
      <c r="O41" s="149" t="s">
        <v>98</v>
      </c>
      <c r="P41" s="157" t="s">
        <v>99</v>
      </c>
    </row>
    <row r="42" spans="1:16" ht="26.4" x14ac:dyDescent="0.25">
      <c r="A42" s="156" t="str">
        <f ca="1">HYPERLINK(MID(CELL("filename",A1),FIND("[",CELL("filename",A1)),FIND("]",CELL("filename",A1)) - FIND("[",CELL("filename",A1)) + 1) &amp; "'x-318'!TABLE_CLIENT_1","x-318 1")</f>
        <v>x-318 1</v>
      </c>
      <c r="B42" s="149" t="s">
        <v>67</v>
      </c>
      <c r="C42" s="149">
        <v>1992</v>
      </c>
      <c r="D42" s="149" t="s">
        <v>174</v>
      </c>
      <c r="E42" s="149" t="s">
        <v>175</v>
      </c>
      <c r="F42" s="149" t="s">
        <v>176</v>
      </c>
      <c r="G42" s="149" t="s">
        <v>177</v>
      </c>
      <c r="H42" s="149">
        <v>2</v>
      </c>
      <c r="I42" s="72">
        <v>318</v>
      </c>
      <c r="J42" t="s">
        <v>178</v>
      </c>
      <c r="K42" s="73" t="s">
        <v>179</v>
      </c>
      <c r="L42" s="73"/>
      <c r="M42" s="157">
        <v>45070</v>
      </c>
      <c r="N42" s="157">
        <v>45014</v>
      </c>
      <c r="O42" s="149" t="s">
        <v>98</v>
      </c>
      <c r="P42" s="157" t="s">
        <v>99</v>
      </c>
    </row>
    <row r="43" spans="1:16" ht="26.4" x14ac:dyDescent="0.25">
      <c r="A43" s="156" t="str">
        <f ca="1">HYPERLINK(MID(CELL("filename",A1),FIND("[",CELL("filename",A1)),FIND("]",CELL("filename",A1)) - FIND("[",CELL("filename",A1)) + 1) &amp; "'x-319'!TABLE_CLIENT_1","x-319 1")</f>
        <v>x-319 1</v>
      </c>
      <c r="B43" s="149" t="s">
        <v>67</v>
      </c>
      <c r="C43" s="149">
        <v>1992</v>
      </c>
      <c r="D43" s="149" t="s">
        <v>174</v>
      </c>
      <c r="E43" s="149" t="s">
        <v>180</v>
      </c>
      <c r="F43" s="149" t="s">
        <v>176</v>
      </c>
      <c r="G43" s="149" t="s">
        <v>177</v>
      </c>
      <c r="H43" s="149">
        <v>2</v>
      </c>
      <c r="I43" s="72">
        <v>319</v>
      </c>
      <c r="J43" t="s">
        <v>181</v>
      </c>
      <c r="K43" s="73" t="s">
        <v>182</v>
      </c>
      <c r="L43" s="73"/>
      <c r="M43" s="157">
        <v>45070</v>
      </c>
      <c r="N43" s="157">
        <v>45014</v>
      </c>
      <c r="O43" s="149" t="s">
        <v>98</v>
      </c>
      <c r="P43" s="157" t="s">
        <v>99</v>
      </c>
    </row>
    <row r="44" spans="1:16" ht="26.4" x14ac:dyDescent="0.25">
      <c r="A44" s="156" t="str">
        <f ca="1">HYPERLINK(MID(CELL("filename",A1),FIND("[",CELL("filename",A1)),FIND("]",CELL("filename",A1)) - FIND("[",CELL("filename",A1)) + 1) &amp; "'x-320'!TABLE_CLIENT_1","x-320 1")</f>
        <v>x-320 1</v>
      </c>
      <c r="B44" s="149" t="s">
        <v>67</v>
      </c>
      <c r="C44" s="149">
        <v>1992</v>
      </c>
      <c r="D44" s="149" t="s">
        <v>174</v>
      </c>
      <c r="E44" s="149" t="s">
        <v>183</v>
      </c>
      <c r="F44" s="149" t="s">
        <v>176</v>
      </c>
      <c r="G44" s="149" t="s">
        <v>177</v>
      </c>
      <c r="H44" s="149">
        <v>2</v>
      </c>
      <c r="I44" s="72">
        <v>320</v>
      </c>
      <c r="J44" t="s">
        <v>184</v>
      </c>
      <c r="K44" s="73" t="s">
        <v>185</v>
      </c>
      <c r="L44" s="73"/>
      <c r="M44" s="157">
        <v>45070</v>
      </c>
      <c r="N44" s="157">
        <v>45014</v>
      </c>
      <c r="O44" s="149" t="s">
        <v>98</v>
      </c>
      <c r="P44" s="157" t="s">
        <v>99</v>
      </c>
    </row>
    <row r="45" spans="1:16" ht="26.4" x14ac:dyDescent="0.25">
      <c r="A45" s="156" t="str">
        <f ca="1">HYPERLINK(MID(CELL("filename",A1),FIND("[",CELL("filename",A1)),FIND("]",CELL("filename",A1)) - FIND("[",CELL("filename",A1)) + 1) &amp; "'x-321'!TABLE_CLIENT_1","x-321 1")</f>
        <v>x-321 1</v>
      </c>
      <c r="B45" s="149" t="s">
        <v>67</v>
      </c>
      <c r="C45" s="149">
        <v>2006</v>
      </c>
      <c r="D45" s="149" t="s">
        <v>174</v>
      </c>
      <c r="E45" s="149" t="s">
        <v>186</v>
      </c>
      <c r="F45" s="149" t="s">
        <v>176</v>
      </c>
      <c r="G45" s="149" t="s">
        <v>187</v>
      </c>
      <c r="H45" s="149">
        <v>1</v>
      </c>
      <c r="I45" s="72">
        <v>321</v>
      </c>
      <c r="J45" t="s">
        <v>188</v>
      </c>
      <c r="K45" s="73" t="s">
        <v>179</v>
      </c>
      <c r="L45" s="73"/>
      <c r="M45" s="157">
        <v>45070</v>
      </c>
      <c r="N45" s="157">
        <v>45014</v>
      </c>
      <c r="O45" s="149" t="s">
        <v>98</v>
      </c>
      <c r="P45" s="157" t="s">
        <v>99</v>
      </c>
    </row>
    <row r="46" spans="1:16" ht="26.4" x14ac:dyDescent="0.25">
      <c r="A46" s="156" t="str">
        <f ca="1">HYPERLINK(MID(CELL("filename",A1),FIND("[",CELL("filename",A1)),FIND("]",CELL("filename",A1)) - FIND("[",CELL("filename",A1)) + 1) &amp; "'x-322'!TABLE_CLIENT_1","x-322 1")</f>
        <v>x-322 1</v>
      </c>
      <c r="B46" s="149" t="s">
        <v>67</v>
      </c>
      <c r="C46" s="149">
        <v>2006</v>
      </c>
      <c r="D46" s="149" t="s">
        <v>174</v>
      </c>
      <c r="E46" s="149" t="s">
        <v>189</v>
      </c>
      <c r="F46" s="149" t="s">
        <v>176</v>
      </c>
      <c r="G46" s="149" t="s">
        <v>187</v>
      </c>
      <c r="H46" s="149">
        <v>1</v>
      </c>
      <c r="I46" s="72">
        <v>322</v>
      </c>
      <c r="J46" t="s">
        <v>190</v>
      </c>
      <c r="K46" s="73" t="s">
        <v>191</v>
      </c>
      <c r="L46" s="73"/>
      <c r="M46" s="157">
        <v>45070</v>
      </c>
      <c r="N46" s="157">
        <v>45014</v>
      </c>
      <c r="O46" s="149" t="s">
        <v>98</v>
      </c>
      <c r="P46" s="157" t="s">
        <v>99</v>
      </c>
    </row>
    <row r="47" spans="1:16" ht="26.4" x14ac:dyDescent="0.25">
      <c r="A47" s="156" t="str">
        <f ca="1">HYPERLINK(MID(CELL("filename",A1),FIND("[",CELL("filename",A1)),FIND("]",CELL("filename",A1)) - FIND("[",CELL("filename",A1)) + 1) &amp; "'x-323'!TABLE_CLIENT_1","x-323 1")</f>
        <v>x-323 1</v>
      </c>
      <c r="B47" s="149" t="s">
        <v>67</v>
      </c>
      <c r="C47" s="149">
        <v>2006</v>
      </c>
      <c r="D47" s="149" t="s">
        <v>174</v>
      </c>
      <c r="E47" s="149" t="s">
        <v>192</v>
      </c>
      <c r="F47" s="149" t="s">
        <v>176</v>
      </c>
      <c r="G47" s="149" t="s">
        <v>187</v>
      </c>
      <c r="H47" s="149">
        <v>1</v>
      </c>
      <c r="I47" s="72">
        <v>323</v>
      </c>
      <c r="J47" t="s">
        <v>193</v>
      </c>
      <c r="K47" s="73" t="s">
        <v>182</v>
      </c>
      <c r="L47" s="73"/>
      <c r="M47" s="157">
        <v>45070</v>
      </c>
      <c r="N47" s="157">
        <v>45014</v>
      </c>
      <c r="O47" s="149" t="s">
        <v>98</v>
      </c>
      <c r="P47" s="157" t="s">
        <v>99</v>
      </c>
    </row>
    <row r="48" spans="1:16" ht="26.4" x14ac:dyDescent="0.25">
      <c r="A48" s="156" t="str">
        <f ca="1">HYPERLINK(MID(CELL("filename",A1),FIND("[",CELL("filename",A1)),FIND("]",CELL("filename",A1)) - FIND("[",CELL("filename",A1)) + 1) &amp; "'x-324'!TABLE_CLIENT_1","x-324 1")</f>
        <v>x-324 1</v>
      </c>
      <c r="B48" s="149" t="s">
        <v>67</v>
      </c>
      <c r="C48" s="149">
        <v>2006</v>
      </c>
      <c r="D48" s="149" t="s">
        <v>174</v>
      </c>
      <c r="E48" s="149" t="s">
        <v>194</v>
      </c>
      <c r="F48" s="149" t="s">
        <v>176</v>
      </c>
      <c r="G48" s="149" t="s">
        <v>187</v>
      </c>
      <c r="H48" s="149">
        <v>1</v>
      </c>
      <c r="I48" s="72">
        <v>324</v>
      </c>
      <c r="J48" t="s">
        <v>195</v>
      </c>
      <c r="K48" s="73" t="s">
        <v>196</v>
      </c>
      <c r="L48" s="73"/>
      <c r="M48" s="157">
        <v>45070</v>
      </c>
      <c r="N48" s="157">
        <v>45014</v>
      </c>
      <c r="O48" s="149" t="s">
        <v>98</v>
      </c>
      <c r="P48" s="157" t="s">
        <v>99</v>
      </c>
    </row>
    <row r="49" spans="1:16" ht="26.4" x14ac:dyDescent="0.25">
      <c r="A49" s="156" t="str">
        <f ca="1">HYPERLINK(MID(CELL("filename",A1),FIND("[",CELL("filename",A1)),FIND("]",CELL("filename",A1)) - FIND("[",CELL("filename",A1)) + 1) &amp; "'x-325'!TABLE_CLIENT_1","x-325 1")</f>
        <v>x-325 1</v>
      </c>
      <c r="B49" s="149" t="s">
        <v>67</v>
      </c>
      <c r="C49" s="149">
        <v>2006</v>
      </c>
      <c r="D49" s="149" t="s">
        <v>174</v>
      </c>
      <c r="E49" s="149" t="s">
        <v>197</v>
      </c>
      <c r="F49" s="149" t="s">
        <v>176</v>
      </c>
      <c r="G49" s="149" t="s">
        <v>187</v>
      </c>
      <c r="H49" s="149">
        <v>1</v>
      </c>
      <c r="I49" s="72">
        <v>325</v>
      </c>
      <c r="J49" t="s">
        <v>198</v>
      </c>
      <c r="K49" s="73" t="s">
        <v>185</v>
      </c>
      <c r="L49" s="73"/>
      <c r="M49" s="157">
        <v>45070</v>
      </c>
      <c r="N49" s="157">
        <v>45014</v>
      </c>
      <c r="O49" s="149" t="s">
        <v>98</v>
      </c>
      <c r="P49" s="157" t="s">
        <v>99</v>
      </c>
    </row>
    <row r="50" spans="1:16" ht="26.4" x14ac:dyDescent="0.25">
      <c r="A50" s="156" t="str">
        <f ca="1">HYPERLINK(MID(CELL("filename",A1),FIND("[",CELL("filename",A1)),FIND("]",CELL("filename",A1)) - FIND("[",CELL("filename",A1)) + 1) &amp; "'x-326'!TABLE_CLIENT_1","x-326 1")</f>
        <v>x-326 1</v>
      </c>
      <c r="B50" s="149" t="s">
        <v>67</v>
      </c>
      <c r="C50" s="149">
        <v>2006</v>
      </c>
      <c r="D50" s="149" t="s">
        <v>174</v>
      </c>
      <c r="E50" s="149" t="s">
        <v>199</v>
      </c>
      <c r="F50" s="149" t="s">
        <v>176</v>
      </c>
      <c r="G50" s="149" t="s">
        <v>187</v>
      </c>
      <c r="H50" s="149">
        <v>1</v>
      </c>
      <c r="I50" s="72">
        <v>326</v>
      </c>
      <c r="J50" t="s">
        <v>200</v>
      </c>
      <c r="K50" s="73" t="s">
        <v>201</v>
      </c>
      <c r="L50" s="73"/>
      <c r="M50" s="157">
        <v>45070</v>
      </c>
      <c r="N50" s="157">
        <v>45014</v>
      </c>
      <c r="O50" s="149" t="s">
        <v>98</v>
      </c>
      <c r="P50" s="157" t="s">
        <v>99</v>
      </c>
    </row>
    <row r="51" spans="1:16" ht="26.4" x14ac:dyDescent="0.25">
      <c r="A51" s="156" t="str">
        <f ca="1">HYPERLINK(MID(CELL("filename",A1),FIND("[",CELL("filename",A1)),FIND("]",CELL("filename",A1)) - FIND("[",CELL("filename",A1)) + 1) &amp; "'x-327'!TABLE_CLIENT_1","x-327 1")</f>
        <v>x-327 1</v>
      </c>
      <c r="B51" s="149" t="s">
        <v>67</v>
      </c>
      <c r="C51" s="149">
        <v>2015</v>
      </c>
      <c r="D51" s="149" t="s">
        <v>174</v>
      </c>
      <c r="E51" s="149" t="s">
        <v>202</v>
      </c>
      <c r="F51" s="149" t="s">
        <v>176</v>
      </c>
      <c r="G51" s="149" t="s">
        <v>203</v>
      </c>
      <c r="H51" s="149">
        <v>0</v>
      </c>
      <c r="I51" s="72">
        <v>327</v>
      </c>
      <c r="J51" t="s">
        <v>204</v>
      </c>
      <c r="K51" s="73" t="s">
        <v>205</v>
      </c>
      <c r="L51" s="73"/>
      <c r="M51" s="157">
        <v>45070</v>
      </c>
      <c r="N51" s="157">
        <v>45014</v>
      </c>
      <c r="O51" s="149" t="s">
        <v>98</v>
      </c>
      <c r="P51" s="157" t="s">
        <v>99</v>
      </c>
    </row>
    <row r="52" spans="1:16" ht="26.4" x14ac:dyDescent="0.25">
      <c r="A52" s="156" t="str">
        <f ca="1">HYPERLINK(MID(CELL("filename",A1),FIND("[",CELL("filename",A1)),FIND("]",CELL("filename",A1)) - FIND("[",CELL("filename",A1)) + 1) &amp; "'x-328'!TABLE_CLIENT_1","x-328 1")</f>
        <v>x-328 1</v>
      </c>
      <c r="B52" s="149" t="s">
        <v>67</v>
      </c>
      <c r="C52" s="149">
        <v>2015</v>
      </c>
      <c r="D52" s="149" t="s">
        <v>174</v>
      </c>
      <c r="E52" s="149" t="s">
        <v>206</v>
      </c>
      <c r="F52" s="149" t="s">
        <v>176</v>
      </c>
      <c r="G52" s="149" t="s">
        <v>203</v>
      </c>
      <c r="H52" s="149">
        <v>0</v>
      </c>
      <c r="I52" s="72">
        <v>328</v>
      </c>
      <c r="J52" t="s">
        <v>207</v>
      </c>
      <c r="K52" s="73" t="s">
        <v>208</v>
      </c>
      <c r="L52" s="73"/>
      <c r="M52" s="157">
        <v>45070</v>
      </c>
      <c r="N52" s="157">
        <v>45014</v>
      </c>
      <c r="O52" s="149" t="s">
        <v>98</v>
      </c>
      <c r="P52" s="157" t="s">
        <v>99</v>
      </c>
    </row>
    <row r="53" spans="1:16" ht="39.6" x14ac:dyDescent="0.25">
      <c r="A53" s="156" t="str">
        <f ca="1">HYPERLINK(MID(CELL("filename",A1),FIND("[",CELL("filename",A1)),FIND("]",CELL("filename",A1)) - FIND("[",CELL("filename",A1)) + 1) &amp; "'x-401'!TABLE_CLIENT_1","x-401 1")</f>
        <v>x-401 1</v>
      </c>
      <c r="B53" s="149" t="s">
        <v>67</v>
      </c>
      <c r="C53" s="149">
        <v>2006</v>
      </c>
      <c r="D53" s="149" t="s">
        <v>209</v>
      </c>
      <c r="E53" s="149" t="s">
        <v>210</v>
      </c>
      <c r="F53" s="149" t="s">
        <v>176</v>
      </c>
      <c r="G53" s="149" t="s">
        <v>187</v>
      </c>
      <c r="H53" s="149">
        <v>1</v>
      </c>
      <c r="I53" s="72">
        <v>401</v>
      </c>
      <c r="J53" t="s">
        <v>211</v>
      </c>
      <c r="K53" s="73" t="s">
        <v>212</v>
      </c>
      <c r="L53" s="73"/>
      <c r="M53" s="157">
        <v>45106</v>
      </c>
      <c r="N53" s="157">
        <v>45110</v>
      </c>
      <c r="O53" s="149" t="s">
        <v>98</v>
      </c>
      <c r="P53" s="157" t="s">
        <v>99</v>
      </c>
    </row>
    <row r="54" spans="1:16" ht="26.4" x14ac:dyDescent="0.25">
      <c r="A54" s="156" t="str">
        <f ca="1">HYPERLINK(MID(CELL("filename",A1),FIND("[",CELL("filename",A1)),FIND("]",CELL("filename",A1)) - FIND("[",CELL("filename",A1)) + 1) &amp; "'x-402'!TABLE_CLIENT_1","x-402 1")</f>
        <v>x-402 1</v>
      </c>
      <c r="B54" s="149" t="s">
        <v>67</v>
      </c>
      <c r="C54" s="149">
        <v>2015</v>
      </c>
      <c r="D54" s="149" t="s">
        <v>209</v>
      </c>
      <c r="E54" s="149" t="s">
        <v>213</v>
      </c>
      <c r="F54" s="149" t="s">
        <v>176</v>
      </c>
      <c r="G54" s="149" t="s">
        <v>214</v>
      </c>
      <c r="H54" s="149">
        <v>0</v>
      </c>
      <c r="I54" s="72">
        <v>402</v>
      </c>
      <c r="J54" t="s">
        <v>215</v>
      </c>
      <c r="K54" s="73" t="s">
        <v>216</v>
      </c>
      <c r="L54" s="73"/>
      <c r="M54" s="157">
        <v>45106</v>
      </c>
      <c r="N54" s="157">
        <v>45110</v>
      </c>
      <c r="O54" s="149" t="s">
        <v>98</v>
      </c>
      <c r="P54" s="157" t="s">
        <v>99</v>
      </c>
    </row>
    <row r="55" spans="1:16" ht="26.4" x14ac:dyDescent="0.25">
      <c r="A55" s="156" t="str">
        <f ca="1">HYPERLINK(MID(CELL("filename",A1),FIND("[",CELL("filename",A1)),FIND("]",CELL("filename",A1)) - FIND("[",CELL("filename",A1)) + 1) &amp; "'x-403'!TABLE_CLIENT_1","x-403 1")</f>
        <v>x-403 1</v>
      </c>
      <c r="B55" s="149" t="s">
        <v>67</v>
      </c>
      <c r="C55" s="149">
        <v>2015</v>
      </c>
      <c r="D55" s="149" t="s">
        <v>209</v>
      </c>
      <c r="E55" s="149" t="s">
        <v>217</v>
      </c>
      <c r="F55" s="149" t="s">
        <v>176</v>
      </c>
      <c r="G55" s="149" t="s">
        <v>214</v>
      </c>
      <c r="H55" s="149">
        <v>0</v>
      </c>
      <c r="I55" s="72">
        <v>403</v>
      </c>
      <c r="J55" t="s">
        <v>218</v>
      </c>
      <c r="K55" s="73" t="s">
        <v>219</v>
      </c>
      <c r="L55" s="73"/>
      <c r="M55" s="157">
        <v>45106</v>
      </c>
      <c r="N55" s="157">
        <v>45110</v>
      </c>
      <c r="O55" s="149" t="s">
        <v>98</v>
      </c>
      <c r="P55" s="157" t="s">
        <v>99</v>
      </c>
    </row>
    <row r="56" spans="1:16" ht="26.4" x14ac:dyDescent="0.25">
      <c r="A56" s="156" t="str">
        <f ca="1">HYPERLINK(MID(CELL("filename",A1),FIND("[",CELL("filename",A1)),FIND("]",CELL("filename",A1)) - FIND("[",CELL("filename",A1)) + 1) &amp; "'x-404'!TABLE_CLIENT_1","x-404 1")</f>
        <v>x-404 1</v>
      </c>
      <c r="B56" s="149" t="s">
        <v>67</v>
      </c>
      <c r="C56" s="149">
        <v>2015</v>
      </c>
      <c r="D56" s="149" t="s">
        <v>220</v>
      </c>
      <c r="E56" s="149" t="s">
        <v>221</v>
      </c>
      <c r="F56" s="149" t="s">
        <v>176</v>
      </c>
      <c r="G56" s="149" t="s">
        <v>222</v>
      </c>
      <c r="H56" s="149">
        <v>0</v>
      </c>
      <c r="I56" s="72">
        <v>404</v>
      </c>
      <c r="J56" t="s">
        <v>223</v>
      </c>
      <c r="K56" s="73" t="s">
        <v>224</v>
      </c>
      <c r="L56" s="73"/>
      <c r="M56" s="157">
        <v>45106</v>
      </c>
      <c r="N56" s="157">
        <v>45110</v>
      </c>
      <c r="O56" s="149" t="s">
        <v>98</v>
      </c>
      <c r="P56" s="157" t="s">
        <v>99</v>
      </c>
    </row>
    <row r="57" spans="1:16" ht="26.4" x14ac:dyDescent="0.25">
      <c r="A57" s="156" t="str">
        <f ca="1">HYPERLINK(MID(CELL("filename",A1),FIND("[",CELL("filename",A1)),FIND("]",CELL("filename",A1)) - FIND("[",CELL("filename",A1)) + 1) &amp; "'x-405'!TABLE_CLIENT_1","x-405 1")</f>
        <v>x-405 1</v>
      </c>
      <c r="B57" s="149" t="s">
        <v>67</v>
      </c>
      <c r="C57" s="149">
        <v>2015</v>
      </c>
      <c r="D57" s="149" t="s">
        <v>220</v>
      </c>
      <c r="E57" s="149" t="s">
        <v>225</v>
      </c>
      <c r="F57" s="149" t="s">
        <v>176</v>
      </c>
      <c r="G57" s="149" t="s">
        <v>226</v>
      </c>
      <c r="H57" s="149">
        <v>0</v>
      </c>
      <c r="I57" s="72">
        <v>405</v>
      </c>
      <c r="J57" t="s">
        <v>227</v>
      </c>
      <c r="K57" s="73" t="s">
        <v>228</v>
      </c>
      <c r="L57" s="73"/>
      <c r="M57" s="157">
        <v>45106</v>
      </c>
      <c r="N57" s="157">
        <v>45110</v>
      </c>
      <c r="O57" s="149" t="s">
        <v>98</v>
      </c>
      <c r="P57" s="157" t="s">
        <v>99</v>
      </c>
    </row>
    <row r="58" spans="1:16" ht="52.8" x14ac:dyDescent="0.25">
      <c r="A58" s="156" t="str">
        <f ca="1">HYPERLINK(MID(CELL("filename",A1),FIND("[",CELL("filename",A1)),FIND("]",CELL("filename",A1)) - FIND("[",CELL("filename",A1)) + 1) &amp; "'x-406'!TABLE_CLIENT_1","x-406 1")</f>
        <v>x-406 1</v>
      </c>
      <c r="B58" s="149" t="s">
        <v>67</v>
      </c>
      <c r="C58" s="149">
        <v>2015</v>
      </c>
      <c r="D58" s="149" t="s">
        <v>220</v>
      </c>
      <c r="E58" s="149" t="s">
        <v>229</v>
      </c>
      <c r="F58" s="149" t="s">
        <v>176</v>
      </c>
      <c r="G58" s="149" t="s">
        <v>230</v>
      </c>
      <c r="H58" s="149">
        <v>0</v>
      </c>
      <c r="I58" s="72">
        <v>406</v>
      </c>
      <c r="J58" t="s">
        <v>231</v>
      </c>
      <c r="K58" s="73" t="s">
        <v>232</v>
      </c>
      <c r="L58" s="73"/>
      <c r="M58" s="157">
        <v>45106</v>
      </c>
      <c r="N58" s="157">
        <v>45110</v>
      </c>
      <c r="O58" s="149" t="s">
        <v>98</v>
      </c>
      <c r="P58" s="157" t="s">
        <v>99</v>
      </c>
    </row>
    <row r="59" spans="1:16" ht="52.8" x14ac:dyDescent="0.25">
      <c r="A59" s="156" t="str">
        <f ca="1">HYPERLINK(MID(CELL("filename",A1),FIND("[",CELL("filename",A1)),FIND("]",CELL("filename",A1)) - FIND("[",CELL("filename",A1)) + 1) &amp; "'x-407'!TABLE_CLIENT_1","x-407 1")</f>
        <v>x-407 1</v>
      </c>
      <c r="B59" s="149" t="s">
        <v>67</v>
      </c>
      <c r="C59" s="149">
        <v>2015</v>
      </c>
      <c r="D59" s="149" t="s">
        <v>220</v>
      </c>
      <c r="E59" s="149" t="s">
        <v>233</v>
      </c>
      <c r="F59" s="149" t="s">
        <v>176</v>
      </c>
      <c r="G59" s="149" t="s">
        <v>230</v>
      </c>
      <c r="H59" s="149">
        <v>0</v>
      </c>
      <c r="I59" s="72">
        <v>407</v>
      </c>
      <c r="J59" t="s">
        <v>234</v>
      </c>
      <c r="K59" s="73" t="s">
        <v>235</v>
      </c>
      <c r="L59" s="73"/>
      <c r="M59" s="157">
        <v>45106</v>
      </c>
      <c r="N59" s="157">
        <v>45110</v>
      </c>
      <c r="O59" s="149" t="s">
        <v>98</v>
      </c>
      <c r="P59" s="157" t="s">
        <v>99</v>
      </c>
    </row>
    <row r="60" spans="1:16" ht="26.4" x14ac:dyDescent="0.25">
      <c r="A60" s="156" t="str">
        <f ca="1">HYPERLINK(MID(CELL("filename",A1),FIND("[",CELL("filename",A1)),FIND("]",CELL("filename",A1)) - FIND("[",CELL("filename",A1)) + 1) &amp; "'x-501'!TABLE_CLIENT_1","x-501 1")</f>
        <v>x-501 1</v>
      </c>
      <c r="B60" s="149" t="s">
        <v>67</v>
      </c>
      <c r="C60" s="149" t="s">
        <v>236</v>
      </c>
      <c r="D60" s="149" t="s">
        <v>237</v>
      </c>
      <c r="E60" s="149" t="s">
        <v>238</v>
      </c>
      <c r="F60" s="149" t="s">
        <v>176</v>
      </c>
      <c r="G60" s="149" t="s">
        <v>239</v>
      </c>
      <c r="H60" s="149">
        <v>1</v>
      </c>
      <c r="I60" s="72">
        <v>501</v>
      </c>
      <c r="J60" t="s">
        <v>240</v>
      </c>
      <c r="K60" s="73" t="s">
        <v>241</v>
      </c>
      <c r="L60" s="73"/>
      <c r="M60" s="157">
        <v>45135</v>
      </c>
      <c r="N60" s="157">
        <v>45135</v>
      </c>
      <c r="O60" s="149" t="s">
        <v>98</v>
      </c>
      <c r="P60" s="157" t="s">
        <v>99</v>
      </c>
    </row>
    <row r="61" spans="1:16" ht="39.6" x14ac:dyDescent="0.25">
      <c r="A61" s="156" t="str">
        <f ca="1">HYPERLINK(MID(CELL("filename",A1),FIND("[",CELL("filename",A1)),FIND("]",CELL("filename",A1)) - FIND("[",CELL("filename",A1)) + 1) &amp; "'x-502'!TABLE_CLIENT_1","x-502 1")</f>
        <v>x-502 1</v>
      </c>
      <c r="B61" s="149" t="s">
        <v>67</v>
      </c>
      <c r="C61" s="149" t="s">
        <v>236</v>
      </c>
      <c r="D61" s="149" t="s">
        <v>237</v>
      </c>
      <c r="E61" s="149" t="s">
        <v>242</v>
      </c>
      <c r="F61" s="149" t="s">
        <v>176</v>
      </c>
      <c r="G61" s="149" t="s">
        <v>239</v>
      </c>
      <c r="H61" s="149">
        <v>1</v>
      </c>
      <c r="I61" s="72">
        <v>502</v>
      </c>
      <c r="J61" t="s">
        <v>243</v>
      </c>
      <c r="K61" s="73" t="s">
        <v>244</v>
      </c>
      <c r="L61" s="73"/>
      <c r="M61" s="157">
        <v>45135</v>
      </c>
      <c r="N61" s="157">
        <v>45135</v>
      </c>
      <c r="O61" s="149" t="s">
        <v>98</v>
      </c>
      <c r="P61" s="157" t="s">
        <v>99</v>
      </c>
    </row>
    <row r="62" spans="1:16" ht="26.4" x14ac:dyDescent="0.25">
      <c r="A62" s="156" t="str">
        <f ca="1">HYPERLINK(MID(CELL("filename",A1),FIND("[",CELL("filename",A1)),FIND("]",CELL("filename",A1)) - FIND("[",CELL("filename",A1)) + 1) &amp; "'x-503'!TABLE_CLIENT_1","x-503 1")</f>
        <v>x-503 1</v>
      </c>
      <c r="B62" s="149" t="s">
        <v>67</v>
      </c>
      <c r="C62" s="149">
        <v>2015</v>
      </c>
      <c r="D62" s="149" t="s">
        <v>237</v>
      </c>
      <c r="E62" s="149" t="s">
        <v>245</v>
      </c>
      <c r="F62" s="149" t="s">
        <v>176</v>
      </c>
      <c r="G62" s="149" t="s">
        <v>239</v>
      </c>
      <c r="H62" s="149">
        <v>0</v>
      </c>
      <c r="I62" s="72">
        <v>503</v>
      </c>
      <c r="J62" t="s">
        <v>246</v>
      </c>
      <c r="K62" s="73" t="s">
        <v>241</v>
      </c>
      <c r="L62" s="73"/>
      <c r="M62" s="157">
        <v>45135</v>
      </c>
      <c r="N62" s="157">
        <v>45135</v>
      </c>
      <c r="O62" s="149" t="s">
        <v>98</v>
      </c>
      <c r="P62" s="157" t="s">
        <v>99</v>
      </c>
    </row>
    <row r="63" spans="1:16" ht="26.4" x14ac:dyDescent="0.25">
      <c r="A63" s="156" t="str">
        <f ca="1">HYPERLINK(MID(CELL("filename",A1),FIND("[",CELL("filename",A1)),FIND("]",CELL("filename",A1)) - FIND("[",CELL("filename",A1)) + 1) &amp; "'x-504'!TABLE_CLIENT_1","x-504 1")</f>
        <v>x-504 1</v>
      </c>
      <c r="B63" s="149" t="s">
        <v>67</v>
      </c>
      <c r="C63" s="149">
        <v>2015</v>
      </c>
      <c r="D63" s="149" t="s">
        <v>237</v>
      </c>
      <c r="E63" s="149" t="s">
        <v>247</v>
      </c>
      <c r="F63" s="149" t="s">
        <v>176</v>
      </c>
      <c r="G63" s="149" t="s">
        <v>239</v>
      </c>
      <c r="H63" s="149">
        <v>0</v>
      </c>
      <c r="I63" s="72">
        <v>504</v>
      </c>
      <c r="J63" t="s">
        <v>248</v>
      </c>
      <c r="K63" s="73" t="s">
        <v>244</v>
      </c>
      <c r="L63" s="73"/>
      <c r="M63" s="157">
        <v>45135</v>
      </c>
      <c r="N63" s="157">
        <v>45135</v>
      </c>
      <c r="O63" s="149" t="s">
        <v>98</v>
      </c>
      <c r="P63" s="157" t="s">
        <v>99</v>
      </c>
    </row>
    <row r="64" spans="1:16" ht="26.4" x14ac:dyDescent="0.25">
      <c r="A64" s="156" t="str">
        <f ca="1">HYPERLINK(MID(CELL("filename",A1),FIND("[",CELL("filename",A1)),FIND("]",CELL("filename",A1)) - FIND("[",CELL("filename",A1)) + 1) &amp; "'x-505'!TABLE_CLIENT_1","x-505 1")</f>
        <v>x-505 1</v>
      </c>
      <c r="B64" s="149" t="s">
        <v>67</v>
      </c>
      <c r="C64" s="149">
        <v>1992</v>
      </c>
      <c r="D64" s="149" t="s">
        <v>249</v>
      </c>
      <c r="E64" s="149" t="s">
        <v>250</v>
      </c>
      <c r="F64" s="149" t="s">
        <v>176</v>
      </c>
      <c r="G64" s="149" t="s">
        <v>251</v>
      </c>
      <c r="H64" s="149">
        <v>0</v>
      </c>
      <c r="I64" s="72">
        <v>505</v>
      </c>
      <c r="J64" t="s">
        <v>252</v>
      </c>
      <c r="K64" s="73" t="s">
        <v>241</v>
      </c>
      <c r="L64" s="73"/>
      <c r="M64" s="157">
        <v>45019</v>
      </c>
      <c r="N64" s="157">
        <v>45019</v>
      </c>
      <c r="O64" s="149" t="s">
        <v>98</v>
      </c>
      <c r="P64" s="157" t="s">
        <v>99</v>
      </c>
    </row>
    <row r="65" spans="1:16" ht="79.2" x14ac:dyDescent="0.25">
      <c r="A65" s="156" t="str">
        <f ca="1">HYPERLINK(MID(CELL("filename",A1),FIND("[",CELL("filename",A1)),FIND("]",CELL("filename",A1)) - FIND("[",CELL("filename",A1)) + 1) &amp; "'x-506'!TABLE_CLIENT_1","x-506 1")</f>
        <v>x-506 1</v>
      </c>
      <c r="B65" s="149" t="s">
        <v>67</v>
      </c>
      <c r="C65" s="149" t="s">
        <v>253</v>
      </c>
      <c r="D65" s="149" t="s">
        <v>237</v>
      </c>
      <c r="E65" s="149" t="s">
        <v>254</v>
      </c>
      <c r="F65" s="149" t="s">
        <v>176</v>
      </c>
      <c r="G65" s="149" t="s">
        <v>255</v>
      </c>
      <c r="H65" s="149">
        <v>0</v>
      </c>
      <c r="I65" s="72">
        <v>506</v>
      </c>
      <c r="J65" t="s">
        <v>256</v>
      </c>
      <c r="K65" s="73" t="s">
        <v>109</v>
      </c>
      <c r="L65" s="73"/>
      <c r="M65" s="157">
        <v>45135</v>
      </c>
      <c r="N65" s="157">
        <v>45135</v>
      </c>
      <c r="O65" s="149" t="s">
        <v>98</v>
      </c>
      <c r="P65" s="157" t="s">
        <v>99</v>
      </c>
    </row>
    <row r="66" spans="1:16" ht="26.4" x14ac:dyDescent="0.25">
      <c r="A66" s="156" t="str">
        <f ca="1">HYPERLINK(MID(CELL("filename",A1),FIND("[",CELL("filename",A1)),FIND("]",CELL("filename",A1)) - FIND("[",CELL("filename",A1)) + 1) &amp; "'x-603'!TABLE_CLIENT_1","x-603 1")</f>
        <v>x-603 1</v>
      </c>
      <c r="B66" s="149" t="s">
        <v>67</v>
      </c>
      <c r="C66" s="149">
        <v>1992</v>
      </c>
      <c r="D66" s="149" t="s">
        <v>257</v>
      </c>
      <c r="E66" s="149" t="s">
        <v>258</v>
      </c>
      <c r="F66" s="149" t="s">
        <v>259</v>
      </c>
      <c r="G66" s="149" t="s">
        <v>260</v>
      </c>
      <c r="H66" s="149">
        <v>2</v>
      </c>
      <c r="I66" s="72">
        <v>603</v>
      </c>
      <c r="J66" t="s">
        <v>261</v>
      </c>
      <c r="K66" s="73" t="s">
        <v>97</v>
      </c>
      <c r="L66" s="73"/>
      <c r="M66" s="157">
        <v>45135</v>
      </c>
      <c r="N66" s="157">
        <v>45135</v>
      </c>
      <c r="O66" s="149" t="s">
        <v>98</v>
      </c>
      <c r="P66" s="157" t="s">
        <v>99</v>
      </c>
    </row>
    <row r="67" spans="1:16" ht="26.4" x14ac:dyDescent="0.25">
      <c r="A67" s="156" t="str">
        <f ca="1">HYPERLINK(MID(CELL("filename",A1),FIND("[",CELL("filename",A1)),FIND("]",CELL("filename",A1)) - FIND("[",CELL("filename",A1)) + 1) &amp; "'x-604'!TABLE_CLIENT_1","x-604 1")</f>
        <v>x-604 1</v>
      </c>
      <c r="B67" s="149" t="s">
        <v>67</v>
      </c>
      <c r="C67" s="149">
        <v>1992</v>
      </c>
      <c r="D67" s="149" t="s">
        <v>257</v>
      </c>
      <c r="E67" s="149" t="s">
        <v>262</v>
      </c>
      <c r="F67" s="149" t="s">
        <v>259</v>
      </c>
      <c r="G67" s="149" t="s">
        <v>260</v>
      </c>
      <c r="H67" s="149">
        <v>2</v>
      </c>
      <c r="I67" s="72">
        <v>604</v>
      </c>
      <c r="J67" t="s">
        <v>263</v>
      </c>
      <c r="K67" s="73" t="s">
        <v>102</v>
      </c>
      <c r="L67" s="73"/>
      <c r="M67" s="157">
        <v>45135</v>
      </c>
      <c r="N67" s="157">
        <v>45135</v>
      </c>
      <c r="O67" s="149" t="s">
        <v>98</v>
      </c>
      <c r="P67" s="157" t="s">
        <v>99</v>
      </c>
    </row>
    <row r="68" spans="1:16" ht="26.4" x14ac:dyDescent="0.25">
      <c r="A68" s="156" t="str">
        <f ca="1">HYPERLINK(MID(CELL("filename",A1),FIND("[",CELL("filename",A1)),FIND("]",CELL("filename",A1)) - FIND("[",CELL("filename",A1)) + 1) &amp; "'x-605'!TABLE_CLIENT_1","x-605 1")</f>
        <v>x-605 1</v>
      </c>
      <c r="B68" s="149" t="s">
        <v>67</v>
      </c>
      <c r="C68" s="149">
        <v>2006</v>
      </c>
      <c r="D68" s="149" t="s">
        <v>257</v>
      </c>
      <c r="E68" s="149" t="s">
        <v>264</v>
      </c>
      <c r="F68" s="149" t="s">
        <v>259</v>
      </c>
      <c r="G68" s="149" t="s">
        <v>260</v>
      </c>
      <c r="H68" s="149">
        <v>1</v>
      </c>
      <c r="I68" s="72">
        <v>605</v>
      </c>
      <c r="J68" t="s">
        <v>265</v>
      </c>
      <c r="K68" s="73" t="s">
        <v>97</v>
      </c>
      <c r="L68" s="73"/>
      <c r="M68" s="157">
        <v>45135</v>
      </c>
      <c r="N68" s="157">
        <v>45135</v>
      </c>
      <c r="O68" s="149" t="s">
        <v>98</v>
      </c>
      <c r="P68" s="157" t="s">
        <v>99</v>
      </c>
    </row>
    <row r="69" spans="1:16" ht="26.4" x14ac:dyDescent="0.25">
      <c r="A69" s="156" t="str">
        <f ca="1">HYPERLINK(MID(CELL("filename",A1),FIND("[",CELL("filename",A1)),FIND("]",CELL("filename",A1)) - FIND("[",CELL("filename",A1)) + 1) &amp; "'x-606'!TABLE_CLIENT_1","x-606 1")</f>
        <v>x-606 1</v>
      </c>
      <c r="B69" s="149" t="s">
        <v>67</v>
      </c>
      <c r="C69" s="149">
        <v>2006</v>
      </c>
      <c r="D69" s="149" t="s">
        <v>257</v>
      </c>
      <c r="E69" s="149" t="s">
        <v>266</v>
      </c>
      <c r="F69" s="149" t="s">
        <v>259</v>
      </c>
      <c r="G69" s="149" t="s">
        <v>260</v>
      </c>
      <c r="H69" s="149">
        <v>1</v>
      </c>
      <c r="I69" s="72">
        <v>606</v>
      </c>
      <c r="J69" t="s">
        <v>267</v>
      </c>
      <c r="K69" s="73" t="s">
        <v>102</v>
      </c>
      <c r="L69" s="73"/>
      <c r="M69" s="157">
        <v>45135</v>
      </c>
      <c r="N69" s="157">
        <v>45135</v>
      </c>
      <c r="O69" s="149" t="s">
        <v>98</v>
      </c>
      <c r="P69" s="157" t="s">
        <v>99</v>
      </c>
    </row>
    <row r="70" spans="1:16" ht="26.4" x14ac:dyDescent="0.25">
      <c r="A70" s="156" t="str">
        <f ca="1">HYPERLINK(MID(CELL("filename",A1),FIND("[",CELL("filename",A1)),FIND("]",CELL("filename",A1)) - FIND("[",CELL("filename",A1)) + 1) &amp; "'x-607'!TABLE_CLIENT_1","x-607 1")</f>
        <v>x-607 1</v>
      </c>
      <c r="B70" s="149" t="s">
        <v>67</v>
      </c>
      <c r="C70" s="149">
        <v>2015</v>
      </c>
      <c r="D70" s="149" t="s">
        <v>257</v>
      </c>
      <c r="E70" s="149" t="s">
        <v>268</v>
      </c>
      <c r="F70" s="149" t="s">
        <v>94</v>
      </c>
      <c r="G70" s="149" t="s">
        <v>260</v>
      </c>
      <c r="H70" s="149">
        <v>0</v>
      </c>
      <c r="I70" s="72">
        <v>607</v>
      </c>
      <c r="J70" t="s">
        <v>269</v>
      </c>
      <c r="K70" s="73" t="s">
        <v>97</v>
      </c>
      <c r="L70" s="73"/>
      <c r="M70" s="157">
        <v>45135</v>
      </c>
      <c r="N70" s="157">
        <v>45135</v>
      </c>
      <c r="O70" s="149" t="s">
        <v>98</v>
      </c>
      <c r="P70" s="157" t="s">
        <v>99</v>
      </c>
    </row>
    <row r="71" spans="1:16" ht="26.4" x14ac:dyDescent="0.25">
      <c r="A71" s="156" t="str">
        <f ca="1">HYPERLINK(MID(CELL("filename",A1),FIND("[",CELL("filename",A1)),FIND("]",CELL("filename",A1)) - FIND("[",CELL("filename",A1)) + 1) &amp; "'x-608'!TABLE_CLIENT_1","x-608 1")</f>
        <v>x-608 1</v>
      </c>
      <c r="B71" s="149" t="s">
        <v>67</v>
      </c>
      <c r="C71" s="149">
        <v>2015</v>
      </c>
      <c r="D71" s="149" t="s">
        <v>257</v>
      </c>
      <c r="E71" s="149" t="s">
        <v>268</v>
      </c>
      <c r="F71" s="149" t="s">
        <v>100</v>
      </c>
      <c r="G71" s="149" t="s">
        <v>260</v>
      </c>
      <c r="H71" s="149">
        <v>0</v>
      </c>
      <c r="I71" s="72">
        <v>608</v>
      </c>
      <c r="J71" t="s">
        <v>270</v>
      </c>
      <c r="K71" s="73" t="s">
        <v>102</v>
      </c>
      <c r="L71" s="73"/>
      <c r="M71" s="157">
        <v>45135</v>
      </c>
      <c r="N71" s="157">
        <v>45135</v>
      </c>
      <c r="O71" s="149" t="s">
        <v>98</v>
      </c>
      <c r="P71" s="157" t="s">
        <v>99</v>
      </c>
    </row>
    <row r="72" spans="1:16" ht="26.4" x14ac:dyDescent="0.25">
      <c r="A72" s="156" t="str">
        <f ca="1">HYPERLINK(MID(CELL("filename",A1),FIND("[",CELL("filename",A1)),FIND("]",CELL("filename",A1)) - FIND("[",CELL("filename",A1)) + 1) &amp; "'x-609'!TABLE_CLIENT_1","x-609 1")</f>
        <v>x-609 1</v>
      </c>
      <c r="B72" s="149" t="s">
        <v>67</v>
      </c>
      <c r="C72" s="149">
        <v>2015</v>
      </c>
      <c r="D72" s="149" t="s">
        <v>257</v>
      </c>
      <c r="E72" s="149" t="s">
        <v>271</v>
      </c>
      <c r="F72" s="149" t="s">
        <v>259</v>
      </c>
      <c r="G72" s="149" t="s">
        <v>95</v>
      </c>
      <c r="H72" s="149">
        <v>0</v>
      </c>
      <c r="I72" s="72">
        <v>609</v>
      </c>
      <c r="J72" t="s">
        <v>272</v>
      </c>
      <c r="K72" s="73" t="s">
        <v>170</v>
      </c>
      <c r="L72" s="73"/>
      <c r="M72" s="157">
        <v>45135</v>
      </c>
      <c r="N72" s="157">
        <v>45135</v>
      </c>
      <c r="O72" s="149" t="s">
        <v>98</v>
      </c>
      <c r="P72" s="157" t="s">
        <v>99</v>
      </c>
    </row>
    <row r="73" spans="1:16" ht="26.4" x14ac:dyDescent="0.25">
      <c r="A73" s="156" t="str">
        <f ca="1">HYPERLINK(MID(CELL("filename",A1),FIND("[",CELL("filename",A1)),FIND("]",CELL("filename",A1)) - FIND("[",CELL("filename",A1)) + 1) &amp; "'x-610'!TABLE_CLIENT_1","x-610 1")</f>
        <v>x-610 1</v>
      </c>
      <c r="B73" s="149" t="s">
        <v>67</v>
      </c>
      <c r="C73" s="149">
        <v>2015</v>
      </c>
      <c r="D73" s="149" t="s">
        <v>257</v>
      </c>
      <c r="E73" s="149" t="s">
        <v>273</v>
      </c>
      <c r="F73" s="149" t="s">
        <v>259</v>
      </c>
      <c r="G73" s="149" t="s">
        <v>95</v>
      </c>
      <c r="H73" s="149">
        <v>0</v>
      </c>
      <c r="I73" s="72">
        <v>610</v>
      </c>
      <c r="J73" t="s">
        <v>274</v>
      </c>
      <c r="K73" s="73" t="s">
        <v>275</v>
      </c>
      <c r="L73" s="73"/>
      <c r="M73" s="157">
        <v>45135</v>
      </c>
      <c r="N73" s="157">
        <v>45135</v>
      </c>
      <c r="O73" s="149" t="s">
        <v>98</v>
      </c>
      <c r="P73" s="157" t="s">
        <v>99</v>
      </c>
    </row>
    <row r="74" spans="1:16" ht="26.4" x14ac:dyDescent="0.25">
      <c r="A74" s="156" t="str">
        <f ca="1">HYPERLINK(MID(CELL("filename",A1),FIND("[",CELL("filename",A1)),FIND("]",CELL("filename",A1)) - FIND("[",CELL("filename",A1)) + 1) &amp; "'x-611'!TABLE_CLIENT_1","x-611 1")</f>
        <v>x-611 1</v>
      </c>
      <c r="B74" s="149" t="s">
        <v>67</v>
      </c>
      <c r="C74" s="149">
        <v>1992</v>
      </c>
      <c r="D74" s="149" t="s">
        <v>257</v>
      </c>
      <c r="E74" s="149" t="s">
        <v>276</v>
      </c>
      <c r="F74" s="149" t="s">
        <v>176</v>
      </c>
      <c r="G74" s="149" t="s">
        <v>177</v>
      </c>
      <c r="H74" s="149">
        <v>2</v>
      </c>
      <c r="I74" s="72">
        <v>611</v>
      </c>
      <c r="J74" t="s">
        <v>277</v>
      </c>
      <c r="K74" s="73" t="s">
        <v>111</v>
      </c>
      <c r="L74" s="73"/>
      <c r="M74" s="157">
        <v>45135</v>
      </c>
      <c r="N74" s="157">
        <v>45135</v>
      </c>
      <c r="O74" s="149" t="s">
        <v>98</v>
      </c>
      <c r="P74" s="157" t="s">
        <v>99</v>
      </c>
    </row>
    <row r="75" spans="1:16" ht="26.4" x14ac:dyDescent="0.25">
      <c r="A75" s="156" t="str">
        <f ca="1">HYPERLINK(MID(CELL("filename",A1),FIND("[",CELL("filename",A1)),FIND("]",CELL("filename",A1)) - FIND("[",CELL("filename",A1)) + 1) &amp; "'x-612'!TABLE_CLIENT_1","x-612 1")</f>
        <v>x-612 1</v>
      </c>
      <c r="B75" s="149" t="s">
        <v>67</v>
      </c>
      <c r="C75" s="149">
        <v>1992</v>
      </c>
      <c r="D75" s="149" t="s">
        <v>257</v>
      </c>
      <c r="E75" s="149" t="s">
        <v>278</v>
      </c>
      <c r="F75" s="149" t="s">
        <v>176</v>
      </c>
      <c r="G75" s="149" t="s">
        <v>177</v>
      </c>
      <c r="H75" s="149">
        <v>2</v>
      </c>
      <c r="I75" s="72">
        <v>612</v>
      </c>
      <c r="J75" t="s">
        <v>279</v>
      </c>
      <c r="K75" s="73" t="s">
        <v>113</v>
      </c>
      <c r="L75" s="73"/>
      <c r="M75" s="157">
        <v>45135</v>
      </c>
      <c r="N75" s="157">
        <v>45135</v>
      </c>
      <c r="O75" s="149" t="s">
        <v>98</v>
      </c>
      <c r="P75" s="157" t="s">
        <v>99</v>
      </c>
    </row>
    <row r="76" spans="1:16" ht="26.4" x14ac:dyDescent="0.25">
      <c r="A76" s="156" t="str">
        <f ca="1">HYPERLINK(MID(CELL("filename",A1),FIND("[",CELL("filename",A1)),FIND("]",CELL("filename",A1)) - FIND("[",CELL("filename",A1)) + 1) &amp; "'x-613'!TABLE_CLIENT_1","x-613 1")</f>
        <v>x-613 1</v>
      </c>
      <c r="B76" s="149" t="s">
        <v>67</v>
      </c>
      <c r="C76" s="149">
        <v>1992</v>
      </c>
      <c r="D76" s="149" t="s">
        <v>257</v>
      </c>
      <c r="E76" s="149" t="s">
        <v>280</v>
      </c>
      <c r="F76" s="149" t="s">
        <v>176</v>
      </c>
      <c r="G76" s="149" t="s">
        <v>177</v>
      </c>
      <c r="H76" s="149">
        <v>2</v>
      </c>
      <c r="I76" s="72">
        <v>613</v>
      </c>
      <c r="J76" t="s">
        <v>281</v>
      </c>
      <c r="K76" s="73" t="s">
        <v>282</v>
      </c>
      <c r="L76" s="73"/>
      <c r="M76" s="157">
        <v>45135</v>
      </c>
      <c r="N76" s="157">
        <v>45135</v>
      </c>
      <c r="O76" s="149" t="s">
        <v>98</v>
      </c>
      <c r="P76" s="157" t="s">
        <v>99</v>
      </c>
    </row>
    <row r="77" spans="1:16" ht="39.6" x14ac:dyDescent="0.25">
      <c r="A77" s="156" t="str">
        <f ca="1">HYPERLINK(MID(CELL("filename",A1),FIND("[",CELL("filename",A1)),FIND("]",CELL("filename",A1)) - FIND("[",CELL("filename",A1)) + 1) &amp; "'x-614'!TABLE_CLIENT_1","x-614 1")</f>
        <v>x-614 1</v>
      </c>
      <c r="B77" s="149" t="s">
        <v>67</v>
      </c>
      <c r="C77" s="149">
        <v>2006</v>
      </c>
      <c r="D77" s="149" t="s">
        <v>257</v>
      </c>
      <c r="E77" s="149" t="s">
        <v>283</v>
      </c>
      <c r="F77" s="149" t="s">
        <v>176</v>
      </c>
      <c r="G77" s="149" t="s">
        <v>284</v>
      </c>
      <c r="H77" s="149">
        <v>1</v>
      </c>
      <c r="I77" s="72">
        <v>614</v>
      </c>
      <c r="J77" t="s">
        <v>285</v>
      </c>
      <c r="K77" s="73" t="s">
        <v>111</v>
      </c>
      <c r="L77" s="73"/>
      <c r="M77" s="157">
        <v>45135</v>
      </c>
      <c r="N77" s="157">
        <v>45135</v>
      </c>
      <c r="O77" s="149" t="s">
        <v>98</v>
      </c>
      <c r="P77" s="157" t="s">
        <v>99</v>
      </c>
    </row>
    <row r="78" spans="1:16" ht="26.4" x14ac:dyDescent="0.25">
      <c r="A78" s="156" t="str">
        <f ca="1">HYPERLINK(MID(CELL("filename",A1),FIND("[",CELL("filename",A1)),FIND("]",CELL("filename",A1)) - FIND("[",CELL("filename",A1)) + 1) &amp; "'x-615'!TABLE_CLIENT_1","x-615 1")</f>
        <v>x-615 1</v>
      </c>
      <c r="B78" s="149" t="s">
        <v>67</v>
      </c>
      <c r="C78" s="149">
        <v>2006</v>
      </c>
      <c r="D78" s="149" t="s">
        <v>257</v>
      </c>
      <c r="E78" s="149" t="s">
        <v>286</v>
      </c>
      <c r="F78" s="149" t="s">
        <v>176</v>
      </c>
      <c r="G78" s="149" t="s">
        <v>284</v>
      </c>
      <c r="H78" s="149">
        <v>1</v>
      </c>
      <c r="I78" s="72">
        <v>615</v>
      </c>
      <c r="J78" t="s">
        <v>287</v>
      </c>
      <c r="K78" s="73" t="s">
        <v>113</v>
      </c>
      <c r="L78" s="73"/>
      <c r="M78" s="157">
        <v>45135</v>
      </c>
      <c r="N78" s="157">
        <v>45135</v>
      </c>
      <c r="O78" s="149" t="s">
        <v>98</v>
      </c>
      <c r="P78" s="157" t="s">
        <v>99</v>
      </c>
    </row>
    <row r="79" spans="1:16" ht="39.6" x14ac:dyDescent="0.25">
      <c r="A79" s="156" t="str">
        <f ca="1">HYPERLINK(MID(CELL("filename",A1),FIND("[",CELL("filename",A1)),FIND("]",CELL("filename",A1)) - FIND("[",CELL("filename",A1)) + 1) &amp; "'x-616'!TABLE_CLIENT_1","x-616 1")</f>
        <v>x-616 1</v>
      </c>
      <c r="B79" s="149" t="s">
        <v>67</v>
      </c>
      <c r="C79" s="149">
        <v>2006</v>
      </c>
      <c r="D79" s="149" t="s">
        <v>257</v>
      </c>
      <c r="E79" s="149" t="s">
        <v>288</v>
      </c>
      <c r="F79" s="149" t="s">
        <v>176</v>
      </c>
      <c r="G79" s="149" t="s">
        <v>284</v>
      </c>
      <c r="H79" s="149">
        <v>1</v>
      </c>
      <c r="I79" s="72">
        <v>616</v>
      </c>
      <c r="J79" t="s">
        <v>289</v>
      </c>
      <c r="K79" s="73" t="s">
        <v>290</v>
      </c>
      <c r="L79" s="73"/>
      <c r="M79" s="157">
        <v>45135</v>
      </c>
      <c r="N79" s="157">
        <v>45135</v>
      </c>
      <c r="O79" s="149" t="s">
        <v>98</v>
      </c>
      <c r="P79" s="157" t="s">
        <v>99</v>
      </c>
    </row>
    <row r="80" spans="1:16" ht="39.6" x14ac:dyDescent="0.25">
      <c r="A80" s="156" t="str">
        <f ca="1">HYPERLINK(MID(CELL("filename",A1),FIND("[",CELL("filename",A1)),FIND("]",CELL("filename",A1)) - FIND("[",CELL("filename",A1)) + 1) &amp; "'x-617'!TABLE_CLIENT_1","x-617 1")</f>
        <v>x-617 1</v>
      </c>
      <c r="B80" s="149" t="s">
        <v>67</v>
      </c>
      <c r="C80" s="149">
        <v>2006</v>
      </c>
      <c r="D80" s="149" t="s">
        <v>257</v>
      </c>
      <c r="E80" s="149" t="s">
        <v>291</v>
      </c>
      <c r="F80" s="149" t="s">
        <v>176</v>
      </c>
      <c r="G80" s="149" t="s">
        <v>284</v>
      </c>
      <c r="H80" s="149">
        <v>1</v>
      </c>
      <c r="I80" s="72">
        <v>617</v>
      </c>
      <c r="J80" t="s">
        <v>292</v>
      </c>
      <c r="K80" s="73" t="s">
        <v>293</v>
      </c>
      <c r="L80" s="73"/>
      <c r="M80" s="157">
        <v>45135</v>
      </c>
      <c r="N80" s="157">
        <v>45135</v>
      </c>
      <c r="O80" s="149" t="s">
        <v>98</v>
      </c>
      <c r="P80" s="157" t="s">
        <v>99</v>
      </c>
    </row>
    <row r="81" spans="1:16" ht="26.4" x14ac:dyDescent="0.25">
      <c r="A81" s="156" t="str">
        <f ca="1">HYPERLINK(MID(CELL("filename",A1),FIND("[",CELL("filename",A1)),FIND("]",CELL("filename",A1)) - FIND("[",CELL("filename",A1)) + 1) &amp; "'x-618'!TABLE_CLIENT_1","x-618 1")</f>
        <v>x-618 1</v>
      </c>
      <c r="B81" s="149" t="s">
        <v>67</v>
      </c>
      <c r="C81" s="149">
        <v>2006</v>
      </c>
      <c r="D81" s="149" t="s">
        <v>257</v>
      </c>
      <c r="E81" s="149" t="s">
        <v>294</v>
      </c>
      <c r="F81" s="149" t="s">
        <v>176</v>
      </c>
      <c r="G81" s="149" t="s">
        <v>284</v>
      </c>
      <c r="H81" s="149">
        <v>1</v>
      </c>
      <c r="I81" s="72">
        <v>618</v>
      </c>
      <c r="J81" t="s">
        <v>295</v>
      </c>
      <c r="K81" s="73" t="s">
        <v>282</v>
      </c>
      <c r="L81" s="73"/>
      <c r="M81" s="157">
        <v>45135</v>
      </c>
      <c r="N81" s="157">
        <v>45135</v>
      </c>
      <c r="O81" s="149" t="s">
        <v>98</v>
      </c>
      <c r="P81" s="157" t="s">
        <v>99</v>
      </c>
    </row>
    <row r="82" spans="1:16" ht="39.6" x14ac:dyDescent="0.25">
      <c r="A82" s="156" t="str">
        <f ca="1">HYPERLINK(MID(CELL("filename",A1),FIND("[",CELL("filename",A1)),FIND("]",CELL("filename",A1)) - FIND("[",CELL("filename",A1)) + 1) &amp; "'x-619'!TABLE_CLIENT_1","x-619 1")</f>
        <v>x-619 1</v>
      </c>
      <c r="B82" s="149" t="s">
        <v>67</v>
      </c>
      <c r="C82" s="149">
        <v>2006</v>
      </c>
      <c r="D82" s="149" t="s">
        <v>257</v>
      </c>
      <c r="E82" s="149" t="s">
        <v>296</v>
      </c>
      <c r="F82" s="149" t="s">
        <v>176</v>
      </c>
      <c r="G82" s="149" t="s">
        <v>284</v>
      </c>
      <c r="H82" s="149">
        <v>1</v>
      </c>
      <c r="I82" s="72">
        <v>619</v>
      </c>
      <c r="J82" t="s">
        <v>297</v>
      </c>
      <c r="K82" s="73" t="s">
        <v>298</v>
      </c>
      <c r="L82" s="73"/>
      <c r="M82" s="157">
        <v>45135</v>
      </c>
      <c r="N82" s="157">
        <v>45135</v>
      </c>
      <c r="O82" s="149" t="s">
        <v>98</v>
      </c>
      <c r="P82" s="157" t="s">
        <v>99</v>
      </c>
    </row>
    <row r="83" spans="1:16" ht="26.4" x14ac:dyDescent="0.25">
      <c r="A83" s="156" t="str">
        <f ca="1">HYPERLINK(MID(CELL("filename",A1),FIND("[",CELL("filename",A1)),FIND("]",CELL("filename",A1)) - FIND("[",CELL("filename",A1)) + 1) &amp; "'x-620'!TABLE_CLIENT_1","x-620 1")</f>
        <v>x-620 1</v>
      </c>
      <c r="B83" s="149" t="s">
        <v>67</v>
      </c>
      <c r="C83" s="149">
        <v>2015</v>
      </c>
      <c r="D83" s="149" t="s">
        <v>257</v>
      </c>
      <c r="E83" s="149" t="s">
        <v>299</v>
      </c>
      <c r="F83" s="149" t="s">
        <v>176</v>
      </c>
      <c r="G83" s="149" t="s">
        <v>203</v>
      </c>
      <c r="H83" s="149">
        <v>0</v>
      </c>
      <c r="I83" s="72">
        <v>620</v>
      </c>
      <c r="J83" t="s">
        <v>300</v>
      </c>
      <c r="K83" s="73" t="s">
        <v>111</v>
      </c>
      <c r="L83" s="73"/>
      <c r="M83" s="157">
        <v>45135</v>
      </c>
      <c r="N83" s="157">
        <v>45135</v>
      </c>
      <c r="O83" s="149" t="s">
        <v>98</v>
      </c>
      <c r="P83" s="157" t="s">
        <v>99</v>
      </c>
    </row>
    <row r="84" spans="1:16" ht="26.4" x14ac:dyDescent="0.25">
      <c r="A84" s="156" t="str">
        <f ca="1">HYPERLINK(MID(CELL("filename",A1),FIND("[",CELL("filename",A1)),FIND("]",CELL("filename",A1)) - FIND("[",CELL("filename",A1)) + 1) &amp; "'x-621'!TABLE_CLIENT_1","x-621 1")</f>
        <v>x-621 1</v>
      </c>
      <c r="B84" s="149" t="s">
        <v>67</v>
      </c>
      <c r="C84" s="149">
        <v>2015</v>
      </c>
      <c r="D84" s="149" t="s">
        <v>257</v>
      </c>
      <c r="E84" s="149" t="s">
        <v>301</v>
      </c>
      <c r="F84" s="149" t="s">
        <v>176</v>
      </c>
      <c r="G84" s="149" t="s">
        <v>203</v>
      </c>
      <c r="H84" s="149">
        <v>0</v>
      </c>
      <c r="I84" s="72">
        <v>621</v>
      </c>
      <c r="J84" t="s">
        <v>302</v>
      </c>
      <c r="K84" s="73" t="s">
        <v>113</v>
      </c>
      <c r="L84" s="73"/>
      <c r="M84" s="157">
        <v>45135</v>
      </c>
      <c r="N84" s="157">
        <v>45135</v>
      </c>
      <c r="O84" s="149" t="s">
        <v>98</v>
      </c>
      <c r="P84" s="157" t="s">
        <v>99</v>
      </c>
    </row>
    <row r="85" spans="1:16" ht="26.4" x14ac:dyDescent="0.25">
      <c r="A85" s="156" t="str">
        <f ca="1">HYPERLINK(MID(CELL("filename",A1),FIND("[",CELL("filename",A1)),FIND("]",CELL("filename",A1)) - FIND("[",CELL("filename",A1)) + 1) &amp; "'x-622'!TABLE_CLIENT_1","x-622 1")</f>
        <v>x-622 1</v>
      </c>
      <c r="B85" s="149" t="s">
        <v>67</v>
      </c>
      <c r="C85" s="149">
        <v>1992</v>
      </c>
      <c r="D85" s="149" t="s">
        <v>303</v>
      </c>
      <c r="E85" s="149" t="s">
        <v>304</v>
      </c>
      <c r="F85" s="149" t="s">
        <v>259</v>
      </c>
      <c r="G85" s="149" t="s">
        <v>305</v>
      </c>
      <c r="H85" s="149">
        <v>2</v>
      </c>
      <c r="I85" s="72">
        <v>622</v>
      </c>
      <c r="J85" t="s">
        <v>306</v>
      </c>
      <c r="K85" s="73" t="s">
        <v>205</v>
      </c>
      <c r="L85" s="73"/>
      <c r="M85" s="157">
        <v>45135</v>
      </c>
      <c r="N85" s="157">
        <v>45135</v>
      </c>
      <c r="O85" s="149" t="s">
        <v>307</v>
      </c>
      <c r="P85" s="157" t="s">
        <v>99</v>
      </c>
    </row>
    <row r="86" spans="1:16" ht="26.4" x14ac:dyDescent="0.25">
      <c r="A86" s="156" t="str">
        <f ca="1">HYPERLINK(MID(CELL("filename",A1),FIND("[",CELL("filename",A1)),FIND("]",CELL("filename",A1)) - FIND("[",CELL("filename",A1)) + 1) &amp; "'x-623'!TABLE_CLIENT_1","x-623 1")</f>
        <v>x-623 1</v>
      </c>
      <c r="B86" s="149" t="s">
        <v>67</v>
      </c>
      <c r="C86" s="149">
        <v>1992</v>
      </c>
      <c r="D86" s="149" t="s">
        <v>303</v>
      </c>
      <c r="E86" s="149" t="s">
        <v>308</v>
      </c>
      <c r="F86" s="149" t="s">
        <v>259</v>
      </c>
      <c r="G86" s="149" t="s">
        <v>305</v>
      </c>
      <c r="H86" s="149">
        <v>2</v>
      </c>
      <c r="I86" s="72">
        <v>623</v>
      </c>
      <c r="J86" t="s">
        <v>309</v>
      </c>
      <c r="K86" s="73" t="s">
        <v>208</v>
      </c>
      <c r="L86" s="73"/>
      <c r="M86" s="157">
        <v>45135</v>
      </c>
      <c r="N86" s="157">
        <v>45135</v>
      </c>
      <c r="O86" s="149" t="s">
        <v>307</v>
      </c>
      <c r="P86" s="157" t="s">
        <v>99</v>
      </c>
    </row>
    <row r="87" spans="1:16" ht="26.4" x14ac:dyDescent="0.25">
      <c r="A87" s="156" t="str">
        <f ca="1">HYPERLINK(MID(CELL("filename",A1),FIND("[",CELL("filename",A1)),FIND("]",CELL("filename",A1)) - FIND("[",CELL("filename",A1)) + 1) &amp; "'x-624'!TABLE_CLIENT_1","x-624 1")</f>
        <v>x-624 1</v>
      </c>
      <c r="B87" s="149" t="s">
        <v>67</v>
      </c>
      <c r="C87" s="149">
        <v>2006</v>
      </c>
      <c r="D87" s="149" t="s">
        <v>303</v>
      </c>
      <c r="E87" s="149" t="s">
        <v>310</v>
      </c>
      <c r="F87" s="149" t="s">
        <v>259</v>
      </c>
      <c r="G87" s="149" t="s">
        <v>305</v>
      </c>
      <c r="H87" s="149">
        <v>1</v>
      </c>
      <c r="I87" s="72">
        <v>624</v>
      </c>
      <c r="J87" t="s">
        <v>311</v>
      </c>
      <c r="K87" s="73" t="s">
        <v>205</v>
      </c>
      <c r="L87" s="73"/>
      <c r="M87" s="157">
        <v>45135</v>
      </c>
      <c r="N87" s="157">
        <v>45135</v>
      </c>
      <c r="O87" s="149" t="s">
        <v>307</v>
      </c>
      <c r="P87" s="157" t="s">
        <v>99</v>
      </c>
    </row>
    <row r="88" spans="1:16" ht="26.4" x14ac:dyDescent="0.25">
      <c r="A88" s="156" t="str">
        <f ca="1">HYPERLINK(MID(CELL("filename",A1),FIND("[",CELL("filename",A1)),FIND("]",CELL("filename",A1)) - FIND("[",CELL("filename",A1)) + 1) &amp; "'x-625'!TABLE_CLIENT_1","x-625 1")</f>
        <v>x-625 1</v>
      </c>
      <c r="B88" s="149" t="s">
        <v>67</v>
      </c>
      <c r="C88" s="149">
        <v>2006</v>
      </c>
      <c r="D88" s="149" t="s">
        <v>303</v>
      </c>
      <c r="E88" s="149" t="s">
        <v>312</v>
      </c>
      <c r="F88" s="149" t="s">
        <v>259</v>
      </c>
      <c r="G88" s="149" t="s">
        <v>305</v>
      </c>
      <c r="H88" s="149">
        <v>1</v>
      </c>
      <c r="I88" s="72">
        <v>625</v>
      </c>
      <c r="J88" t="s">
        <v>313</v>
      </c>
      <c r="K88" s="73" t="s">
        <v>208</v>
      </c>
      <c r="L88" s="73"/>
      <c r="M88" s="157">
        <v>45135</v>
      </c>
      <c r="N88" s="157">
        <v>45135</v>
      </c>
      <c r="O88" s="149" t="s">
        <v>307</v>
      </c>
      <c r="P88" s="157" t="s">
        <v>99</v>
      </c>
    </row>
    <row r="89" spans="1:16" ht="26.4" x14ac:dyDescent="0.25">
      <c r="A89" s="156" t="str">
        <f ca="1">HYPERLINK(MID(CELL("filename",A1),FIND("[",CELL("filename",A1)),FIND("]",CELL("filename",A1)) - FIND("[",CELL("filename",A1)) + 1) &amp; "'x-626'!TABLE_CLIENT_1","x-626 1")</f>
        <v>x-626 1</v>
      </c>
      <c r="B89" s="149" t="s">
        <v>67</v>
      </c>
      <c r="C89" s="149">
        <v>2015</v>
      </c>
      <c r="D89" s="149" t="s">
        <v>303</v>
      </c>
      <c r="E89" s="149" t="s">
        <v>310</v>
      </c>
      <c r="F89" s="149" t="s">
        <v>259</v>
      </c>
      <c r="G89" s="149" t="s">
        <v>305</v>
      </c>
      <c r="H89" s="149">
        <v>0</v>
      </c>
      <c r="I89" s="72">
        <v>626</v>
      </c>
      <c r="J89" t="s">
        <v>314</v>
      </c>
      <c r="K89" s="73" t="s">
        <v>315</v>
      </c>
      <c r="L89" s="73"/>
      <c r="M89" s="157">
        <v>45135</v>
      </c>
      <c r="N89" s="157">
        <v>45135</v>
      </c>
      <c r="O89" s="149" t="s">
        <v>307</v>
      </c>
      <c r="P89" s="157" t="s">
        <v>99</v>
      </c>
    </row>
    <row r="90" spans="1:16" ht="26.4" x14ac:dyDescent="0.25">
      <c r="A90" s="156" t="str">
        <f ca="1">HYPERLINK(MID(CELL("filename",A1),FIND("[",CELL("filename",A1)),FIND("]",CELL("filename",A1)) - FIND("[",CELL("filename",A1)) + 1) &amp; "'x-627'!TABLE_CLIENT_1","x-627 1")</f>
        <v>x-627 1</v>
      </c>
      <c r="B90" s="149" t="s">
        <v>67</v>
      </c>
      <c r="C90" s="149">
        <v>2015</v>
      </c>
      <c r="D90" s="149" t="s">
        <v>303</v>
      </c>
      <c r="E90" s="149" t="s">
        <v>316</v>
      </c>
      <c r="F90" s="149" t="s">
        <v>259</v>
      </c>
      <c r="G90" s="149" t="s">
        <v>305</v>
      </c>
      <c r="H90" s="149">
        <v>0</v>
      </c>
      <c r="I90" s="72">
        <v>627</v>
      </c>
      <c r="J90" t="s">
        <v>317</v>
      </c>
      <c r="K90" s="73" t="s">
        <v>318</v>
      </c>
      <c r="L90" s="73"/>
      <c r="M90" s="157">
        <v>45135</v>
      </c>
      <c r="N90" s="157">
        <v>45135</v>
      </c>
      <c r="O90" s="149" t="s">
        <v>307</v>
      </c>
      <c r="P90" s="157" t="s">
        <v>99</v>
      </c>
    </row>
    <row r="91" spans="1:16" ht="26.4" x14ac:dyDescent="0.25">
      <c r="A91" s="156" t="str">
        <f ca="1">HYPERLINK(MID(CELL("filename",A1),FIND("[",CELL("filename",A1)),FIND("]",CELL("filename",A1)) - FIND("[",CELL("filename",A1)) + 1) &amp; "'x-701'!TABLE_CLIENT_1","x-701 1")</f>
        <v>x-701 1</v>
      </c>
      <c r="B91" s="149" t="s">
        <v>67</v>
      </c>
      <c r="C91" s="149">
        <v>2015</v>
      </c>
      <c r="D91" s="149" t="s">
        <v>319</v>
      </c>
      <c r="E91" s="149" t="s">
        <v>320</v>
      </c>
      <c r="F91" s="149" t="s">
        <v>176</v>
      </c>
      <c r="G91" s="149" t="s">
        <v>321</v>
      </c>
      <c r="H91" s="149">
        <v>0</v>
      </c>
      <c r="I91" s="72">
        <v>701</v>
      </c>
      <c r="J91" t="s">
        <v>322</v>
      </c>
      <c r="K91" s="73" t="s">
        <v>241</v>
      </c>
      <c r="L91" s="73"/>
      <c r="M91" s="157">
        <v>45196</v>
      </c>
      <c r="N91" s="157">
        <v>45197</v>
      </c>
      <c r="O91" s="149" t="s">
        <v>98</v>
      </c>
      <c r="P91" s="157" t="s">
        <v>99</v>
      </c>
    </row>
    <row r="92" spans="1:16" ht="26.4" x14ac:dyDescent="0.25">
      <c r="A92" s="156" t="str">
        <f ca="1">HYPERLINK(MID(CELL("filename",A1),FIND("[",CELL("filename",A1)),FIND("]",CELL("filename",A1)) - FIND("[",CELL("filename",A1)) + 1) &amp; "'x-702'!TABLE_CLIENT_1","x-702 1")</f>
        <v>x-702 1</v>
      </c>
      <c r="B92" s="149" t="s">
        <v>67</v>
      </c>
      <c r="C92" s="149">
        <v>2015</v>
      </c>
      <c r="D92" s="149" t="s">
        <v>319</v>
      </c>
      <c r="E92" s="149" t="s">
        <v>323</v>
      </c>
      <c r="F92" s="149" t="s">
        <v>176</v>
      </c>
      <c r="G92" s="149" t="s">
        <v>324</v>
      </c>
      <c r="H92" s="149">
        <v>0</v>
      </c>
      <c r="I92" s="72">
        <v>702</v>
      </c>
      <c r="J92" t="s">
        <v>325</v>
      </c>
      <c r="K92" s="73" t="s">
        <v>244</v>
      </c>
      <c r="L92" s="73"/>
      <c r="M92" s="157">
        <v>45196</v>
      </c>
      <c r="N92" s="157">
        <v>45197</v>
      </c>
      <c r="O92" s="149" t="s">
        <v>98</v>
      </c>
      <c r="P92" s="157" t="s">
        <v>99</v>
      </c>
    </row>
    <row r="93" spans="1:16" x14ac:dyDescent="0.25">
      <c r="A93" s="156" t="str">
        <f ca="1">HYPERLINK(MID(CELL("filename",A1),FIND("[",CELL("filename",A1)),FIND("]",CELL("filename",A1)) - FIND("[",CELL("filename",A1)) + 1) &amp; "'x-802'!TABLE_CLIENT_1","x-802 1")</f>
        <v>x-802 1</v>
      </c>
      <c r="B93" s="149" t="s">
        <v>67</v>
      </c>
      <c r="C93" s="149">
        <v>2006</v>
      </c>
      <c r="D93" s="149" t="s">
        <v>326</v>
      </c>
      <c r="E93" s="149" t="s">
        <v>327</v>
      </c>
      <c r="F93" s="149" t="s">
        <v>161</v>
      </c>
      <c r="G93" s="149" t="s">
        <v>95</v>
      </c>
      <c r="H93" s="149">
        <v>1</v>
      </c>
      <c r="I93" s="72">
        <v>802</v>
      </c>
      <c r="J93" t="s">
        <v>328</v>
      </c>
      <c r="K93" s="73" t="s">
        <v>315</v>
      </c>
      <c r="L93" s="73"/>
      <c r="M93" s="157"/>
      <c r="N93" s="157"/>
      <c r="O93" s="149" t="s">
        <v>329</v>
      </c>
      <c r="P93" s="157"/>
    </row>
    <row r="94" spans="1:16" ht="50.55" customHeight="1" x14ac:dyDescent="0.25">
      <c r="A94" s="156" t="str">
        <f ca="1">HYPERLINK(MID(CELL("filename",A1),FIND("[",CELL("filename",A1)),FIND("]",CELL("filename",A1)) - FIND("[",CELL("filename",A1)) + 1) &amp; "'x-802'!TABLE_CLIENT_2","x-802 2")</f>
        <v>x-802 2</v>
      </c>
      <c r="B94" s="149" t="s">
        <v>67</v>
      </c>
      <c r="C94" s="149">
        <v>2006</v>
      </c>
      <c r="D94" s="149" t="s">
        <v>326</v>
      </c>
      <c r="E94" s="149" t="s">
        <v>330</v>
      </c>
      <c r="F94" s="149" t="s">
        <v>176</v>
      </c>
      <c r="G94" s="149" t="s">
        <v>95</v>
      </c>
      <c r="H94" s="149">
        <v>1</v>
      </c>
      <c r="I94" s="72">
        <v>802</v>
      </c>
      <c r="J94" t="s">
        <v>331</v>
      </c>
      <c r="K94" s="73" t="s">
        <v>318</v>
      </c>
      <c r="L94" s="73"/>
      <c r="M94" s="157"/>
      <c r="N94" s="157"/>
      <c r="O94" s="149" t="s">
        <v>329</v>
      </c>
      <c r="P94" s="157"/>
    </row>
    <row r="95" spans="1:16" ht="37.35" customHeight="1" x14ac:dyDescent="0.25">
      <c r="A95" s="156" t="str">
        <f ca="1">HYPERLINK(MID(CELL("filename",A1),FIND("[",CELL("filename",A1)),FIND("]",CELL("filename",A1)) - FIND("[",CELL("filename",A1)) + 1) &amp; "'x-802'!TABLE_CLIENT_3","x-802 3")</f>
        <v>x-802 3</v>
      </c>
      <c r="B95" s="149" t="s">
        <v>67</v>
      </c>
      <c r="C95" s="149">
        <v>2006</v>
      </c>
      <c r="D95" s="149" t="s">
        <v>326</v>
      </c>
      <c r="E95" s="149" t="s">
        <v>332</v>
      </c>
      <c r="F95" s="149" t="s">
        <v>176</v>
      </c>
      <c r="G95" s="149" t="s">
        <v>95</v>
      </c>
      <c r="H95" s="149">
        <v>1</v>
      </c>
      <c r="I95" s="72">
        <v>802</v>
      </c>
      <c r="J95" t="s">
        <v>333</v>
      </c>
      <c r="K95" s="73" t="s">
        <v>282</v>
      </c>
      <c r="M95" s="153"/>
      <c r="N95" s="153"/>
      <c r="O95" t="s">
        <v>329</v>
      </c>
    </row>
    <row r="96" spans="1:16" x14ac:dyDescent="0.25">
      <c r="M96"/>
      <c r="N96"/>
    </row>
    <row r="97" spans="13:14" x14ac:dyDescent="0.25">
      <c r="M97"/>
      <c r="N97"/>
    </row>
    <row r="98" spans="13:14" x14ac:dyDescent="0.25">
      <c r="M98"/>
      <c r="N98"/>
    </row>
    <row r="99" spans="13:14" x14ac:dyDescent="0.25">
      <c r="M99"/>
      <c r="N99"/>
    </row>
    <row r="100" spans="13:14" x14ac:dyDescent="0.25">
      <c r="M100"/>
      <c r="N100"/>
    </row>
    <row r="101" spans="13:14" x14ac:dyDescent="0.25">
      <c r="M101"/>
      <c r="N101"/>
    </row>
    <row r="102" spans="13:14" x14ac:dyDescent="0.25">
      <c r="M102"/>
      <c r="N102"/>
    </row>
    <row r="103" spans="13:14" x14ac:dyDescent="0.25">
      <c r="M103"/>
      <c r="N103"/>
    </row>
    <row r="104" spans="13:14" x14ac:dyDescent="0.25">
      <c r="M104"/>
      <c r="N104"/>
    </row>
    <row r="105" spans="13:14" x14ac:dyDescent="0.25">
      <c r="M105"/>
      <c r="N105"/>
    </row>
    <row r="106" spans="13:14" x14ac:dyDescent="0.25">
      <c r="M106"/>
      <c r="N106"/>
    </row>
    <row r="107" spans="13:14" x14ac:dyDescent="0.25">
      <c r="M107"/>
      <c r="N107"/>
    </row>
    <row r="108" spans="13:14" x14ac:dyDescent="0.25">
      <c r="M108"/>
      <c r="N108"/>
    </row>
    <row r="109" spans="13:14" x14ac:dyDescent="0.25">
      <c r="M109"/>
      <c r="N109"/>
    </row>
    <row r="110" spans="13:14" x14ac:dyDescent="0.25">
      <c r="M110"/>
      <c r="N110"/>
    </row>
    <row r="111" spans="13:14" x14ac:dyDescent="0.25">
      <c r="M111"/>
      <c r="N111"/>
    </row>
    <row r="112" spans="13:14" x14ac:dyDescent="0.25">
      <c r="M112"/>
      <c r="N112"/>
    </row>
    <row r="113" spans="13:14" x14ac:dyDescent="0.25">
      <c r="M113"/>
      <c r="N113"/>
    </row>
    <row r="114" spans="13:14" x14ac:dyDescent="0.25">
      <c r="M114"/>
      <c r="N114"/>
    </row>
    <row r="115" spans="13:14" x14ac:dyDescent="0.25">
      <c r="M115"/>
      <c r="N115"/>
    </row>
    <row r="116" spans="13:14" x14ac:dyDescent="0.25">
      <c r="M116"/>
      <c r="N116"/>
    </row>
    <row r="117" spans="13:14" x14ac:dyDescent="0.25">
      <c r="M117"/>
      <c r="N117"/>
    </row>
    <row r="118" spans="13:14" x14ac:dyDescent="0.25">
      <c r="M118"/>
      <c r="N118"/>
    </row>
    <row r="119" spans="13:14" x14ac:dyDescent="0.25">
      <c r="M119"/>
      <c r="N119"/>
    </row>
    <row r="120" spans="13:14" x14ac:dyDescent="0.25">
      <c r="M120"/>
      <c r="N120"/>
    </row>
    <row r="121" spans="13:14" x14ac:dyDescent="0.25">
      <c r="M121"/>
      <c r="N121"/>
    </row>
    <row r="122" spans="13:14" x14ac:dyDescent="0.25">
      <c r="M122"/>
      <c r="N122"/>
    </row>
    <row r="123" spans="13:14" x14ac:dyDescent="0.25">
      <c r="M123"/>
      <c r="N123"/>
    </row>
    <row r="124" spans="13:14" x14ac:dyDescent="0.25">
      <c r="M124"/>
      <c r="N124"/>
    </row>
    <row r="125" spans="13:14" x14ac:dyDescent="0.25">
      <c r="M125"/>
      <c r="N125"/>
    </row>
    <row r="126" spans="13:14" x14ac:dyDescent="0.25">
      <c r="M126"/>
      <c r="N126"/>
    </row>
    <row r="127" spans="13:14" x14ac:dyDescent="0.25">
      <c r="M127"/>
      <c r="N127"/>
    </row>
    <row r="128" spans="13:14" x14ac:dyDescent="0.25">
      <c r="M128"/>
      <c r="N128"/>
    </row>
    <row r="129" spans="13:14" x14ac:dyDescent="0.25">
      <c r="M129"/>
      <c r="N129"/>
    </row>
    <row r="130" spans="13:14" x14ac:dyDescent="0.25">
      <c r="M130"/>
      <c r="N130"/>
    </row>
    <row r="131" spans="13:14" x14ac:dyDescent="0.25">
      <c r="M131"/>
      <c r="N131"/>
    </row>
    <row r="132" spans="13:14" x14ac:dyDescent="0.25">
      <c r="M132"/>
      <c r="N132"/>
    </row>
    <row r="133" spans="13:14" x14ac:dyDescent="0.25">
      <c r="M133"/>
      <c r="N133"/>
    </row>
    <row r="134" spans="13:14" x14ac:dyDescent="0.25">
      <c r="M134"/>
      <c r="N134"/>
    </row>
    <row r="135" spans="13:14" x14ac:dyDescent="0.25">
      <c r="M135"/>
      <c r="N135"/>
    </row>
    <row r="136" spans="13:14" x14ac:dyDescent="0.25">
      <c r="M136"/>
      <c r="N136"/>
    </row>
    <row r="137" spans="13:14" x14ac:dyDescent="0.25">
      <c r="M137"/>
      <c r="N137"/>
    </row>
    <row r="138" spans="13:14" x14ac:dyDescent="0.25">
      <c r="M138"/>
      <c r="N138"/>
    </row>
    <row r="139" spans="13:14" x14ac:dyDescent="0.25">
      <c r="M139"/>
      <c r="N139"/>
    </row>
    <row r="140" spans="13:14" x14ac:dyDescent="0.25">
      <c r="M140"/>
      <c r="N140"/>
    </row>
    <row r="141" spans="13:14" x14ac:dyDescent="0.25">
      <c r="M141"/>
      <c r="N141"/>
    </row>
    <row r="142" spans="13:14" x14ac:dyDescent="0.25">
      <c r="M142"/>
      <c r="N142"/>
    </row>
    <row r="143" spans="13:14" x14ac:dyDescent="0.25">
      <c r="M143"/>
      <c r="N143"/>
    </row>
    <row r="144" spans="13:14" x14ac:dyDescent="0.25">
      <c r="M144"/>
      <c r="N144"/>
    </row>
    <row r="145" spans="13:14" x14ac:dyDescent="0.25">
      <c r="M145"/>
      <c r="N145"/>
    </row>
    <row r="146" spans="13:14" x14ac:dyDescent="0.25">
      <c r="M146"/>
      <c r="N146"/>
    </row>
    <row r="147" spans="13:14" x14ac:dyDescent="0.25">
      <c r="M147"/>
      <c r="N147"/>
    </row>
    <row r="148" spans="13:14" x14ac:dyDescent="0.25">
      <c r="M148"/>
      <c r="N148"/>
    </row>
    <row r="149" spans="13:14" x14ac:dyDescent="0.25">
      <c r="M149"/>
      <c r="N149"/>
    </row>
    <row r="150" spans="13:14" x14ac:dyDescent="0.25">
      <c r="M150"/>
      <c r="N150"/>
    </row>
    <row r="151" spans="13:14" x14ac:dyDescent="0.25">
      <c r="M151"/>
      <c r="N151"/>
    </row>
    <row r="152" spans="13:14" x14ac:dyDescent="0.25">
      <c r="M152"/>
      <c r="N152"/>
    </row>
    <row r="153" spans="13:14" x14ac:dyDescent="0.25">
      <c r="M153"/>
      <c r="N153"/>
    </row>
    <row r="154" spans="13:14" x14ac:dyDescent="0.25">
      <c r="M154"/>
      <c r="N154"/>
    </row>
    <row r="155" spans="13:14" x14ac:dyDescent="0.25">
      <c r="M155"/>
      <c r="N155"/>
    </row>
    <row r="156" spans="13:14" x14ac:dyDescent="0.25">
      <c r="M156"/>
      <c r="N156"/>
    </row>
    <row r="157" spans="13:14" x14ac:dyDescent="0.25">
      <c r="M157"/>
      <c r="N157"/>
    </row>
    <row r="158" spans="13:14" x14ac:dyDescent="0.25">
      <c r="M158"/>
      <c r="N158"/>
    </row>
    <row r="159" spans="13:14" x14ac:dyDescent="0.25">
      <c r="M159"/>
      <c r="N159"/>
    </row>
    <row r="160" spans="13:14" x14ac:dyDescent="0.25">
      <c r="M160"/>
      <c r="N160"/>
    </row>
    <row r="161" spans="13:14" x14ac:dyDescent="0.25">
      <c r="M161"/>
      <c r="N161"/>
    </row>
    <row r="162" spans="13:14" x14ac:dyDescent="0.25">
      <c r="M162"/>
      <c r="N162"/>
    </row>
    <row r="163" spans="13:14" x14ac:dyDescent="0.25">
      <c r="M163"/>
      <c r="N163"/>
    </row>
    <row r="164" spans="13:14" x14ac:dyDescent="0.25">
      <c r="M164"/>
      <c r="N164"/>
    </row>
    <row r="165" spans="13:14" x14ac:dyDescent="0.25">
      <c r="M165"/>
      <c r="N165"/>
    </row>
    <row r="166" spans="13:14" x14ac:dyDescent="0.25">
      <c r="M166"/>
      <c r="N166"/>
    </row>
    <row r="167" spans="13:14" x14ac:dyDescent="0.25">
      <c r="M167"/>
      <c r="N167"/>
    </row>
    <row r="168" spans="13:14" x14ac:dyDescent="0.25">
      <c r="M168"/>
      <c r="N168"/>
    </row>
    <row r="169" spans="13:14" x14ac:dyDescent="0.25">
      <c r="M169"/>
      <c r="N169"/>
    </row>
    <row r="170" spans="13:14" x14ac:dyDescent="0.25">
      <c r="M170"/>
      <c r="N170"/>
    </row>
    <row r="171" spans="13:14" x14ac:dyDescent="0.25">
      <c r="M171"/>
      <c r="N171"/>
    </row>
    <row r="172" spans="13:14" x14ac:dyDescent="0.25">
      <c r="M172"/>
      <c r="N172"/>
    </row>
    <row r="173" spans="13:14" x14ac:dyDescent="0.25">
      <c r="M173"/>
      <c r="N173"/>
    </row>
    <row r="174" spans="13:14" x14ac:dyDescent="0.25">
      <c r="M174"/>
      <c r="N174"/>
    </row>
    <row r="175" spans="13:14" x14ac:dyDescent="0.25">
      <c r="M175"/>
      <c r="N175"/>
    </row>
    <row r="176" spans="13:14" x14ac:dyDescent="0.25">
      <c r="M176"/>
      <c r="N176"/>
    </row>
    <row r="177" spans="13:14" x14ac:dyDescent="0.25">
      <c r="M177"/>
      <c r="N177"/>
    </row>
    <row r="178" spans="13:14" x14ac:dyDescent="0.25">
      <c r="M178"/>
      <c r="N178"/>
    </row>
    <row r="179" spans="13:14" x14ac:dyDescent="0.25">
      <c r="M179"/>
      <c r="N179"/>
    </row>
    <row r="180" spans="13:14" x14ac:dyDescent="0.25">
      <c r="M180"/>
      <c r="N180"/>
    </row>
    <row r="181" spans="13:14" x14ac:dyDescent="0.25">
      <c r="M181"/>
      <c r="N181"/>
    </row>
    <row r="182" spans="13:14" x14ac:dyDescent="0.25">
      <c r="M182"/>
      <c r="N182"/>
    </row>
    <row r="183" spans="13:14" x14ac:dyDescent="0.25">
      <c r="M183"/>
      <c r="N183"/>
    </row>
    <row r="184" spans="13:14" x14ac:dyDescent="0.25">
      <c r="M184"/>
      <c r="N184"/>
    </row>
    <row r="185" spans="13:14" x14ac:dyDescent="0.25">
      <c r="M185"/>
      <c r="N185"/>
    </row>
    <row r="186" spans="13:14" x14ac:dyDescent="0.25">
      <c r="M186"/>
      <c r="N186"/>
    </row>
    <row r="187" spans="13:14" x14ac:dyDescent="0.25">
      <c r="M187"/>
      <c r="N187"/>
    </row>
    <row r="188" spans="13:14" x14ac:dyDescent="0.25">
      <c r="M188"/>
      <c r="N188"/>
    </row>
    <row r="189" spans="13:14" x14ac:dyDescent="0.25">
      <c r="M189"/>
      <c r="N189"/>
    </row>
    <row r="190" spans="13:14" x14ac:dyDescent="0.25">
      <c r="M190"/>
      <c r="N190"/>
    </row>
    <row r="191" spans="13:14" x14ac:dyDescent="0.25">
      <c r="M191"/>
      <c r="N191"/>
    </row>
    <row r="192" spans="13:14" x14ac:dyDescent="0.25">
      <c r="M192"/>
      <c r="N192"/>
    </row>
    <row r="193" spans="13:14" x14ac:dyDescent="0.25">
      <c r="M193"/>
      <c r="N193"/>
    </row>
    <row r="194" spans="13:14" x14ac:dyDescent="0.25">
      <c r="M194"/>
      <c r="N194"/>
    </row>
    <row r="195" spans="13:14" x14ac:dyDescent="0.25">
      <c r="M195"/>
      <c r="N195"/>
    </row>
    <row r="196" spans="13:14" x14ac:dyDescent="0.25">
      <c r="M196"/>
      <c r="N196"/>
    </row>
    <row r="197" spans="13:14" x14ac:dyDescent="0.25">
      <c r="M197"/>
      <c r="N197"/>
    </row>
    <row r="198" spans="13:14" x14ac:dyDescent="0.25">
      <c r="M198"/>
      <c r="N198"/>
    </row>
    <row r="199" spans="13:14" x14ac:dyDescent="0.25">
      <c r="M199"/>
      <c r="N199"/>
    </row>
    <row r="200" spans="13:14" x14ac:dyDescent="0.25">
      <c r="M200"/>
      <c r="N200"/>
    </row>
    <row r="201" spans="13:14" x14ac:dyDescent="0.25">
      <c r="M201"/>
      <c r="N201"/>
    </row>
    <row r="202" spans="13:14" x14ac:dyDescent="0.25">
      <c r="M202"/>
      <c r="N202"/>
    </row>
    <row r="203" spans="13:14" x14ac:dyDescent="0.25">
      <c r="M203"/>
      <c r="N203"/>
    </row>
    <row r="204" spans="13:14" x14ac:dyDescent="0.25">
      <c r="M204"/>
      <c r="N204"/>
    </row>
    <row r="205" spans="13:14" x14ac:dyDescent="0.25">
      <c r="M205"/>
      <c r="N205"/>
    </row>
    <row r="206" spans="13:14" x14ac:dyDescent="0.25">
      <c r="M206"/>
      <c r="N206"/>
    </row>
    <row r="207" spans="13:14" x14ac:dyDescent="0.25">
      <c r="M207"/>
      <c r="N207"/>
    </row>
    <row r="208" spans="13:14" x14ac:dyDescent="0.25">
      <c r="M208"/>
      <c r="N208"/>
    </row>
    <row r="209" spans="13:14" x14ac:dyDescent="0.25">
      <c r="M209"/>
      <c r="N209"/>
    </row>
    <row r="210" spans="13:14" x14ac:dyDescent="0.25">
      <c r="M210"/>
      <c r="N210"/>
    </row>
    <row r="211" spans="13:14" x14ac:dyDescent="0.25">
      <c r="M211"/>
      <c r="N211"/>
    </row>
    <row r="212" spans="13:14" x14ac:dyDescent="0.25">
      <c r="M212"/>
      <c r="N212"/>
    </row>
    <row r="213" spans="13:14" x14ac:dyDescent="0.25">
      <c r="M213"/>
      <c r="N213"/>
    </row>
    <row r="214" spans="13:14" x14ac:dyDescent="0.25">
      <c r="M214"/>
      <c r="N214"/>
    </row>
    <row r="215" spans="13:14" x14ac:dyDescent="0.25">
      <c r="M215"/>
      <c r="N215"/>
    </row>
    <row r="216" spans="13:14" x14ac:dyDescent="0.25">
      <c r="M216"/>
      <c r="N216"/>
    </row>
    <row r="217" spans="13:14" x14ac:dyDescent="0.25">
      <c r="M217"/>
      <c r="N217"/>
    </row>
    <row r="218" spans="13:14" x14ac:dyDescent="0.25">
      <c r="M218"/>
      <c r="N218"/>
    </row>
    <row r="219" spans="13:14" x14ac:dyDescent="0.25">
      <c r="M219"/>
      <c r="N219"/>
    </row>
    <row r="220" spans="13:14" x14ac:dyDescent="0.25">
      <c r="M220"/>
      <c r="N220"/>
    </row>
    <row r="221" spans="13:14" x14ac:dyDescent="0.25">
      <c r="M221"/>
      <c r="N221"/>
    </row>
    <row r="222" spans="13:14" x14ac:dyDescent="0.25">
      <c r="M222"/>
      <c r="N222"/>
    </row>
    <row r="223" spans="13:14" x14ac:dyDescent="0.25">
      <c r="M223"/>
      <c r="N223"/>
    </row>
    <row r="224" spans="13:14" x14ac:dyDescent="0.25">
      <c r="M224"/>
      <c r="N224"/>
    </row>
    <row r="225" spans="13:14" x14ac:dyDescent="0.25">
      <c r="M225"/>
      <c r="N225"/>
    </row>
    <row r="226" spans="13:14" x14ac:dyDescent="0.25">
      <c r="M226"/>
      <c r="N226"/>
    </row>
    <row r="227" spans="13:14" x14ac:dyDescent="0.25">
      <c r="M227"/>
      <c r="N227"/>
    </row>
    <row r="228" spans="13:14" x14ac:dyDescent="0.25">
      <c r="M228"/>
      <c r="N228"/>
    </row>
    <row r="229" spans="13:14" x14ac:dyDescent="0.25">
      <c r="M229"/>
      <c r="N229"/>
    </row>
    <row r="230" spans="13:14" x14ac:dyDescent="0.25">
      <c r="M230"/>
      <c r="N230"/>
    </row>
    <row r="231" spans="13:14" x14ac:dyDescent="0.25">
      <c r="M231"/>
      <c r="N231"/>
    </row>
    <row r="232" spans="13:14" x14ac:dyDescent="0.25">
      <c r="M232"/>
      <c r="N232"/>
    </row>
    <row r="233" spans="13:14" x14ac:dyDescent="0.25">
      <c r="M233"/>
      <c r="N233"/>
    </row>
    <row r="234" spans="13:14" x14ac:dyDescent="0.25">
      <c r="M234"/>
      <c r="N234"/>
    </row>
    <row r="235" spans="13:14" x14ac:dyDescent="0.25">
      <c r="M235"/>
      <c r="N235"/>
    </row>
    <row r="236" spans="13:14" x14ac:dyDescent="0.25">
      <c r="M236"/>
      <c r="N236"/>
    </row>
    <row r="237" spans="13:14" x14ac:dyDescent="0.25">
      <c r="M237"/>
      <c r="N237"/>
    </row>
    <row r="238" spans="13:14" x14ac:dyDescent="0.25">
      <c r="M238"/>
      <c r="N238"/>
    </row>
    <row r="239" spans="13:14" x14ac:dyDescent="0.25">
      <c r="M239"/>
      <c r="N239"/>
    </row>
    <row r="240" spans="13:14" x14ac:dyDescent="0.25">
      <c r="M240"/>
      <c r="N240"/>
    </row>
    <row r="241" spans="13:14" x14ac:dyDescent="0.25">
      <c r="M241"/>
      <c r="N241"/>
    </row>
    <row r="242" spans="13:14" x14ac:dyDescent="0.25">
      <c r="M242"/>
      <c r="N242"/>
    </row>
    <row r="243" spans="13:14" x14ac:dyDescent="0.25">
      <c r="M243"/>
      <c r="N243"/>
    </row>
    <row r="244" spans="13:14" x14ac:dyDescent="0.25">
      <c r="M244"/>
      <c r="N244"/>
    </row>
    <row r="245" spans="13:14" x14ac:dyDescent="0.25">
      <c r="M245"/>
      <c r="N245"/>
    </row>
    <row r="246" spans="13:14" x14ac:dyDescent="0.25">
      <c r="M246"/>
      <c r="N246"/>
    </row>
    <row r="247" spans="13:14" x14ac:dyDescent="0.25">
      <c r="M247"/>
      <c r="N247"/>
    </row>
    <row r="248" spans="13:14" x14ac:dyDescent="0.25">
      <c r="M248"/>
      <c r="N248"/>
    </row>
    <row r="249" spans="13:14" x14ac:dyDescent="0.25">
      <c r="M249"/>
      <c r="N249"/>
    </row>
    <row r="250" spans="13:14" x14ac:dyDescent="0.25">
      <c r="M250"/>
      <c r="N250"/>
    </row>
    <row r="251" spans="13:14" x14ac:dyDescent="0.25">
      <c r="M251"/>
      <c r="N251"/>
    </row>
    <row r="252" spans="13:14" x14ac:dyDescent="0.25">
      <c r="M252"/>
      <c r="N252"/>
    </row>
    <row r="253" spans="13:14" x14ac:dyDescent="0.25">
      <c r="M253"/>
      <c r="N253"/>
    </row>
    <row r="254" spans="13:14" x14ac:dyDescent="0.25">
      <c r="M254"/>
      <c r="N254"/>
    </row>
    <row r="255" spans="13:14" x14ac:dyDescent="0.25">
      <c r="M255"/>
      <c r="N255"/>
    </row>
    <row r="256" spans="13:14" x14ac:dyDescent="0.25">
      <c r="M256"/>
      <c r="N256"/>
    </row>
    <row r="257" spans="13:14" x14ac:dyDescent="0.25">
      <c r="M257"/>
      <c r="N257"/>
    </row>
    <row r="258" spans="13:14" x14ac:dyDescent="0.25">
      <c r="M258"/>
      <c r="N258"/>
    </row>
    <row r="259" spans="13:14" x14ac:dyDescent="0.25">
      <c r="M259"/>
      <c r="N259"/>
    </row>
    <row r="260" spans="13:14" x14ac:dyDescent="0.25">
      <c r="M260"/>
      <c r="N260"/>
    </row>
    <row r="261" spans="13:14" x14ac:dyDescent="0.25">
      <c r="M261"/>
      <c r="N261"/>
    </row>
    <row r="262" spans="13:14" x14ac:dyDescent="0.25">
      <c r="M262"/>
      <c r="N262"/>
    </row>
    <row r="263" spans="13:14" x14ac:dyDescent="0.25">
      <c r="M263"/>
      <c r="N263"/>
    </row>
    <row r="264" spans="13:14" x14ac:dyDescent="0.25">
      <c r="M264"/>
      <c r="N264"/>
    </row>
    <row r="265" spans="13:14" x14ac:dyDescent="0.25">
      <c r="M265"/>
      <c r="N265"/>
    </row>
    <row r="266" spans="13:14" x14ac:dyDescent="0.25">
      <c r="M266"/>
      <c r="N266"/>
    </row>
    <row r="267" spans="13:14" x14ac:dyDescent="0.25">
      <c r="M267"/>
      <c r="N267"/>
    </row>
    <row r="268" spans="13:14" x14ac:dyDescent="0.25">
      <c r="M268"/>
      <c r="N268"/>
    </row>
    <row r="269" spans="13:14" x14ac:dyDescent="0.25">
      <c r="M269"/>
      <c r="N269"/>
    </row>
    <row r="270" spans="13:14" x14ac:dyDescent="0.25">
      <c r="M270"/>
      <c r="N270"/>
    </row>
    <row r="271" spans="13:14" x14ac:dyDescent="0.25">
      <c r="M271"/>
      <c r="N271"/>
    </row>
    <row r="272" spans="13:14" x14ac:dyDescent="0.25">
      <c r="M272"/>
      <c r="N272"/>
    </row>
    <row r="273" spans="13:14" x14ac:dyDescent="0.25">
      <c r="M273"/>
      <c r="N273"/>
    </row>
    <row r="274" spans="13:14" x14ac:dyDescent="0.25">
      <c r="M274"/>
      <c r="N274"/>
    </row>
    <row r="275" spans="13:14" x14ac:dyDescent="0.25">
      <c r="M275"/>
      <c r="N275"/>
    </row>
    <row r="276" spans="13:14" x14ac:dyDescent="0.25">
      <c r="M276"/>
      <c r="N276"/>
    </row>
    <row r="277" spans="13:14" x14ac:dyDescent="0.25">
      <c r="M277"/>
      <c r="N277"/>
    </row>
    <row r="278" spans="13:14" x14ac:dyDescent="0.25">
      <c r="M278"/>
      <c r="N278"/>
    </row>
    <row r="279" spans="13:14" x14ac:dyDescent="0.25">
      <c r="M279"/>
      <c r="N279"/>
    </row>
    <row r="280" spans="13:14" x14ac:dyDescent="0.25">
      <c r="M280"/>
      <c r="N280"/>
    </row>
    <row r="281" spans="13:14" x14ac:dyDescent="0.25">
      <c r="M281"/>
      <c r="N281"/>
    </row>
    <row r="282" spans="13:14" x14ac:dyDescent="0.25">
      <c r="M282"/>
      <c r="N282"/>
    </row>
    <row r="283" spans="13:14" x14ac:dyDescent="0.25">
      <c r="M283"/>
      <c r="N283"/>
    </row>
    <row r="284" spans="13:14" x14ac:dyDescent="0.25">
      <c r="M284"/>
      <c r="N284"/>
    </row>
    <row r="285" spans="13:14" x14ac:dyDescent="0.25">
      <c r="M285"/>
      <c r="N285"/>
    </row>
    <row r="286" spans="13:14" x14ac:dyDescent="0.25">
      <c r="M286"/>
      <c r="N286"/>
    </row>
    <row r="287" spans="13:14" x14ac:dyDescent="0.25">
      <c r="M287"/>
      <c r="N287"/>
    </row>
    <row r="288" spans="13:14" x14ac:dyDescent="0.25">
      <c r="M288"/>
      <c r="N288"/>
    </row>
    <row r="289" spans="13:14" x14ac:dyDescent="0.25">
      <c r="M289"/>
      <c r="N289"/>
    </row>
    <row r="290" spans="13:14" x14ac:dyDescent="0.25">
      <c r="M290"/>
      <c r="N290"/>
    </row>
    <row r="291" spans="13:14" x14ac:dyDescent="0.25">
      <c r="M291"/>
      <c r="N291"/>
    </row>
    <row r="292" spans="13:14" x14ac:dyDescent="0.25">
      <c r="M292"/>
      <c r="N292"/>
    </row>
    <row r="293" spans="13:14" x14ac:dyDescent="0.25">
      <c r="M293"/>
      <c r="N293"/>
    </row>
    <row r="294" spans="13:14" x14ac:dyDescent="0.25">
      <c r="M294"/>
      <c r="N294"/>
    </row>
    <row r="295" spans="13:14" x14ac:dyDescent="0.25">
      <c r="M295"/>
      <c r="N295"/>
    </row>
    <row r="296" spans="13:14" x14ac:dyDescent="0.25">
      <c r="M296"/>
      <c r="N296"/>
    </row>
    <row r="297" spans="13:14" x14ac:dyDescent="0.25">
      <c r="M297"/>
      <c r="N297"/>
    </row>
    <row r="298" spans="13:14" x14ac:dyDescent="0.25">
      <c r="M298"/>
      <c r="N298"/>
    </row>
    <row r="299" spans="13:14" x14ac:dyDescent="0.25">
      <c r="M299"/>
      <c r="N299"/>
    </row>
    <row r="300" spans="13:14" x14ac:dyDescent="0.25">
      <c r="M300"/>
      <c r="N300"/>
    </row>
    <row r="301" spans="13:14" x14ac:dyDescent="0.25">
      <c r="M301"/>
      <c r="N301"/>
    </row>
    <row r="302" spans="13:14" x14ac:dyDescent="0.25">
      <c r="M302"/>
      <c r="N302"/>
    </row>
    <row r="303" spans="13:14" x14ac:dyDescent="0.25">
      <c r="M303"/>
      <c r="N303"/>
    </row>
    <row r="304" spans="13:14" x14ac:dyDescent="0.25">
      <c r="M304"/>
      <c r="N304"/>
    </row>
    <row r="305" spans="13:14" x14ac:dyDescent="0.25">
      <c r="M305"/>
      <c r="N305"/>
    </row>
    <row r="306" spans="13:14" x14ac:dyDescent="0.25">
      <c r="M306"/>
      <c r="N306"/>
    </row>
    <row r="307" spans="13:14" x14ac:dyDescent="0.25">
      <c r="M307"/>
      <c r="N307"/>
    </row>
    <row r="308" spans="13:14" x14ac:dyDescent="0.25">
      <c r="M308"/>
      <c r="N308"/>
    </row>
    <row r="309" spans="13:14" x14ac:dyDescent="0.25">
      <c r="M309"/>
      <c r="N309"/>
    </row>
    <row r="310" spans="13:14" x14ac:dyDescent="0.25">
      <c r="M310"/>
      <c r="N310"/>
    </row>
    <row r="311" spans="13:14" x14ac:dyDescent="0.25">
      <c r="M311"/>
      <c r="N311"/>
    </row>
    <row r="312" spans="13:14" x14ac:dyDescent="0.25">
      <c r="M312"/>
      <c r="N312"/>
    </row>
    <row r="313" spans="13:14" x14ac:dyDescent="0.25">
      <c r="M313"/>
      <c r="N313"/>
    </row>
    <row r="314" spans="13:14" x14ac:dyDescent="0.25">
      <c r="M314"/>
      <c r="N314"/>
    </row>
    <row r="315" spans="13:14" x14ac:dyDescent="0.25">
      <c r="M315"/>
      <c r="N315"/>
    </row>
    <row r="316" spans="13:14" x14ac:dyDescent="0.25">
      <c r="M316"/>
      <c r="N316"/>
    </row>
    <row r="317" spans="13:14" x14ac:dyDescent="0.25">
      <c r="M317"/>
      <c r="N317"/>
    </row>
    <row r="318" spans="13:14" x14ac:dyDescent="0.25">
      <c r="M318"/>
      <c r="N318"/>
    </row>
    <row r="319" spans="13:14" x14ac:dyDescent="0.25">
      <c r="M319"/>
      <c r="N319"/>
    </row>
    <row r="320" spans="13:14" x14ac:dyDescent="0.25">
      <c r="M320"/>
      <c r="N320"/>
    </row>
    <row r="321" spans="13:14" x14ac:dyDescent="0.25">
      <c r="M321"/>
      <c r="N321"/>
    </row>
    <row r="322" spans="13:14" x14ac:dyDescent="0.25">
      <c r="M322"/>
      <c r="N322"/>
    </row>
    <row r="323" spans="13:14" x14ac:dyDescent="0.25">
      <c r="M323"/>
      <c r="N323"/>
    </row>
    <row r="324" spans="13:14" x14ac:dyDescent="0.25">
      <c r="M324"/>
      <c r="N324"/>
    </row>
    <row r="325" spans="13:14" x14ac:dyDescent="0.25">
      <c r="M325"/>
      <c r="N325"/>
    </row>
    <row r="326" spans="13:14" x14ac:dyDescent="0.25">
      <c r="M326"/>
      <c r="N326"/>
    </row>
    <row r="327" spans="13:14" x14ac:dyDescent="0.25">
      <c r="M327"/>
      <c r="N327"/>
    </row>
    <row r="328" spans="13:14" x14ac:dyDescent="0.25">
      <c r="M328"/>
      <c r="N328"/>
    </row>
    <row r="329" spans="13:14" x14ac:dyDescent="0.25">
      <c r="M329"/>
      <c r="N329"/>
    </row>
    <row r="330" spans="13:14" x14ac:dyDescent="0.25">
      <c r="M330"/>
      <c r="N330"/>
    </row>
    <row r="331" spans="13:14" x14ac:dyDescent="0.25">
      <c r="M331"/>
      <c r="N331"/>
    </row>
    <row r="332" spans="13:14" x14ac:dyDescent="0.25">
      <c r="M332"/>
      <c r="N332"/>
    </row>
    <row r="333" spans="13:14" x14ac:dyDescent="0.25">
      <c r="M333"/>
      <c r="N333"/>
    </row>
    <row r="334" spans="13:14" x14ac:dyDescent="0.25">
      <c r="M334"/>
      <c r="N334"/>
    </row>
    <row r="335" spans="13:14" x14ac:dyDescent="0.25">
      <c r="M335"/>
      <c r="N335"/>
    </row>
    <row r="336" spans="13:14" x14ac:dyDescent="0.25">
      <c r="M336"/>
      <c r="N336"/>
    </row>
    <row r="337" spans="13:14" x14ac:dyDescent="0.25">
      <c r="M337"/>
      <c r="N337"/>
    </row>
    <row r="338" spans="13:14" x14ac:dyDescent="0.25">
      <c r="M338"/>
      <c r="N338"/>
    </row>
    <row r="339" spans="13:14" x14ac:dyDescent="0.25">
      <c r="M339"/>
      <c r="N339"/>
    </row>
    <row r="340" spans="13:14" x14ac:dyDescent="0.25">
      <c r="M340"/>
      <c r="N340"/>
    </row>
    <row r="341" spans="13:14" x14ac:dyDescent="0.25">
      <c r="M341"/>
      <c r="N341"/>
    </row>
    <row r="342" spans="13:14" x14ac:dyDescent="0.25">
      <c r="M342"/>
      <c r="N342"/>
    </row>
    <row r="343" spans="13:14" x14ac:dyDescent="0.25">
      <c r="M343"/>
      <c r="N343"/>
    </row>
    <row r="344" spans="13:14" x14ac:dyDescent="0.25">
      <c r="M344"/>
      <c r="N344"/>
    </row>
    <row r="345" spans="13:14" x14ac:dyDescent="0.25">
      <c r="M345"/>
      <c r="N345"/>
    </row>
    <row r="346" spans="13:14" x14ac:dyDescent="0.25">
      <c r="M346"/>
      <c r="N346"/>
    </row>
    <row r="347" spans="13:14" x14ac:dyDescent="0.25">
      <c r="M347"/>
      <c r="N347"/>
    </row>
    <row r="348" spans="13:14" x14ac:dyDescent="0.25">
      <c r="M348"/>
      <c r="N348"/>
    </row>
    <row r="349" spans="13:14" x14ac:dyDescent="0.25">
      <c r="M349"/>
      <c r="N349"/>
    </row>
    <row r="350" spans="13:14" x14ac:dyDescent="0.25">
      <c r="M350"/>
      <c r="N350"/>
    </row>
    <row r="351" spans="13:14" x14ac:dyDescent="0.25">
      <c r="M351"/>
      <c r="N351"/>
    </row>
    <row r="352" spans="13:14" x14ac:dyDescent="0.25">
      <c r="M352"/>
      <c r="N352"/>
    </row>
    <row r="353" spans="13:14" x14ac:dyDescent="0.25">
      <c r="M353"/>
      <c r="N353"/>
    </row>
    <row r="354" spans="13:14" x14ac:dyDescent="0.25">
      <c r="M354"/>
      <c r="N354"/>
    </row>
    <row r="355" spans="13:14" x14ac:dyDescent="0.25">
      <c r="M355"/>
      <c r="N355"/>
    </row>
    <row r="356" spans="13:14" x14ac:dyDescent="0.25">
      <c r="M356"/>
      <c r="N356"/>
    </row>
    <row r="357" spans="13:14" x14ac:dyDescent="0.25">
      <c r="M357"/>
      <c r="N357"/>
    </row>
    <row r="358" spans="13:14" x14ac:dyDescent="0.25">
      <c r="M358"/>
      <c r="N358"/>
    </row>
    <row r="359" spans="13:14" x14ac:dyDescent="0.25">
      <c r="M359"/>
      <c r="N359"/>
    </row>
    <row r="360" spans="13:14" x14ac:dyDescent="0.25">
      <c r="M360"/>
      <c r="N360"/>
    </row>
    <row r="361" spans="13:14" x14ac:dyDescent="0.25">
      <c r="M361"/>
      <c r="N361"/>
    </row>
    <row r="362" spans="13:14" x14ac:dyDescent="0.25">
      <c r="M362"/>
      <c r="N362"/>
    </row>
    <row r="363" spans="13:14" x14ac:dyDescent="0.25">
      <c r="M363"/>
      <c r="N363"/>
    </row>
    <row r="364" spans="13:14" x14ac:dyDescent="0.25">
      <c r="M364"/>
      <c r="N364"/>
    </row>
    <row r="365" spans="13:14" x14ac:dyDescent="0.25">
      <c r="M365"/>
      <c r="N365"/>
    </row>
    <row r="366" spans="13:14" x14ac:dyDescent="0.25">
      <c r="M366"/>
      <c r="N366"/>
    </row>
    <row r="367" spans="13:14" x14ac:dyDescent="0.25">
      <c r="M367"/>
      <c r="N367"/>
    </row>
    <row r="368" spans="13:14" x14ac:dyDescent="0.25">
      <c r="M368"/>
      <c r="N368"/>
    </row>
    <row r="369" spans="13:14" x14ac:dyDescent="0.25">
      <c r="M369"/>
      <c r="N369"/>
    </row>
    <row r="370" spans="13:14" x14ac:dyDescent="0.25">
      <c r="M370"/>
      <c r="N370"/>
    </row>
    <row r="371" spans="13:14" x14ac:dyDescent="0.25">
      <c r="M371"/>
      <c r="N371"/>
    </row>
    <row r="372" spans="13:14" x14ac:dyDescent="0.25">
      <c r="M372"/>
      <c r="N372"/>
    </row>
    <row r="373" spans="13:14" x14ac:dyDescent="0.25">
      <c r="M373"/>
      <c r="N373"/>
    </row>
    <row r="374" spans="13:14" x14ac:dyDescent="0.25">
      <c r="M374"/>
      <c r="N374"/>
    </row>
    <row r="375" spans="13:14" x14ac:dyDescent="0.25">
      <c r="M375"/>
      <c r="N375"/>
    </row>
    <row r="376" spans="13:14" x14ac:dyDescent="0.25">
      <c r="M376"/>
      <c r="N376"/>
    </row>
    <row r="377" spans="13:14" x14ac:dyDescent="0.25">
      <c r="M377"/>
      <c r="N377"/>
    </row>
    <row r="378" spans="13:14" x14ac:dyDescent="0.25">
      <c r="M378"/>
      <c r="N378"/>
    </row>
    <row r="379" spans="13:14" x14ac:dyDescent="0.25">
      <c r="M379"/>
      <c r="N379"/>
    </row>
    <row r="380" spans="13:14" x14ac:dyDescent="0.25">
      <c r="M380"/>
      <c r="N380"/>
    </row>
    <row r="381" spans="13:14" x14ac:dyDescent="0.25">
      <c r="M381"/>
      <c r="N381"/>
    </row>
    <row r="382" spans="13:14" x14ac:dyDescent="0.25">
      <c r="M382"/>
      <c r="N382"/>
    </row>
    <row r="383" spans="13:14" x14ac:dyDescent="0.25">
      <c r="M383"/>
      <c r="N383"/>
    </row>
    <row r="384" spans="13:14" x14ac:dyDescent="0.25">
      <c r="M384"/>
      <c r="N384"/>
    </row>
    <row r="385" spans="13:14" x14ac:dyDescent="0.25">
      <c r="M385"/>
      <c r="N385"/>
    </row>
    <row r="386" spans="13:14" x14ac:dyDescent="0.25">
      <c r="M386"/>
      <c r="N386"/>
    </row>
    <row r="387" spans="13:14" x14ac:dyDescent="0.25">
      <c r="M387"/>
      <c r="N387"/>
    </row>
    <row r="388" spans="13:14" x14ac:dyDescent="0.25">
      <c r="M388"/>
      <c r="N388"/>
    </row>
    <row r="389" spans="13:14" x14ac:dyDescent="0.25">
      <c r="M389"/>
      <c r="N389"/>
    </row>
    <row r="390" spans="13:14" x14ac:dyDescent="0.25">
      <c r="M390"/>
      <c r="N390"/>
    </row>
    <row r="391" spans="13:14" x14ac:dyDescent="0.25">
      <c r="M391"/>
      <c r="N391"/>
    </row>
    <row r="392" spans="13:14" x14ac:dyDescent="0.25">
      <c r="M392"/>
      <c r="N392"/>
    </row>
    <row r="393" spans="13:14" x14ac:dyDescent="0.25">
      <c r="M393"/>
      <c r="N393"/>
    </row>
    <row r="394" spans="13:14" x14ac:dyDescent="0.25">
      <c r="M394"/>
      <c r="N394"/>
    </row>
    <row r="395" spans="13:14" x14ac:dyDescent="0.25">
      <c r="M395"/>
      <c r="N395"/>
    </row>
    <row r="396" spans="13:14" x14ac:dyDescent="0.25">
      <c r="M396"/>
      <c r="N396"/>
    </row>
    <row r="397" spans="13:14" x14ac:dyDescent="0.25">
      <c r="M397"/>
      <c r="N397"/>
    </row>
    <row r="398" spans="13:14" x14ac:dyDescent="0.25">
      <c r="M398"/>
      <c r="N398"/>
    </row>
    <row r="399" spans="13:14" x14ac:dyDescent="0.25">
      <c r="M399"/>
      <c r="N399"/>
    </row>
    <row r="400" spans="13:14" x14ac:dyDescent="0.25">
      <c r="M400"/>
      <c r="N400"/>
    </row>
    <row r="401" spans="13:14" x14ac:dyDescent="0.25">
      <c r="M401"/>
      <c r="N401"/>
    </row>
    <row r="402" spans="13:14" x14ac:dyDescent="0.25">
      <c r="M402"/>
      <c r="N402"/>
    </row>
    <row r="403" spans="13:14" x14ac:dyDescent="0.25">
      <c r="M403"/>
      <c r="N403"/>
    </row>
    <row r="404" spans="13:14" x14ac:dyDescent="0.25">
      <c r="M404"/>
      <c r="N404"/>
    </row>
    <row r="405" spans="13:14" x14ac:dyDescent="0.25">
      <c r="M405"/>
      <c r="N405"/>
    </row>
    <row r="406" spans="13:14" x14ac:dyDescent="0.25">
      <c r="M406"/>
      <c r="N406"/>
    </row>
    <row r="407" spans="13:14" x14ac:dyDescent="0.25">
      <c r="M407"/>
      <c r="N407"/>
    </row>
    <row r="408" spans="13:14" x14ac:dyDescent="0.25">
      <c r="M408"/>
      <c r="N408"/>
    </row>
    <row r="409" spans="13:14" x14ac:dyDescent="0.25">
      <c r="M409"/>
      <c r="N409"/>
    </row>
    <row r="410" spans="13:14" x14ac:dyDescent="0.25">
      <c r="M410"/>
      <c r="N410"/>
    </row>
    <row r="411" spans="13:14" x14ac:dyDescent="0.25">
      <c r="M411"/>
      <c r="N411"/>
    </row>
    <row r="412" spans="13:14" x14ac:dyDescent="0.25">
      <c r="M412"/>
      <c r="N412"/>
    </row>
    <row r="413" spans="13:14" x14ac:dyDescent="0.25">
      <c r="M413"/>
      <c r="N413"/>
    </row>
    <row r="414" spans="13:14" x14ac:dyDescent="0.25">
      <c r="M414"/>
      <c r="N414"/>
    </row>
    <row r="415" spans="13:14" x14ac:dyDescent="0.25">
      <c r="M415"/>
      <c r="N415"/>
    </row>
    <row r="416" spans="13:14" x14ac:dyDescent="0.25">
      <c r="M416"/>
      <c r="N416"/>
    </row>
    <row r="417" spans="13:14" x14ac:dyDescent="0.25">
      <c r="M417"/>
      <c r="N417"/>
    </row>
    <row r="418" spans="13:14" x14ac:dyDescent="0.25">
      <c r="M418"/>
      <c r="N418"/>
    </row>
    <row r="419" spans="13:14" x14ac:dyDescent="0.25">
      <c r="M419"/>
      <c r="N419"/>
    </row>
    <row r="420" spans="13:14" x14ac:dyDescent="0.25">
      <c r="M420"/>
      <c r="N420"/>
    </row>
    <row r="421" spans="13:14" x14ac:dyDescent="0.25">
      <c r="M421"/>
      <c r="N421"/>
    </row>
    <row r="422" spans="13:14" x14ac:dyDescent="0.25">
      <c r="M422"/>
      <c r="N422"/>
    </row>
    <row r="423" spans="13:14" x14ac:dyDescent="0.25">
      <c r="M423"/>
      <c r="N423"/>
    </row>
    <row r="424" spans="13:14" x14ac:dyDescent="0.25">
      <c r="M424"/>
      <c r="N424"/>
    </row>
    <row r="425" spans="13:14" x14ac:dyDescent="0.25">
      <c r="M425"/>
      <c r="N425"/>
    </row>
    <row r="426" spans="13:14" x14ac:dyDescent="0.25">
      <c r="M426"/>
      <c r="N426"/>
    </row>
    <row r="427" spans="13:14" x14ac:dyDescent="0.25">
      <c r="M427"/>
      <c r="N427"/>
    </row>
    <row r="428" spans="13:14" x14ac:dyDescent="0.25">
      <c r="M428"/>
      <c r="N428"/>
    </row>
    <row r="429" spans="13:14" x14ac:dyDescent="0.25">
      <c r="M429"/>
      <c r="N429"/>
    </row>
    <row r="430" spans="13:14" x14ac:dyDescent="0.25">
      <c r="M430"/>
      <c r="N430"/>
    </row>
    <row r="431" spans="13:14" x14ac:dyDescent="0.25">
      <c r="M431"/>
      <c r="N431"/>
    </row>
    <row r="432" spans="13:14" x14ac:dyDescent="0.25">
      <c r="M432"/>
      <c r="N432"/>
    </row>
    <row r="433" spans="13:14" x14ac:dyDescent="0.25">
      <c r="M433"/>
      <c r="N433"/>
    </row>
    <row r="434" spans="13:14" x14ac:dyDescent="0.25">
      <c r="M434"/>
      <c r="N434"/>
    </row>
    <row r="435" spans="13:14" x14ac:dyDescent="0.25">
      <c r="M435"/>
      <c r="N435"/>
    </row>
    <row r="436" spans="13:14" x14ac:dyDescent="0.25">
      <c r="M436"/>
      <c r="N436"/>
    </row>
    <row r="437" spans="13:14" x14ac:dyDescent="0.25">
      <c r="M437"/>
      <c r="N437"/>
    </row>
    <row r="438" spans="13:14" x14ac:dyDescent="0.25">
      <c r="M438"/>
      <c r="N438"/>
    </row>
    <row r="439" spans="13:14" x14ac:dyDescent="0.25">
      <c r="M439"/>
      <c r="N439"/>
    </row>
    <row r="440" spans="13:14" x14ac:dyDescent="0.25">
      <c r="M440"/>
      <c r="N440"/>
    </row>
    <row r="441" spans="13:14" x14ac:dyDescent="0.25">
      <c r="M441"/>
      <c r="N441"/>
    </row>
    <row r="442" spans="13:14" x14ac:dyDescent="0.25">
      <c r="M442"/>
      <c r="N442"/>
    </row>
    <row r="443" spans="13:14" x14ac:dyDescent="0.25">
      <c r="M443"/>
      <c r="N443"/>
    </row>
    <row r="444" spans="13:14" x14ac:dyDescent="0.25">
      <c r="M444"/>
      <c r="N444"/>
    </row>
    <row r="445" spans="13:14" x14ac:dyDescent="0.25">
      <c r="M445"/>
      <c r="N445"/>
    </row>
    <row r="446" spans="13:14" x14ac:dyDescent="0.25">
      <c r="M446"/>
      <c r="N446"/>
    </row>
    <row r="447" spans="13:14" x14ac:dyDescent="0.25">
      <c r="M447"/>
      <c r="N447"/>
    </row>
    <row r="448" spans="13:14" x14ac:dyDescent="0.25">
      <c r="M448"/>
      <c r="N448"/>
    </row>
    <row r="449" spans="13:14" x14ac:dyDescent="0.25">
      <c r="M449"/>
      <c r="N449"/>
    </row>
    <row r="450" spans="13:14" x14ac:dyDescent="0.25">
      <c r="M450"/>
      <c r="N450"/>
    </row>
    <row r="451" spans="13:14" x14ac:dyDescent="0.25">
      <c r="M451"/>
      <c r="N451"/>
    </row>
    <row r="452" spans="13:14" x14ac:dyDescent="0.25">
      <c r="M452"/>
      <c r="N452"/>
    </row>
    <row r="453" spans="13:14" x14ac:dyDescent="0.25">
      <c r="M453"/>
      <c r="N453"/>
    </row>
    <row r="454" spans="13:14" x14ac:dyDescent="0.25">
      <c r="M454"/>
      <c r="N454"/>
    </row>
    <row r="455" spans="13:14" x14ac:dyDescent="0.25">
      <c r="M455"/>
      <c r="N455"/>
    </row>
    <row r="456" spans="13:14" x14ac:dyDescent="0.25">
      <c r="M456"/>
      <c r="N456"/>
    </row>
    <row r="457" spans="13:14" x14ac:dyDescent="0.25">
      <c r="M457"/>
      <c r="N457"/>
    </row>
    <row r="458" spans="13:14" x14ac:dyDescent="0.25">
      <c r="M458"/>
      <c r="N458"/>
    </row>
    <row r="459" spans="13:14" x14ac:dyDescent="0.25">
      <c r="M459"/>
      <c r="N459"/>
    </row>
    <row r="460" spans="13:14" x14ac:dyDescent="0.25">
      <c r="M460"/>
      <c r="N460"/>
    </row>
    <row r="461" spans="13:14" x14ac:dyDescent="0.25">
      <c r="M461"/>
      <c r="N461"/>
    </row>
    <row r="462" spans="13:14" x14ac:dyDescent="0.25">
      <c r="M462"/>
      <c r="N462"/>
    </row>
    <row r="463" spans="13:14" x14ac:dyDescent="0.25">
      <c r="M463"/>
      <c r="N463"/>
    </row>
    <row r="464" spans="13:14" x14ac:dyDescent="0.25">
      <c r="M464"/>
      <c r="N464"/>
    </row>
    <row r="465" spans="13:14" x14ac:dyDescent="0.25">
      <c r="M465"/>
      <c r="N465"/>
    </row>
    <row r="466" spans="13:14" x14ac:dyDescent="0.25">
      <c r="M466"/>
      <c r="N466"/>
    </row>
    <row r="467" spans="13:14" x14ac:dyDescent="0.25">
      <c r="M467"/>
      <c r="N467"/>
    </row>
    <row r="468" spans="13:14" x14ac:dyDescent="0.25">
      <c r="M468"/>
      <c r="N468"/>
    </row>
    <row r="469" spans="13:14" x14ac:dyDescent="0.25">
      <c r="M469"/>
      <c r="N469"/>
    </row>
    <row r="470" spans="13:14" x14ac:dyDescent="0.25">
      <c r="M470"/>
      <c r="N470"/>
    </row>
    <row r="471" spans="13:14" x14ac:dyDescent="0.25">
      <c r="M471"/>
      <c r="N471"/>
    </row>
    <row r="472" spans="13:14" x14ac:dyDescent="0.25">
      <c r="M472"/>
      <c r="N472"/>
    </row>
    <row r="473" spans="13:14" x14ac:dyDescent="0.25">
      <c r="M473"/>
      <c r="N473"/>
    </row>
    <row r="474" spans="13:14" x14ac:dyDescent="0.25">
      <c r="M474"/>
      <c r="N474"/>
    </row>
    <row r="475" spans="13:14" x14ac:dyDescent="0.25">
      <c r="M475"/>
      <c r="N475"/>
    </row>
    <row r="476" spans="13:14" x14ac:dyDescent="0.25">
      <c r="M476"/>
      <c r="N476"/>
    </row>
    <row r="477" spans="13:14" x14ac:dyDescent="0.25">
      <c r="M477"/>
      <c r="N477"/>
    </row>
    <row r="478" spans="13:14" x14ac:dyDescent="0.25">
      <c r="M478"/>
      <c r="N478"/>
    </row>
    <row r="479" spans="13:14" x14ac:dyDescent="0.25">
      <c r="M479"/>
      <c r="N479"/>
    </row>
    <row r="480" spans="13:14" x14ac:dyDescent="0.25">
      <c r="M480"/>
      <c r="N480"/>
    </row>
    <row r="481" spans="13:14" x14ac:dyDescent="0.25">
      <c r="M481"/>
      <c r="N481"/>
    </row>
    <row r="482" spans="13:14" x14ac:dyDescent="0.25">
      <c r="M482"/>
      <c r="N482"/>
    </row>
    <row r="483" spans="13:14" x14ac:dyDescent="0.25">
      <c r="M483"/>
      <c r="N483"/>
    </row>
    <row r="484" spans="13:14" x14ac:dyDescent="0.25">
      <c r="M484"/>
      <c r="N484"/>
    </row>
    <row r="485" spans="13:14" x14ac:dyDescent="0.25">
      <c r="M485"/>
      <c r="N485"/>
    </row>
    <row r="486" spans="13:14" x14ac:dyDescent="0.25">
      <c r="M486"/>
      <c r="N486"/>
    </row>
    <row r="487" spans="13:14" x14ac:dyDescent="0.25">
      <c r="M487"/>
      <c r="N487"/>
    </row>
    <row r="488" spans="13:14" x14ac:dyDescent="0.25">
      <c r="M488"/>
      <c r="N488"/>
    </row>
    <row r="489" spans="13:14" x14ac:dyDescent="0.25">
      <c r="M489"/>
      <c r="N489"/>
    </row>
    <row r="490" spans="13:14" x14ac:dyDescent="0.25">
      <c r="M490"/>
      <c r="N490"/>
    </row>
    <row r="491" spans="13:14" x14ac:dyDescent="0.25">
      <c r="M491"/>
      <c r="N491"/>
    </row>
    <row r="492" spans="13:14" x14ac:dyDescent="0.25">
      <c r="M492"/>
      <c r="N492"/>
    </row>
    <row r="493" spans="13:14" x14ac:dyDescent="0.25">
      <c r="M493"/>
      <c r="N493"/>
    </row>
    <row r="494" spans="13:14" x14ac:dyDescent="0.25">
      <c r="M494"/>
      <c r="N494"/>
    </row>
    <row r="495" spans="13:14" x14ac:dyDescent="0.25">
      <c r="M495"/>
      <c r="N495"/>
    </row>
    <row r="496" spans="13:14" x14ac:dyDescent="0.25">
      <c r="M496"/>
      <c r="N496"/>
    </row>
    <row r="497" spans="13:14" x14ac:dyDescent="0.25">
      <c r="M497"/>
      <c r="N497"/>
    </row>
    <row r="498" spans="13:14" x14ac:dyDescent="0.25">
      <c r="M498"/>
      <c r="N498"/>
    </row>
    <row r="499" spans="13:14" x14ac:dyDescent="0.25">
      <c r="M499"/>
      <c r="N499"/>
    </row>
    <row r="500" spans="13:14" x14ac:dyDescent="0.25">
      <c r="M500"/>
      <c r="N500"/>
    </row>
    <row r="501" spans="13:14" x14ac:dyDescent="0.25">
      <c r="M501"/>
      <c r="N501"/>
    </row>
    <row r="502" spans="13:14" x14ac:dyDescent="0.25">
      <c r="M502"/>
      <c r="N502"/>
    </row>
    <row r="503" spans="13:14" x14ac:dyDescent="0.25">
      <c r="M503"/>
      <c r="N503"/>
    </row>
    <row r="504" spans="13:14" x14ac:dyDescent="0.25">
      <c r="M504"/>
      <c r="N504"/>
    </row>
    <row r="505" spans="13:14" x14ac:dyDescent="0.25">
      <c r="M505"/>
      <c r="N505"/>
    </row>
    <row r="506" spans="13:14" x14ac:dyDescent="0.25">
      <c r="M506"/>
      <c r="N506"/>
    </row>
    <row r="507" spans="13:14" x14ac:dyDescent="0.25">
      <c r="M507"/>
      <c r="N507"/>
    </row>
    <row r="508" spans="13:14" x14ac:dyDescent="0.25">
      <c r="M508"/>
      <c r="N508"/>
    </row>
    <row r="509" spans="13:14" x14ac:dyDescent="0.25">
      <c r="M509"/>
      <c r="N509"/>
    </row>
    <row r="510" spans="13:14" x14ac:dyDescent="0.25">
      <c r="M510"/>
      <c r="N510"/>
    </row>
    <row r="511" spans="13:14" x14ac:dyDescent="0.25">
      <c r="M511"/>
      <c r="N511"/>
    </row>
    <row r="512" spans="13:14" x14ac:dyDescent="0.25">
      <c r="M512"/>
      <c r="N512"/>
    </row>
    <row r="513" spans="13:14" x14ac:dyDescent="0.25">
      <c r="M513"/>
      <c r="N513"/>
    </row>
    <row r="514" spans="13:14" x14ac:dyDescent="0.25">
      <c r="M514"/>
      <c r="N514"/>
    </row>
    <row r="515" spans="13:14" x14ac:dyDescent="0.25">
      <c r="M515"/>
      <c r="N515"/>
    </row>
    <row r="516" spans="13:14" x14ac:dyDescent="0.25">
      <c r="M516"/>
      <c r="N516"/>
    </row>
    <row r="517" spans="13:14" x14ac:dyDescent="0.25">
      <c r="M517"/>
      <c r="N517"/>
    </row>
    <row r="518" spans="13:14" x14ac:dyDescent="0.25">
      <c r="M518"/>
      <c r="N518"/>
    </row>
    <row r="519" spans="13:14" x14ac:dyDescent="0.25">
      <c r="M519"/>
      <c r="N519"/>
    </row>
    <row r="520" spans="13:14" x14ac:dyDescent="0.25">
      <c r="M520"/>
      <c r="N520"/>
    </row>
    <row r="521" spans="13:14" x14ac:dyDescent="0.25">
      <c r="M521"/>
      <c r="N521"/>
    </row>
    <row r="522" spans="13:14" x14ac:dyDescent="0.25">
      <c r="M522"/>
      <c r="N522"/>
    </row>
    <row r="523" spans="13:14" x14ac:dyDescent="0.25">
      <c r="M523"/>
      <c r="N523"/>
    </row>
    <row r="524" spans="13:14" x14ac:dyDescent="0.25">
      <c r="M524"/>
      <c r="N524"/>
    </row>
    <row r="525" spans="13:14" x14ac:dyDescent="0.25">
      <c r="M525"/>
      <c r="N525"/>
    </row>
    <row r="526" spans="13:14" x14ac:dyDescent="0.25">
      <c r="M526"/>
      <c r="N526"/>
    </row>
    <row r="527" spans="13:14" x14ac:dyDescent="0.25">
      <c r="M527"/>
      <c r="N527"/>
    </row>
    <row r="528" spans="13:14" x14ac:dyDescent="0.25">
      <c r="M528"/>
      <c r="N528"/>
    </row>
    <row r="529" spans="13:14" x14ac:dyDescent="0.25">
      <c r="M529"/>
      <c r="N529"/>
    </row>
    <row r="530" spans="13:14" x14ac:dyDescent="0.25">
      <c r="M530"/>
      <c r="N530"/>
    </row>
    <row r="531" spans="13:14" x14ac:dyDescent="0.25">
      <c r="M531"/>
      <c r="N531"/>
    </row>
    <row r="532" spans="13:14" x14ac:dyDescent="0.25">
      <c r="M532"/>
      <c r="N532"/>
    </row>
    <row r="533" spans="13:14" x14ac:dyDescent="0.25">
      <c r="M533"/>
      <c r="N533"/>
    </row>
    <row r="534" spans="13:14" x14ac:dyDescent="0.25">
      <c r="M534"/>
      <c r="N534"/>
    </row>
    <row r="535" spans="13:14" x14ac:dyDescent="0.25">
      <c r="M535"/>
      <c r="N535"/>
    </row>
    <row r="536" spans="13:14" x14ac:dyDescent="0.25">
      <c r="M536"/>
      <c r="N536"/>
    </row>
    <row r="537" spans="13:14" x14ac:dyDescent="0.25">
      <c r="M537"/>
      <c r="N537"/>
    </row>
    <row r="538" spans="13:14" x14ac:dyDescent="0.25">
      <c r="M538"/>
      <c r="N538"/>
    </row>
    <row r="539" spans="13:14" x14ac:dyDescent="0.25">
      <c r="M539"/>
      <c r="N539"/>
    </row>
    <row r="540" spans="13:14" x14ac:dyDescent="0.25">
      <c r="M540"/>
      <c r="N540"/>
    </row>
    <row r="541" spans="13:14" x14ac:dyDescent="0.25">
      <c r="M541"/>
      <c r="N541"/>
    </row>
    <row r="542" spans="13:14" x14ac:dyDescent="0.25">
      <c r="M542"/>
      <c r="N542"/>
    </row>
    <row r="543" spans="13:14" x14ac:dyDescent="0.25">
      <c r="M543"/>
      <c r="N543"/>
    </row>
    <row r="544" spans="13:14" x14ac:dyDescent="0.25">
      <c r="M544"/>
      <c r="N544"/>
    </row>
    <row r="545" spans="13:14" x14ac:dyDescent="0.25">
      <c r="M545"/>
      <c r="N545"/>
    </row>
    <row r="546" spans="13:14" x14ac:dyDescent="0.25">
      <c r="M546"/>
      <c r="N546"/>
    </row>
    <row r="547" spans="13:14" x14ac:dyDescent="0.25">
      <c r="M547"/>
      <c r="N547"/>
    </row>
    <row r="548" spans="13:14" x14ac:dyDescent="0.25">
      <c r="M548"/>
      <c r="N548"/>
    </row>
    <row r="549" spans="13:14" x14ac:dyDescent="0.25">
      <c r="M549"/>
      <c r="N549"/>
    </row>
    <row r="550" spans="13:14" x14ac:dyDescent="0.25">
      <c r="M550"/>
      <c r="N550"/>
    </row>
    <row r="551" spans="13:14" x14ac:dyDescent="0.25">
      <c r="M551"/>
      <c r="N551"/>
    </row>
    <row r="552" spans="13:14" x14ac:dyDescent="0.25">
      <c r="M552"/>
      <c r="N552"/>
    </row>
    <row r="553" spans="13:14" x14ac:dyDescent="0.25">
      <c r="M553"/>
      <c r="N553"/>
    </row>
    <row r="554" spans="13:14" x14ac:dyDescent="0.25">
      <c r="M554"/>
      <c r="N554"/>
    </row>
    <row r="555" spans="13:14" x14ac:dyDescent="0.25">
      <c r="M555"/>
      <c r="N555"/>
    </row>
    <row r="556" spans="13:14" x14ac:dyDescent="0.25">
      <c r="M556"/>
      <c r="N556"/>
    </row>
    <row r="557" spans="13:14" x14ac:dyDescent="0.25">
      <c r="M557"/>
      <c r="N557"/>
    </row>
    <row r="558" spans="13:14" x14ac:dyDescent="0.25">
      <c r="M558"/>
      <c r="N558"/>
    </row>
    <row r="559" spans="13:14" x14ac:dyDescent="0.25">
      <c r="M559"/>
      <c r="N559"/>
    </row>
    <row r="560" spans="13:14" x14ac:dyDescent="0.25">
      <c r="M560"/>
      <c r="N560"/>
    </row>
    <row r="561" spans="13:14" x14ac:dyDescent="0.25">
      <c r="M561"/>
      <c r="N561"/>
    </row>
    <row r="562" spans="13:14" x14ac:dyDescent="0.25">
      <c r="M562"/>
      <c r="N562"/>
    </row>
    <row r="563" spans="13:14" x14ac:dyDescent="0.25">
      <c r="M563"/>
      <c r="N563"/>
    </row>
    <row r="564" spans="13:14" x14ac:dyDescent="0.25">
      <c r="M564"/>
      <c r="N564"/>
    </row>
    <row r="565" spans="13:14" x14ac:dyDescent="0.25">
      <c r="M565"/>
      <c r="N565"/>
    </row>
    <row r="566" spans="13:14" x14ac:dyDescent="0.25">
      <c r="M566"/>
      <c r="N566"/>
    </row>
    <row r="567" spans="13:14" x14ac:dyDescent="0.25">
      <c r="M567"/>
      <c r="N567"/>
    </row>
    <row r="568" spans="13:14" x14ac:dyDescent="0.25">
      <c r="M568"/>
      <c r="N568"/>
    </row>
    <row r="569" spans="13:14" x14ac:dyDescent="0.25">
      <c r="M569"/>
      <c r="N569"/>
    </row>
    <row r="570" spans="13:14" x14ac:dyDescent="0.25">
      <c r="M570"/>
      <c r="N570"/>
    </row>
    <row r="571" spans="13:14" x14ac:dyDescent="0.25">
      <c r="M571"/>
      <c r="N571"/>
    </row>
    <row r="572" spans="13:14" x14ac:dyDescent="0.25">
      <c r="M572"/>
      <c r="N572"/>
    </row>
    <row r="573" spans="13:14" x14ac:dyDescent="0.25">
      <c r="M573"/>
      <c r="N573"/>
    </row>
    <row r="574" spans="13:14" x14ac:dyDescent="0.25">
      <c r="M574"/>
      <c r="N574"/>
    </row>
    <row r="575" spans="13:14" x14ac:dyDescent="0.25">
      <c r="M575"/>
      <c r="N575"/>
    </row>
    <row r="576" spans="13:14" x14ac:dyDescent="0.25">
      <c r="M576"/>
      <c r="N576"/>
    </row>
    <row r="577" spans="13:14" x14ac:dyDescent="0.25">
      <c r="M577"/>
      <c r="N577"/>
    </row>
    <row r="578" spans="13:14" x14ac:dyDescent="0.25">
      <c r="M578"/>
      <c r="N578"/>
    </row>
    <row r="579" spans="13:14" x14ac:dyDescent="0.25">
      <c r="M579"/>
      <c r="N579"/>
    </row>
    <row r="580" spans="13:14" x14ac:dyDescent="0.25">
      <c r="M580"/>
      <c r="N580"/>
    </row>
    <row r="581" spans="13:14" x14ac:dyDescent="0.25">
      <c r="M581"/>
      <c r="N581"/>
    </row>
    <row r="582" spans="13:14" x14ac:dyDescent="0.25">
      <c r="M582"/>
      <c r="N582"/>
    </row>
    <row r="583" spans="13:14" x14ac:dyDescent="0.25">
      <c r="M583"/>
      <c r="N583"/>
    </row>
    <row r="584" spans="13:14" x14ac:dyDescent="0.25">
      <c r="M584"/>
      <c r="N584"/>
    </row>
    <row r="585" spans="13:14" x14ac:dyDescent="0.25">
      <c r="M585"/>
      <c r="N585"/>
    </row>
    <row r="586" spans="13:14" x14ac:dyDescent="0.25">
      <c r="M586"/>
      <c r="N586"/>
    </row>
    <row r="587" spans="13:14" x14ac:dyDescent="0.25">
      <c r="M587"/>
      <c r="N587"/>
    </row>
    <row r="588" spans="13:14" x14ac:dyDescent="0.25">
      <c r="M588"/>
      <c r="N588"/>
    </row>
    <row r="589" spans="13:14" x14ac:dyDescent="0.25">
      <c r="M589"/>
      <c r="N589"/>
    </row>
    <row r="590" spans="13:14" x14ac:dyDescent="0.25">
      <c r="M590"/>
      <c r="N590"/>
    </row>
    <row r="591" spans="13:14" x14ac:dyDescent="0.25">
      <c r="M591"/>
      <c r="N591"/>
    </row>
    <row r="592" spans="13:14" x14ac:dyDescent="0.25">
      <c r="M592"/>
      <c r="N592"/>
    </row>
    <row r="593" spans="13:14" x14ac:dyDescent="0.25">
      <c r="M593"/>
      <c r="N593"/>
    </row>
    <row r="594" spans="13:14" x14ac:dyDescent="0.25">
      <c r="M594"/>
      <c r="N594"/>
    </row>
    <row r="595" spans="13:14" x14ac:dyDescent="0.25">
      <c r="M595"/>
      <c r="N595"/>
    </row>
    <row r="596" spans="13:14" x14ac:dyDescent="0.25">
      <c r="M596"/>
      <c r="N596"/>
    </row>
    <row r="597" spans="13:14" x14ac:dyDescent="0.25">
      <c r="M597"/>
      <c r="N597"/>
    </row>
    <row r="598" spans="13:14" x14ac:dyDescent="0.25">
      <c r="M598"/>
      <c r="N598"/>
    </row>
    <row r="599" spans="13:14" x14ac:dyDescent="0.25">
      <c r="M599"/>
      <c r="N599"/>
    </row>
    <row r="600" spans="13:14" x14ac:dyDescent="0.25">
      <c r="M600"/>
      <c r="N600"/>
    </row>
    <row r="601" spans="13:14" x14ac:dyDescent="0.25">
      <c r="M601"/>
      <c r="N601"/>
    </row>
    <row r="602" spans="13:14" x14ac:dyDescent="0.25">
      <c r="M602"/>
      <c r="N602"/>
    </row>
    <row r="603" spans="13:14" x14ac:dyDescent="0.25">
      <c r="M603"/>
      <c r="N603"/>
    </row>
    <row r="604" spans="13:14" x14ac:dyDescent="0.25">
      <c r="M604"/>
      <c r="N604"/>
    </row>
    <row r="605" spans="13:14" x14ac:dyDescent="0.25">
      <c r="M605"/>
      <c r="N605"/>
    </row>
    <row r="606" spans="13:14" x14ac:dyDescent="0.25">
      <c r="M606"/>
      <c r="N606"/>
    </row>
    <row r="607" spans="13:14" x14ac:dyDescent="0.25">
      <c r="M607"/>
      <c r="N607"/>
    </row>
    <row r="608" spans="13:14" x14ac:dyDescent="0.25">
      <c r="M608"/>
      <c r="N608"/>
    </row>
    <row r="609" spans="13:14" x14ac:dyDescent="0.25">
      <c r="M609"/>
      <c r="N609"/>
    </row>
    <row r="610" spans="13:14" x14ac:dyDescent="0.25">
      <c r="M610"/>
      <c r="N610"/>
    </row>
    <row r="611" spans="13:14" x14ac:dyDescent="0.25">
      <c r="M611"/>
      <c r="N611"/>
    </row>
    <row r="612" spans="13:14" x14ac:dyDescent="0.25">
      <c r="M612"/>
      <c r="N612"/>
    </row>
    <row r="613" spans="13:14" x14ac:dyDescent="0.25">
      <c r="M613"/>
      <c r="N613"/>
    </row>
    <row r="614" spans="13:14" x14ac:dyDescent="0.25">
      <c r="M614"/>
      <c r="N614"/>
    </row>
    <row r="615" spans="13:14" x14ac:dyDescent="0.25">
      <c r="M615"/>
      <c r="N615"/>
    </row>
    <row r="616" spans="13:14" x14ac:dyDescent="0.25">
      <c r="M616"/>
      <c r="N616"/>
    </row>
    <row r="617" spans="13:14" x14ac:dyDescent="0.25">
      <c r="M617"/>
      <c r="N617"/>
    </row>
    <row r="618" spans="13:14" x14ac:dyDescent="0.25">
      <c r="M618"/>
      <c r="N618"/>
    </row>
    <row r="619" spans="13:14" x14ac:dyDescent="0.25">
      <c r="M619"/>
      <c r="N619"/>
    </row>
    <row r="620" spans="13:14" x14ac:dyDescent="0.25">
      <c r="M620"/>
      <c r="N620"/>
    </row>
    <row r="621" spans="13:14" x14ac:dyDescent="0.25">
      <c r="M621"/>
      <c r="N621"/>
    </row>
    <row r="622" spans="13:14" x14ac:dyDescent="0.25">
      <c r="M622"/>
      <c r="N622"/>
    </row>
    <row r="623" spans="13:14" x14ac:dyDescent="0.25">
      <c r="M623"/>
      <c r="N623"/>
    </row>
    <row r="624" spans="13:14" x14ac:dyDescent="0.25">
      <c r="M624"/>
      <c r="N624"/>
    </row>
    <row r="625" spans="13:14" x14ac:dyDescent="0.25">
      <c r="M625"/>
      <c r="N625"/>
    </row>
    <row r="626" spans="13:14" x14ac:dyDescent="0.25">
      <c r="M626"/>
      <c r="N626"/>
    </row>
    <row r="627" spans="13:14" x14ac:dyDescent="0.25">
      <c r="M627"/>
      <c r="N627"/>
    </row>
    <row r="628" spans="13:14" x14ac:dyDescent="0.25">
      <c r="M628"/>
      <c r="N628"/>
    </row>
    <row r="629" spans="13:14" x14ac:dyDescent="0.25">
      <c r="M629"/>
      <c r="N629"/>
    </row>
    <row r="630" spans="13:14" x14ac:dyDescent="0.25">
      <c r="M630"/>
      <c r="N630"/>
    </row>
    <row r="631" spans="13:14" x14ac:dyDescent="0.25">
      <c r="M631"/>
      <c r="N631"/>
    </row>
    <row r="632" spans="13:14" x14ac:dyDescent="0.25">
      <c r="M632"/>
      <c r="N632"/>
    </row>
    <row r="633" spans="13:14" x14ac:dyDescent="0.25">
      <c r="M633"/>
      <c r="N633"/>
    </row>
    <row r="634" spans="13:14" x14ac:dyDescent="0.25">
      <c r="M634"/>
      <c r="N634"/>
    </row>
    <row r="635" spans="13:14" x14ac:dyDescent="0.25">
      <c r="M635"/>
      <c r="N635"/>
    </row>
    <row r="636" spans="13:14" x14ac:dyDescent="0.25">
      <c r="M636"/>
      <c r="N636"/>
    </row>
    <row r="637" spans="13:14" x14ac:dyDescent="0.25">
      <c r="M637"/>
      <c r="N637"/>
    </row>
    <row r="638" spans="13:14" x14ac:dyDescent="0.25">
      <c r="M638"/>
      <c r="N638"/>
    </row>
    <row r="639" spans="13:14" x14ac:dyDescent="0.25">
      <c r="M639"/>
      <c r="N639"/>
    </row>
    <row r="640" spans="13:14" x14ac:dyDescent="0.25">
      <c r="M640"/>
      <c r="N640"/>
    </row>
    <row r="641" spans="13:14" x14ac:dyDescent="0.25">
      <c r="M641"/>
      <c r="N641"/>
    </row>
    <row r="642" spans="13:14" x14ac:dyDescent="0.25">
      <c r="M642"/>
      <c r="N642"/>
    </row>
    <row r="643" spans="13:14" x14ac:dyDescent="0.25">
      <c r="M643"/>
      <c r="N643"/>
    </row>
    <row r="644" spans="13:14" x14ac:dyDescent="0.25">
      <c r="M644"/>
      <c r="N644"/>
    </row>
    <row r="645" spans="13:14" x14ac:dyDescent="0.25">
      <c r="M645"/>
      <c r="N645"/>
    </row>
    <row r="646" spans="13:14" x14ac:dyDescent="0.25">
      <c r="M646"/>
      <c r="N646"/>
    </row>
    <row r="647" spans="13:14" x14ac:dyDescent="0.25">
      <c r="M647"/>
      <c r="N647"/>
    </row>
    <row r="648" spans="13:14" x14ac:dyDescent="0.25">
      <c r="M648"/>
      <c r="N648"/>
    </row>
    <row r="649" spans="13:14" x14ac:dyDescent="0.25">
      <c r="M649"/>
      <c r="N649"/>
    </row>
    <row r="650" spans="13:14" x14ac:dyDescent="0.25">
      <c r="M650"/>
      <c r="N650"/>
    </row>
    <row r="651" spans="13:14" x14ac:dyDescent="0.25">
      <c r="M651"/>
      <c r="N651"/>
    </row>
    <row r="652" spans="13:14" x14ac:dyDescent="0.25">
      <c r="M652"/>
      <c r="N652"/>
    </row>
    <row r="653" spans="13:14" x14ac:dyDescent="0.25">
      <c r="M653"/>
      <c r="N653"/>
    </row>
    <row r="654" spans="13:14" x14ac:dyDescent="0.25">
      <c r="M654"/>
      <c r="N654"/>
    </row>
    <row r="655" spans="13:14" x14ac:dyDescent="0.25">
      <c r="M655"/>
      <c r="N655"/>
    </row>
    <row r="656" spans="13:14" x14ac:dyDescent="0.25">
      <c r="M656"/>
      <c r="N656"/>
    </row>
    <row r="657" spans="13:14" x14ac:dyDescent="0.25">
      <c r="M657"/>
      <c r="N657"/>
    </row>
    <row r="658" spans="13:14" x14ac:dyDescent="0.25">
      <c r="M658"/>
      <c r="N658"/>
    </row>
    <row r="659" spans="13:14" x14ac:dyDescent="0.25">
      <c r="M659"/>
      <c r="N659"/>
    </row>
    <row r="660" spans="13:14" x14ac:dyDescent="0.25">
      <c r="M660"/>
      <c r="N660"/>
    </row>
    <row r="661" spans="13:14" x14ac:dyDescent="0.25">
      <c r="M661"/>
      <c r="N661"/>
    </row>
    <row r="662" spans="13:14" x14ac:dyDescent="0.25">
      <c r="M662"/>
      <c r="N662"/>
    </row>
    <row r="663" spans="13:14" x14ac:dyDescent="0.25">
      <c r="M663"/>
      <c r="N663"/>
    </row>
    <row r="664" spans="13:14" x14ac:dyDescent="0.25">
      <c r="M664"/>
      <c r="N664"/>
    </row>
    <row r="665" spans="13:14" x14ac:dyDescent="0.25">
      <c r="M665"/>
      <c r="N665"/>
    </row>
    <row r="666" spans="13:14" x14ac:dyDescent="0.25">
      <c r="M666"/>
      <c r="N666"/>
    </row>
    <row r="667" spans="13:14" x14ac:dyDescent="0.25">
      <c r="M667"/>
      <c r="N667"/>
    </row>
    <row r="668" spans="13:14" x14ac:dyDescent="0.25">
      <c r="M668"/>
      <c r="N668"/>
    </row>
    <row r="669" spans="13:14" x14ac:dyDescent="0.25">
      <c r="M669"/>
      <c r="N669"/>
    </row>
    <row r="670" spans="13:14" x14ac:dyDescent="0.25">
      <c r="M670"/>
      <c r="N670"/>
    </row>
    <row r="671" spans="13:14" x14ac:dyDescent="0.25">
      <c r="M671"/>
      <c r="N671"/>
    </row>
    <row r="672" spans="13:14" x14ac:dyDescent="0.25">
      <c r="M672"/>
      <c r="N672"/>
    </row>
    <row r="673" spans="13:14" x14ac:dyDescent="0.25">
      <c r="M673"/>
      <c r="N673"/>
    </row>
    <row r="674" spans="13:14" x14ac:dyDescent="0.25">
      <c r="M674"/>
      <c r="N674"/>
    </row>
    <row r="675" spans="13:14" x14ac:dyDescent="0.25">
      <c r="M675"/>
      <c r="N675"/>
    </row>
    <row r="676" spans="13:14" x14ac:dyDescent="0.25">
      <c r="M676"/>
      <c r="N676"/>
    </row>
    <row r="677" spans="13:14" x14ac:dyDescent="0.25">
      <c r="M677"/>
      <c r="N677"/>
    </row>
    <row r="678" spans="13:14" x14ac:dyDescent="0.25">
      <c r="M678"/>
      <c r="N678"/>
    </row>
    <row r="679" spans="13:14" x14ac:dyDescent="0.25">
      <c r="M679"/>
      <c r="N679"/>
    </row>
    <row r="680" spans="13:14" x14ac:dyDescent="0.25">
      <c r="M680"/>
      <c r="N680"/>
    </row>
    <row r="681" spans="13:14" x14ac:dyDescent="0.25">
      <c r="M681"/>
      <c r="N681"/>
    </row>
    <row r="682" spans="13:14" x14ac:dyDescent="0.25">
      <c r="M682"/>
      <c r="N682"/>
    </row>
    <row r="683" spans="13:14" x14ac:dyDescent="0.25">
      <c r="M683"/>
      <c r="N683"/>
    </row>
    <row r="684" spans="13:14" x14ac:dyDescent="0.25">
      <c r="M684"/>
      <c r="N684"/>
    </row>
    <row r="685" spans="13:14" x14ac:dyDescent="0.25">
      <c r="M685"/>
      <c r="N685"/>
    </row>
    <row r="686" spans="13:14" x14ac:dyDescent="0.25">
      <c r="M686"/>
      <c r="N686"/>
    </row>
    <row r="687" spans="13:14" x14ac:dyDescent="0.25">
      <c r="M687"/>
      <c r="N687"/>
    </row>
    <row r="688" spans="13:14" x14ac:dyDescent="0.25">
      <c r="M688"/>
      <c r="N688"/>
    </row>
    <row r="689" spans="13:14" x14ac:dyDescent="0.25">
      <c r="M689"/>
      <c r="N689"/>
    </row>
    <row r="690" spans="13:14" x14ac:dyDescent="0.25">
      <c r="M690"/>
      <c r="N690"/>
    </row>
    <row r="691" spans="13:14" x14ac:dyDescent="0.25">
      <c r="M691"/>
      <c r="N691"/>
    </row>
    <row r="692" spans="13:14" x14ac:dyDescent="0.25">
      <c r="M692"/>
      <c r="N692"/>
    </row>
    <row r="693" spans="13:14" x14ac:dyDescent="0.25">
      <c r="M693"/>
      <c r="N693"/>
    </row>
    <row r="694" spans="13:14" x14ac:dyDescent="0.25">
      <c r="M694"/>
      <c r="N694"/>
    </row>
    <row r="695" spans="13:14" x14ac:dyDescent="0.25">
      <c r="M695"/>
      <c r="N695"/>
    </row>
    <row r="696" spans="13:14" x14ac:dyDescent="0.25">
      <c r="M696"/>
      <c r="N696"/>
    </row>
    <row r="697" spans="13:14" x14ac:dyDescent="0.25">
      <c r="M697"/>
      <c r="N697"/>
    </row>
    <row r="698" spans="13:14" x14ac:dyDescent="0.25">
      <c r="M698"/>
      <c r="N698"/>
    </row>
    <row r="699" spans="13:14" x14ac:dyDescent="0.25">
      <c r="M699"/>
      <c r="N699"/>
    </row>
    <row r="700" spans="13:14" x14ac:dyDescent="0.25">
      <c r="M700"/>
      <c r="N700"/>
    </row>
    <row r="701" spans="13:14" x14ac:dyDescent="0.25">
      <c r="M701"/>
      <c r="N701"/>
    </row>
    <row r="702" spans="13:14" x14ac:dyDescent="0.25">
      <c r="M702"/>
      <c r="N702"/>
    </row>
    <row r="703" spans="13:14" x14ac:dyDescent="0.25">
      <c r="M703"/>
      <c r="N703"/>
    </row>
    <row r="704" spans="13:14" x14ac:dyDescent="0.25">
      <c r="M704"/>
      <c r="N704"/>
    </row>
    <row r="705" spans="13:14" x14ac:dyDescent="0.25">
      <c r="M705"/>
      <c r="N705"/>
    </row>
    <row r="706" spans="13:14" x14ac:dyDescent="0.25">
      <c r="M706"/>
      <c r="N706"/>
    </row>
    <row r="707" spans="13:14" x14ac:dyDescent="0.25">
      <c r="M707"/>
      <c r="N707"/>
    </row>
    <row r="708" spans="13:14" x14ac:dyDescent="0.25">
      <c r="M708"/>
      <c r="N708"/>
    </row>
    <row r="709" spans="13:14" x14ac:dyDescent="0.25">
      <c r="M709"/>
      <c r="N709"/>
    </row>
    <row r="710" spans="13:14" x14ac:dyDescent="0.25">
      <c r="M710"/>
      <c r="N710"/>
    </row>
    <row r="711" spans="13:14" x14ac:dyDescent="0.25">
      <c r="M711"/>
      <c r="N711"/>
    </row>
    <row r="712" spans="13:14" x14ac:dyDescent="0.25">
      <c r="M712"/>
      <c r="N712"/>
    </row>
    <row r="713" spans="13:14" x14ac:dyDescent="0.25">
      <c r="M713"/>
      <c r="N713"/>
    </row>
    <row r="714" spans="13:14" x14ac:dyDescent="0.25">
      <c r="M714"/>
      <c r="N714"/>
    </row>
    <row r="715" spans="13:14" x14ac:dyDescent="0.25">
      <c r="M715"/>
      <c r="N715"/>
    </row>
    <row r="716" spans="13:14" x14ac:dyDescent="0.25">
      <c r="M716"/>
      <c r="N716"/>
    </row>
    <row r="717" spans="13:14" x14ac:dyDescent="0.25">
      <c r="M717"/>
      <c r="N717"/>
    </row>
    <row r="718" spans="13:14" x14ac:dyDescent="0.25">
      <c r="M718"/>
      <c r="N718"/>
    </row>
    <row r="719" spans="13:14" x14ac:dyDescent="0.25">
      <c r="M719"/>
      <c r="N719"/>
    </row>
    <row r="720" spans="13:14" x14ac:dyDescent="0.25">
      <c r="M720"/>
      <c r="N720"/>
    </row>
    <row r="721" spans="13:14" x14ac:dyDescent="0.25">
      <c r="M721"/>
      <c r="N721"/>
    </row>
    <row r="722" spans="13:14" x14ac:dyDescent="0.25">
      <c r="M722"/>
      <c r="N722"/>
    </row>
    <row r="723" spans="13:14" x14ac:dyDescent="0.25">
      <c r="M723"/>
      <c r="N723"/>
    </row>
    <row r="724" spans="13:14" x14ac:dyDescent="0.25">
      <c r="M724"/>
      <c r="N724"/>
    </row>
    <row r="725" spans="13:14" x14ac:dyDescent="0.25">
      <c r="M725"/>
      <c r="N725"/>
    </row>
    <row r="726" spans="13:14" x14ac:dyDescent="0.25">
      <c r="M726"/>
      <c r="N726"/>
    </row>
    <row r="727" spans="13:14" x14ac:dyDescent="0.25">
      <c r="M727"/>
      <c r="N727"/>
    </row>
    <row r="728" spans="13:14" x14ac:dyDescent="0.25">
      <c r="M728"/>
      <c r="N728"/>
    </row>
    <row r="729" spans="13:14" x14ac:dyDescent="0.25">
      <c r="M729"/>
      <c r="N729"/>
    </row>
    <row r="730" spans="13:14" x14ac:dyDescent="0.25">
      <c r="M730"/>
      <c r="N730"/>
    </row>
    <row r="731" spans="13:14" x14ac:dyDescent="0.25">
      <c r="M731"/>
      <c r="N731"/>
    </row>
    <row r="732" spans="13:14" x14ac:dyDescent="0.25">
      <c r="M732"/>
      <c r="N732"/>
    </row>
    <row r="733" spans="13:14" x14ac:dyDescent="0.25">
      <c r="M733"/>
      <c r="N733"/>
    </row>
    <row r="734" spans="13:14" x14ac:dyDescent="0.25">
      <c r="M734"/>
      <c r="N734"/>
    </row>
    <row r="735" spans="13:14" x14ac:dyDescent="0.25">
      <c r="M735"/>
      <c r="N735"/>
    </row>
    <row r="736" spans="13:14" x14ac:dyDescent="0.25">
      <c r="M736"/>
      <c r="N736"/>
    </row>
    <row r="737" spans="13:14" x14ac:dyDescent="0.25">
      <c r="M737"/>
      <c r="N737"/>
    </row>
    <row r="738" spans="13:14" x14ac:dyDescent="0.25">
      <c r="M738"/>
      <c r="N738"/>
    </row>
    <row r="739" spans="13:14" x14ac:dyDescent="0.25">
      <c r="M739"/>
      <c r="N739"/>
    </row>
    <row r="740" spans="13:14" x14ac:dyDescent="0.25">
      <c r="M740"/>
      <c r="N740"/>
    </row>
    <row r="741" spans="13:14" x14ac:dyDescent="0.25">
      <c r="M741"/>
      <c r="N741"/>
    </row>
    <row r="742" spans="13:14" x14ac:dyDescent="0.25">
      <c r="M742"/>
      <c r="N742"/>
    </row>
    <row r="743" spans="13:14" x14ac:dyDescent="0.25">
      <c r="M743"/>
      <c r="N743"/>
    </row>
    <row r="744" spans="13:14" x14ac:dyDescent="0.25">
      <c r="M744"/>
      <c r="N744"/>
    </row>
    <row r="745" spans="13:14" x14ac:dyDescent="0.25">
      <c r="M745"/>
      <c r="N745"/>
    </row>
    <row r="746" spans="13:14" x14ac:dyDescent="0.25">
      <c r="M746"/>
      <c r="N746"/>
    </row>
    <row r="747" spans="13:14" x14ac:dyDescent="0.25">
      <c r="M747"/>
      <c r="N747"/>
    </row>
    <row r="748" spans="13:14" x14ac:dyDescent="0.25">
      <c r="M748"/>
      <c r="N748"/>
    </row>
    <row r="749" spans="13:14" x14ac:dyDescent="0.25">
      <c r="M749"/>
      <c r="N749"/>
    </row>
    <row r="750" spans="13:14" x14ac:dyDescent="0.25">
      <c r="M750"/>
      <c r="N750"/>
    </row>
    <row r="751" spans="13:14" x14ac:dyDescent="0.25">
      <c r="M751"/>
      <c r="N751"/>
    </row>
    <row r="752" spans="13:14" x14ac:dyDescent="0.25">
      <c r="M752"/>
      <c r="N752"/>
    </row>
    <row r="753" spans="13:14" x14ac:dyDescent="0.25">
      <c r="M753"/>
      <c r="N753"/>
    </row>
    <row r="754" spans="13:14" x14ac:dyDescent="0.25">
      <c r="M754"/>
      <c r="N754"/>
    </row>
    <row r="755" spans="13:14" x14ac:dyDescent="0.25">
      <c r="M755"/>
      <c r="N755"/>
    </row>
    <row r="756" spans="13:14" x14ac:dyDescent="0.25">
      <c r="M756"/>
      <c r="N756"/>
    </row>
    <row r="757" spans="13:14" x14ac:dyDescent="0.25">
      <c r="M757"/>
      <c r="N757"/>
    </row>
    <row r="758" spans="13:14" x14ac:dyDescent="0.25">
      <c r="M758"/>
      <c r="N758"/>
    </row>
    <row r="759" spans="13:14" x14ac:dyDescent="0.25">
      <c r="M759"/>
      <c r="N759"/>
    </row>
    <row r="760" spans="13:14" x14ac:dyDescent="0.25">
      <c r="M760"/>
      <c r="N760"/>
    </row>
    <row r="761" spans="13:14" x14ac:dyDescent="0.25">
      <c r="M761"/>
      <c r="N761"/>
    </row>
    <row r="762" spans="13:14" x14ac:dyDescent="0.25">
      <c r="M762"/>
      <c r="N762"/>
    </row>
    <row r="763" spans="13:14" x14ac:dyDescent="0.25">
      <c r="M763"/>
      <c r="N763"/>
    </row>
    <row r="764" spans="13:14" x14ac:dyDescent="0.25">
      <c r="M764"/>
      <c r="N764"/>
    </row>
    <row r="765" spans="13:14" x14ac:dyDescent="0.25">
      <c r="M765"/>
      <c r="N765"/>
    </row>
    <row r="766" spans="13:14" x14ac:dyDescent="0.25">
      <c r="M766"/>
      <c r="N766"/>
    </row>
    <row r="767" spans="13:14" x14ac:dyDescent="0.25">
      <c r="M767"/>
      <c r="N767"/>
    </row>
    <row r="768" spans="13:14" x14ac:dyDescent="0.25">
      <c r="M768"/>
      <c r="N768"/>
    </row>
    <row r="769" spans="13:14" x14ac:dyDescent="0.25">
      <c r="M769"/>
      <c r="N769"/>
    </row>
    <row r="770" spans="13:14" x14ac:dyDescent="0.25">
      <c r="M770"/>
      <c r="N770"/>
    </row>
    <row r="771" spans="13:14" x14ac:dyDescent="0.25">
      <c r="M771"/>
      <c r="N771"/>
    </row>
    <row r="772" spans="13:14" x14ac:dyDescent="0.25">
      <c r="M772"/>
      <c r="N772"/>
    </row>
    <row r="773" spans="13:14" x14ac:dyDescent="0.25">
      <c r="M773"/>
      <c r="N773"/>
    </row>
    <row r="774" spans="13:14" x14ac:dyDescent="0.25">
      <c r="M774"/>
      <c r="N774"/>
    </row>
    <row r="775" spans="13:14" x14ac:dyDescent="0.25">
      <c r="M775"/>
      <c r="N775"/>
    </row>
    <row r="776" spans="13:14" x14ac:dyDescent="0.25">
      <c r="M776"/>
      <c r="N776"/>
    </row>
    <row r="777" spans="13:14" x14ac:dyDescent="0.25">
      <c r="M777"/>
      <c r="N777"/>
    </row>
    <row r="778" spans="13:14" x14ac:dyDescent="0.25">
      <c r="M778"/>
      <c r="N778"/>
    </row>
    <row r="779" spans="13:14" x14ac:dyDescent="0.25">
      <c r="M779"/>
      <c r="N779"/>
    </row>
    <row r="780" spans="13:14" x14ac:dyDescent="0.25">
      <c r="M780"/>
      <c r="N780"/>
    </row>
    <row r="781" spans="13:14" x14ac:dyDescent="0.25">
      <c r="M781"/>
      <c r="N781"/>
    </row>
    <row r="782" spans="13:14" x14ac:dyDescent="0.25">
      <c r="M782"/>
      <c r="N782"/>
    </row>
    <row r="783" spans="13:14" x14ac:dyDescent="0.25">
      <c r="M783"/>
      <c r="N783"/>
    </row>
    <row r="784" spans="13:14" x14ac:dyDescent="0.25">
      <c r="M784"/>
      <c r="N784"/>
    </row>
    <row r="785" spans="13:14" x14ac:dyDescent="0.25">
      <c r="M785"/>
      <c r="N785"/>
    </row>
    <row r="786" spans="13:14" x14ac:dyDescent="0.25">
      <c r="M786"/>
      <c r="N786"/>
    </row>
    <row r="787" spans="13:14" x14ac:dyDescent="0.25">
      <c r="M787"/>
      <c r="N787"/>
    </row>
    <row r="788" spans="13:14" x14ac:dyDescent="0.25">
      <c r="M788"/>
      <c r="N788"/>
    </row>
    <row r="789" spans="13:14" x14ac:dyDescent="0.25">
      <c r="M789"/>
      <c r="N789"/>
    </row>
    <row r="790" spans="13:14" x14ac:dyDescent="0.25">
      <c r="M790"/>
      <c r="N790"/>
    </row>
    <row r="791" spans="13:14" x14ac:dyDescent="0.25">
      <c r="M791"/>
      <c r="N791"/>
    </row>
    <row r="792" spans="13:14" x14ac:dyDescent="0.25">
      <c r="M792"/>
      <c r="N792"/>
    </row>
    <row r="793" spans="13:14" x14ac:dyDescent="0.25">
      <c r="M793"/>
      <c r="N793"/>
    </row>
    <row r="794" spans="13:14" x14ac:dyDescent="0.25">
      <c r="M794"/>
      <c r="N794"/>
    </row>
    <row r="795" spans="13:14" x14ac:dyDescent="0.25">
      <c r="M795"/>
      <c r="N795"/>
    </row>
    <row r="796" spans="13:14" x14ac:dyDescent="0.25">
      <c r="M796"/>
      <c r="N796"/>
    </row>
    <row r="797" spans="13:14" x14ac:dyDescent="0.25">
      <c r="M797"/>
      <c r="N797"/>
    </row>
    <row r="798" spans="13:14" x14ac:dyDescent="0.25">
      <c r="M798"/>
      <c r="N798"/>
    </row>
    <row r="799" spans="13:14" x14ac:dyDescent="0.25">
      <c r="M799"/>
      <c r="N799"/>
    </row>
    <row r="800" spans="13:14" x14ac:dyDescent="0.25">
      <c r="M800"/>
      <c r="N800"/>
    </row>
    <row r="801" spans="13:14" x14ac:dyDescent="0.25">
      <c r="M801"/>
      <c r="N801"/>
    </row>
    <row r="802" spans="13:14" x14ac:dyDescent="0.25">
      <c r="M802"/>
      <c r="N802"/>
    </row>
    <row r="803" spans="13:14" x14ac:dyDescent="0.25">
      <c r="M803"/>
      <c r="N803"/>
    </row>
    <row r="804" spans="13:14" x14ac:dyDescent="0.25">
      <c r="M804"/>
      <c r="N804"/>
    </row>
    <row r="805" spans="13:14" x14ac:dyDescent="0.25">
      <c r="M805"/>
      <c r="N805"/>
    </row>
    <row r="806" spans="13:14" x14ac:dyDescent="0.25">
      <c r="M806"/>
      <c r="N806"/>
    </row>
    <row r="807" spans="13:14" x14ac:dyDescent="0.25">
      <c r="M807"/>
      <c r="N807"/>
    </row>
    <row r="808" spans="13:14" x14ac:dyDescent="0.25">
      <c r="M808"/>
      <c r="N808"/>
    </row>
    <row r="809" spans="13:14" x14ac:dyDescent="0.25">
      <c r="M809"/>
      <c r="N809"/>
    </row>
    <row r="810" spans="13:14" x14ac:dyDescent="0.25">
      <c r="M810"/>
      <c r="N810"/>
    </row>
    <row r="811" spans="13:14" x14ac:dyDescent="0.25">
      <c r="M811"/>
      <c r="N811"/>
    </row>
    <row r="812" spans="13:14" x14ac:dyDescent="0.25">
      <c r="M812"/>
      <c r="N812"/>
    </row>
    <row r="813" spans="13:14" x14ac:dyDescent="0.25">
      <c r="M813"/>
      <c r="N813"/>
    </row>
    <row r="814" spans="13:14" x14ac:dyDescent="0.25">
      <c r="M814"/>
      <c r="N814"/>
    </row>
    <row r="815" spans="13:14" x14ac:dyDescent="0.25">
      <c r="M815"/>
      <c r="N815"/>
    </row>
    <row r="816" spans="13:14" x14ac:dyDescent="0.25">
      <c r="M816"/>
      <c r="N816"/>
    </row>
    <row r="817" spans="13:14" x14ac:dyDescent="0.25">
      <c r="M817"/>
      <c r="N817"/>
    </row>
    <row r="818" spans="13:14" x14ac:dyDescent="0.25">
      <c r="M818"/>
      <c r="N818"/>
    </row>
    <row r="819" spans="13:14" x14ac:dyDescent="0.25">
      <c r="M819"/>
      <c r="N819"/>
    </row>
    <row r="820" spans="13:14" x14ac:dyDescent="0.25">
      <c r="M820"/>
      <c r="N820"/>
    </row>
    <row r="821" spans="13:14" x14ac:dyDescent="0.25">
      <c r="M821"/>
      <c r="N821"/>
    </row>
    <row r="822" spans="13:14" x14ac:dyDescent="0.25">
      <c r="M822"/>
      <c r="N822"/>
    </row>
    <row r="823" spans="13:14" x14ac:dyDescent="0.25">
      <c r="M823"/>
      <c r="N823"/>
    </row>
    <row r="824" spans="13:14" x14ac:dyDescent="0.25">
      <c r="M824"/>
      <c r="N824"/>
    </row>
    <row r="825" spans="13:14" x14ac:dyDescent="0.25">
      <c r="M825"/>
      <c r="N825"/>
    </row>
    <row r="826" spans="13:14" x14ac:dyDescent="0.25">
      <c r="M826"/>
      <c r="N826"/>
    </row>
    <row r="827" spans="13:14" x14ac:dyDescent="0.25">
      <c r="M827"/>
      <c r="N827"/>
    </row>
    <row r="828" spans="13:14" x14ac:dyDescent="0.25">
      <c r="M828"/>
      <c r="N828"/>
    </row>
    <row r="829" spans="13:14" x14ac:dyDescent="0.25">
      <c r="M829"/>
      <c r="N829"/>
    </row>
    <row r="830" spans="13:14" x14ac:dyDescent="0.25">
      <c r="M830"/>
      <c r="N830"/>
    </row>
    <row r="831" spans="13:14" x14ac:dyDescent="0.25">
      <c r="M831"/>
      <c r="N831"/>
    </row>
    <row r="832" spans="13:14" x14ac:dyDescent="0.25">
      <c r="M832"/>
      <c r="N832"/>
    </row>
    <row r="833" spans="13:14" x14ac:dyDescent="0.25">
      <c r="M833"/>
      <c r="N833"/>
    </row>
    <row r="834" spans="13:14" x14ac:dyDescent="0.25">
      <c r="M834"/>
      <c r="N834"/>
    </row>
    <row r="835" spans="13:14" x14ac:dyDescent="0.25">
      <c r="M835"/>
      <c r="N835"/>
    </row>
    <row r="836" spans="13:14" x14ac:dyDescent="0.25">
      <c r="M836"/>
      <c r="N836"/>
    </row>
    <row r="837" spans="13:14" x14ac:dyDescent="0.25">
      <c r="M837"/>
      <c r="N837"/>
    </row>
    <row r="838" spans="13:14" x14ac:dyDescent="0.25">
      <c r="M838"/>
      <c r="N838"/>
    </row>
    <row r="839" spans="13:14" x14ac:dyDescent="0.25">
      <c r="M839"/>
      <c r="N839"/>
    </row>
    <row r="840" spans="13:14" x14ac:dyDescent="0.25">
      <c r="M840"/>
      <c r="N840"/>
    </row>
    <row r="841" spans="13:14" x14ac:dyDescent="0.25">
      <c r="M841"/>
      <c r="N841"/>
    </row>
    <row r="842" spans="13:14" x14ac:dyDescent="0.25">
      <c r="M842"/>
      <c r="N842"/>
    </row>
    <row r="843" spans="13:14" x14ac:dyDescent="0.25">
      <c r="M843"/>
      <c r="N843"/>
    </row>
    <row r="844" spans="13:14" x14ac:dyDescent="0.25">
      <c r="M844"/>
      <c r="N844"/>
    </row>
    <row r="845" spans="13:14" x14ac:dyDescent="0.25">
      <c r="M845"/>
      <c r="N845"/>
    </row>
    <row r="846" spans="13:14" x14ac:dyDescent="0.25">
      <c r="M846"/>
      <c r="N846"/>
    </row>
    <row r="847" spans="13:14" x14ac:dyDescent="0.25">
      <c r="M847"/>
      <c r="N847"/>
    </row>
    <row r="848" spans="13:14" x14ac:dyDescent="0.25">
      <c r="M848"/>
      <c r="N848"/>
    </row>
    <row r="849" spans="13:14" x14ac:dyDescent="0.25">
      <c r="M849"/>
      <c r="N849"/>
    </row>
    <row r="850" spans="13:14" x14ac:dyDescent="0.25">
      <c r="M850"/>
      <c r="N850"/>
    </row>
    <row r="851" spans="13:14" x14ac:dyDescent="0.25">
      <c r="M851"/>
      <c r="N851"/>
    </row>
    <row r="852" spans="13:14" x14ac:dyDescent="0.25">
      <c r="M852"/>
      <c r="N852"/>
    </row>
    <row r="853" spans="13:14" x14ac:dyDescent="0.25">
      <c r="M853"/>
      <c r="N853"/>
    </row>
    <row r="854" spans="13:14" x14ac:dyDescent="0.25">
      <c r="M854"/>
      <c r="N854"/>
    </row>
    <row r="855" spans="13:14" x14ac:dyDescent="0.25">
      <c r="M855"/>
      <c r="N855"/>
    </row>
    <row r="856" spans="13:14" x14ac:dyDescent="0.25">
      <c r="M856"/>
      <c r="N856"/>
    </row>
    <row r="857" spans="13:14" x14ac:dyDescent="0.25">
      <c r="M857"/>
      <c r="N857"/>
    </row>
    <row r="858" spans="13:14" x14ac:dyDescent="0.25">
      <c r="M858"/>
      <c r="N858"/>
    </row>
    <row r="859" spans="13:14" x14ac:dyDescent="0.25">
      <c r="M859"/>
      <c r="N859"/>
    </row>
    <row r="860" spans="13:14" x14ac:dyDescent="0.25">
      <c r="M860"/>
      <c r="N860"/>
    </row>
    <row r="861" spans="13:14" x14ac:dyDescent="0.25">
      <c r="M861"/>
      <c r="N861"/>
    </row>
    <row r="862" spans="13:14" x14ac:dyDescent="0.25">
      <c r="M862"/>
      <c r="N862"/>
    </row>
    <row r="863" spans="13:14" x14ac:dyDescent="0.25">
      <c r="M863"/>
      <c r="N863"/>
    </row>
    <row r="864" spans="13:14" x14ac:dyDescent="0.25">
      <c r="M864"/>
      <c r="N864"/>
    </row>
    <row r="865" spans="13:14" x14ac:dyDescent="0.25">
      <c r="M865"/>
      <c r="N865"/>
    </row>
    <row r="866" spans="13:14" x14ac:dyDescent="0.25">
      <c r="M866"/>
      <c r="N866"/>
    </row>
    <row r="867" spans="13:14" x14ac:dyDescent="0.25">
      <c r="M867"/>
      <c r="N867"/>
    </row>
    <row r="868" spans="13:14" x14ac:dyDescent="0.25">
      <c r="M868"/>
      <c r="N868"/>
    </row>
    <row r="869" spans="13:14" x14ac:dyDescent="0.25">
      <c r="M869"/>
      <c r="N869"/>
    </row>
    <row r="870" spans="13:14" x14ac:dyDescent="0.25">
      <c r="M870"/>
      <c r="N870"/>
    </row>
    <row r="871" spans="13:14" x14ac:dyDescent="0.25">
      <c r="M871"/>
      <c r="N871"/>
    </row>
    <row r="872" spans="13:14" x14ac:dyDescent="0.25">
      <c r="M872"/>
      <c r="N872"/>
    </row>
    <row r="873" spans="13:14" x14ac:dyDescent="0.25">
      <c r="M873"/>
      <c r="N873"/>
    </row>
    <row r="874" spans="13:14" x14ac:dyDescent="0.25">
      <c r="M874"/>
      <c r="N874"/>
    </row>
    <row r="875" spans="13:14" x14ac:dyDescent="0.25">
      <c r="M875"/>
      <c r="N875"/>
    </row>
    <row r="876" spans="13:14" x14ac:dyDescent="0.25">
      <c r="M876"/>
      <c r="N876"/>
    </row>
    <row r="877" spans="13:14" x14ac:dyDescent="0.25">
      <c r="M877"/>
      <c r="N877"/>
    </row>
    <row r="878" spans="13:14" x14ac:dyDescent="0.25">
      <c r="M878"/>
      <c r="N878"/>
    </row>
    <row r="879" spans="13:14" x14ac:dyDescent="0.25">
      <c r="M879"/>
      <c r="N879"/>
    </row>
    <row r="880" spans="13:14" x14ac:dyDescent="0.25">
      <c r="M880"/>
      <c r="N880"/>
    </row>
    <row r="881" spans="13:14" x14ac:dyDescent="0.25">
      <c r="M881"/>
      <c r="N881"/>
    </row>
    <row r="882" spans="13:14" x14ac:dyDescent="0.25">
      <c r="M882"/>
      <c r="N882"/>
    </row>
    <row r="883" spans="13:14" x14ac:dyDescent="0.25">
      <c r="M883"/>
      <c r="N883"/>
    </row>
    <row r="884" spans="13:14" x14ac:dyDescent="0.25">
      <c r="M884"/>
      <c r="N884"/>
    </row>
    <row r="885" spans="13:14" x14ac:dyDescent="0.25">
      <c r="M885"/>
      <c r="N885"/>
    </row>
    <row r="886" spans="13:14" x14ac:dyDescent="0.25">
      <c r="M886"/>
      <c r="N886"/>
    </row>
    <row r="887" spans="13:14" x14ac:dyDescent="0.25">
      <c r="M887"/>
      <c r="N887"/>
    </row>
    <row r="888" spans="13:14" x14ac:dyDescent="0.25">
      <c r="M888"/>
      <c r="N888"/>
    </row>
    <row r="889" spans="13:14" x14ac:dyDescent="0.25">
      <c r="M889"/>
      <c r="N889"/>
    </row>
    <row r="890" spans="13:14" x14ac:dyDescent="0.25">
      <c r="M890"/>
      <c r="N890"/>
    </row>
    <row r="891" spans="13:14" x14ac:dyDescent="0.25">
      <c r="M891"/>
      <c r="N891"/>
    </row>
    <row r="892" spans="13:14" x14ac:dyDescent="0.25">
      <c r="M892"/>
      <c r="N892"/>
    </row>
    <row r="893" spans="13:14" x14ac:dyDescent="0.25">
      <c r="M893"/>
      <c r="N893"/>
    </row>
    <row r="894" spans="13:14" x14ac:dyDescent="0.25">
      <c r="M894"/>
      <c r="N894"/>
    </row>
    <row r="895" spans="13:14" x14ac:dyDescent="0.25">
      <c r="M895"/>
      <c r="N895"/>
    </row>
    <row r="896" spans="13:14" x14ac:dyDescent="0.25">
      <c r="M896"/>
      <c r="N896"/>
    </row>
    <row r="897" spans="13:14" x14ac:dyDescent="0.25">
      <c r="M897"/>
      <c r="N897"/>
    </row>
    <row r="898" spans="13:14" x14ac:dyDescent="0.25">
      <c r="M898"/>
      <c r="N898"/>
    </row>
    <row r="899" spans="13:14" x14ac:dyDescent="0.25">
      <c r="M899"/>
      <c r="N899"/>
    </row>
    <row r="900" spans="13:14" x14ac:dyDescent="0.25">
      <c r="M900"/>
      <c r="N900"/>
    </row>
    <row r="901" spans="13:14" x14ac:dyDescent="0.25">
      <c r="M901"/>
      <c r="N901"/>
    </row>
    <row r="902" spans="13:14" x14ac:dyDescent="0.25">
      <c r="M902"/>
      <c r="N902"/>
    </row>
    <row r="903" spans="13:14" x14ac:dyDescent="0.25">
      <c r="M903"/>
      <c r="N903"/>
    </row>
    <row r="904" spans="13:14" x14ac:dyDescent="0.25">
      <c r="M904"/>
      <c r="N904"/>
    </row>
    <row r="905" spans="13:14" x14ac:dyDescent="0.25">
      <c r="M905"/>
      <c r="N905"/>
    </row>
    <row r="906" spans="13:14" x14ac:dyDescent="0.25">
      <c r="M906"/>
      <c r="N906"/>
    </row>
    <row r="907" spans="13:14" x14ac:dyDescent="0.25">
      <c r="M907"/>
      <c r="N907"/>
    </row>
    <row r="908" spans="13:14" x14ac:dyDescent="0.25">
      <c r="M908"/>
      <c r="N908"/>
    </row>
    <row r="909" spans="13:14" x14ac:dyDescent="0.25">
      <c r="M909"/>
      <c r="N909"/>
    </row>
    <row r="910" spans="13:14" x14ac:dyDescent="0.25">
      <c r="M910"/>
      <c r="N910"/>
    </row>
    <row r="911" spans="13:14" x14ac:dyDescent="0.25">
      <c r="M911"/>
      <c r="N911"/>
    </row>
    <row r="912" spans="13:14" x14ac:dyDescent="0.25">
      <c r="M912"/>
      <c r="N912"/>
    </row>
    <row r="913" spans="13:14" x14ac:dyDescent="0.25">
      <c r="M913"/>
      <c r="N913"/>
    </row>
    <row r="914" spans="13:14" x14ac:dyDescent="0.25">
      <c r="M914"/>
      <c r="N914"/>
    </row>
    <row r="915" spans="13:14" x14ac:dyDescent="0.25">
      <c r="M915"/>
      <c r="N915"/>
    </row>
    <row r="916" spans="13:14" x14ac:dyDescent="0.25">
      <c r="M916"/>
      <c r="N916"/>
    </row>
    <row r="917" spans="13:14" x14ac:dyDescent="0.25">
      <c r="M917"/>
      <c r="N917"/>
    </row>
    <row r="918" spans="13:14" x14ac:dyDescent="0.25">
      <c r="M918"/>
      <c r="N918"/>
    </row>
    <row r="919" spans="13:14" x14ac:dyDescent="0.25">
      <c r="M919"/>
      <c r="N919"/>
    </row>
    <row r="920" spans="13:14" x14ac:dyDescent="0.25">
      <c r="M920"/>
      <c r="N920"/>
    </row>
    <row r="921" spans="13:14" x14ac:dyDescent="0.25">
      <c r="M921"/>
      <c r="N921"/>
    </row>
    <row r="922" spans="13:14" x14ac:dyDescent="0.25">
      <c r="M922"/>
      <c r="N922"/>
    </row>
    <row r="923" spans="13:14" x14ac:dyDescent="0.25">
      <c r="M923"/>
      <c r="N923"/>
    </row>
    <row r="924" spans="13:14" x14ac:dyDescent="0.25">
      <c r="M924"/>
      <c r="N924"/>
    </row>
    <row r="925" spans="13:14" x14ac:dyDescent="0.25">
      <c r="M925"/>
      <c r="N925"/>
    </row>
    <row r="926" spans="13:14" x14ac:dyDescent="0.25">
      <c r="M926"/>
      <c r="N926"/>
    </row>
    <row r="927" spans="13:14" x14ac:dyDescent="0.25">
      <c r="M927"/>
      <c r="N927"/>
    </row>
    <row r="928" spans="13:14" x14ac:dyDescent="0.25">
      <c r="M928"/>
      <c r="N928"/>
    </row>
    <row r="929" spans="13:14" x14ac:dyDescent="0.25">
      <c r="M929"/>
      <c r="N929"/>
    </row>
    <row r="930" spans="13:14" x14ac:dyDescent="0.25">
      <c r="M930"/>
      <c r="N930"/>
    </row>
    <row r="931" spans="13:14" x14ac:dyDescent="0.25">
      <c r="M931"/>
      <c r="N931"/>
    </row>
    <row r="932" spans="13:14" x14ac:dyDescent="0.25">
      <c r="M932"/>
      <c r="N932"/>
    </row>
    <row r="933" spans="13:14" x14ac:dyDescent="0.25">
      <c r="M933"/>
      <c r="N933"/>
    </row>
    <row r="934" spans="13:14" x14ac:dyDescent="0.25">
      <c r="M934"/>
      <c r="N934"/>
    </row>
    <row r="935" spans="13:14" x14ac:dyDescent="0.25">
      <c r="M935"/>
      <c r="N935"/>
    </row>
    <row r="936" spans="13:14" x14ac:dyDescent="0.25">
      <c r="M936"/>
      <c r="N936"/>
    </row>
    <row r="937" spans="13:14" x14ac:dyDescent="0.25">
      <c r="M937"/>
      <c r="N937"/>
    </row>
    <row r="938" spans="13:14" x14ac:dyDescent="0.25">
      <c r="M938"/>
      <c r="N938"/>
    </row>
    <row r="939" spans="13:14" x14ac:dyDescent="0.25">
      <c r="M939"/>
      <c r="N939"/>
    </row>
    <row r="940" spans="13:14" x14ac:dyDescent="0.25">
      <c r="M940"/>
      <c r="N940"/>
    </row>
    <row r="941" spans="13:14" x14ac:dyDescent="0.25">
      <c r="M941"/>
      <c r="N941"/>
    </row>
    <row r="942" spans="13:14" x14ac:dyDescent="0.25">
      <c r="M942"/>
      <c r="N942"/>
    </row>
    <row r="943" spans="13:14" x14ac:dyDescent="0.25">
      <c r="M943"/>
      <c r="N943"/>
    </row>
    <row r="944" spans="13:14" x14ac:dyDescent="0.25">
      <c r="M944"/>
      <c r="N944"/>
    </row>
    <row r="945" spans="13:14" x14ac:dyDescent="0.25">
      <c r="M945"/>
      <c r="N945"/>
    </row>
    <row r="946" spans="13:14" x14ac:dyDescent="0.25">
      <c r="M946"/>
      <c r="N946"/>
    </row>
    <row r="947" spans="13:14" x14ac:dyDescent="0.25">
      <c r="M947"/>
      <c r="N947"/>
    </row>
    <row r="948" spans="13:14" x14ac:dyDescent="0.25">
      <c r="M948"/>
      <c r="N948"/>
    </row>
    <row r="949" spans="13:14" x14ac:dyDescent="0.25">
      <c r="M949"/>
      <c r="N949"/>
    </row>
    <row r="950" spans="13:14" x14ac:dyDescent="0.25">
      <c r="M950"/>
      <c r="N950"/>
    </row>
    <row r="951" spans="13:14" x14ac:dyDescent="0.25">
      <c r="M951"/>
      <c r="N951"/>
    </row>
    <row r="952" spans="13:14" x14ac:dyDescent="0.25">
      <c r="M952"/>
      <c r="N952"/>
    </row>
    <row r="953" spans="13:14" x14ac:dyDescent="0.25">
      <c r="M953"/>
      <c r="N953"/>
    </row>
    <row r="954" spans="13:14" x14ac:dyDescent="0.25">
      <c r="M954"/>
      <c r="N954"/>
    </row>
    <row r="955" spans="13:14" x14ac:dyDescent="0.25">
      <c r="M955"/>
      <c r="N955"/>
    </row>
    <row r="956" spans="13:14" x14ac:dyDescent="0.25">
      <c r="M956"/>
      <c r="N956"/>
    </row>
    <row r="957" spans="13:14" x14ac:dyDescent="0.25">
      <c r="M957"/>
      <c r="N957"/>
    </row>
    <row r="958" spans="13:14" x14ac:dyDescent="0.25">
      <c r="M958"/>
      <c r="N958"/>
    </row>
    <row r="959" spans="13:14" x14ac:dyDescent="0.25">
      <c r="M959"/>
      <c r="N959"/>
    </row>
    <row r="960" spans="13:14" x14ac:dyDescent="0.25">
      <c r="M960"/>
      <c r="N960"/>
    </row>
    <row r="961" spans="13:14" x14ac:dyDescent="0.25">
      <c r="M961"/>
      <c r="N961"/>
    </row>
    <row r="962" spans="13:14" x14ac:dyDescent="0.25">
      <c r="M962"/>
      <c r="N962"/>
    </row>
    <row r="963" spans="13:14" x14ac:dyDescent="0.25">
      <c r="M963"/>
      <c r="N963"/>
    </row>
    <row r="964" spans="13:14" x14ac:dyDescent="0.25">
      <c r="M964"/>
      <c r="N964"/>
    </row>
    <row r="965" spans="13:14" x14ac:dyDescent="0.25">
      <c r="M965"/>
      <c r="N965"/>
    </row>
    <row r="966" spans="13:14" x14ac:dyDescent="0.25">
      <c r="M966"/>
      <c r="N966"/>
    </row>
    <row r="967" spans="13:14" x14ac:dyDescent="0.25">
      <c r="M967"/>
      <c r="N967"/>
    </row>
    <row r="968" spans="13:14" x14ac:dyDescent="0.25">
      <c r="M968"/>
      <c r="N968"/>
    </row>
    <row r="969" spans="13:14" x14ac:dyDescent="0.25">
      <c r="M969"/>
      <c r="N969"/>
    </row>
    <row r="970" spans="13:14" x14ac:dyDescent="0.25">
      <c r="M970"/>
      <c r="N970"/>
    </row>
    <row r="971" spans="13:14" x14ac:dyDescent="0.25">
      <c r="M971"/>
      <c r="N971"/>
    </row>
    <row r="972" spans="13:14" x14ac:dyDescent="0.25">
      <c r="M972"/>
      <c r="N972"/>
    </row>
    <row r="973" spans="13:14" x14ac:dyDescent="0.25">
      <c r="M973"/>
      <c r="N973"/>
    </row>
    <row r="974" spans="13:14" x14ac:dyDescent="0.25">
      <c r="M974"/>
      <c r="N974"/>
    </row>
    <row r="975" spans="13:14" x14ac:dyDescent="0.25">
      <c r="M975"/>
      <c r="N975"/>
    </row>
    <row r="976" spans="13:14" x14ac:dyDescent="0.25">
      <c r="M976"/>
      <c r="N976"/>
    </row>
    <row r="977" spans="13:14" x14ac:dyDescent="0.25">
      <c r="M977"/>
      <c r="N977"/>
    </row>
    <row r="978" spans="13:14" x14ac:dyDescent="0.25">
      <c r="M978"/>
      <c r="N978"/>
    </row>
    <row r="979" spans="13:14" x14ac:dyDescent="0.25">
      <c r="M979"/>
      <c r="N979"/>
    </row>
    <row r="980" spans="13:14" x14ac:dyDescent="0.25">
      <c r="M980"/>
      <c r="N980"/>
    </row>
    <row r="981" spans="13:14" x14ac:dyDescent="0.25">
      <c r="M981"/>
      <c r="N981"/>
    </row>
    <row r="982" spans="13:14" x14ac:dyDescent="0.25">
      <c r="M982"/>
      <c r="N982"/>
    </row>
    <row r="983" spans="13:14" x14ac:dyDescent="0.25">
      <c r="M983"/>
      <c r="N983"/>
    </row>
    <row r="984" spans="13:14" x14ac:dyDescent="0.25">
      <c r="M984"/>
      <c r="N984"/>
    </row>
    <row r="985" spans="13:14" x14ac:dyDescent="0.25">
      <c r="M985"/>
      <c r="N985"/>
    </row>
    <row r="986" spans="13:14" x14ac:dyDescent="0.25">
      <c r="M986"/>
      <c r="N986"/>
    </row>
    <row r="987" spans="13:14" x14ac:dyDescent="0.25">
      <c r="M987"/>
      <c r="N987"/>
    </row>
    <row r="988" spans="13:14" x14ac:dyDescent="0.25">
      <c r="M988"/>
      <c r="N988"/>
    </row>
    <row r="989" spans="13:14" x14ac:dyDescent="0.25">
      <c r="M989"/>
      <c r="N989"/>
    </row>
    <row r="990" spans="13:14" x14ac:dyDescent="0.25">
      <c r="M990"/>
      <c r="N990"/>
    </row>
    <row r="991" spans="13:14" x14ac:dyDescent="0.25">
      <c r="M991"/>
      <c r="N991"/>
    </row>
    <row r="992" spans="13:14" x14ac:dyDescent="0.25">
      <c r="M992"/>
      <c r="N992"/>
    </row>
    <row r="993" spans="13:14" x14ac:dyDescent="0.25">
      <c r="M993"/>
      <c r="N993"/>
    </row>
    <row r="994" spans="13:14" x14ac:dyDescent="0.25">
      <c r="M994"/>
      <c r="N994"/>
    </row>
    <row r="995" spans="13:14" x14ac:dyDescent="0.25">
      <c r="M995"/>
      <c r="N995"/>
    </row>
    <row r="996" spans="13:14" x14ac:dyDescent="0.25">
      <c r="M996"/>
      <c r="N996"/>
    </row>
    <row r="997" spans="13:14" x14ac:dyDescent="0.25">
      <c r="M997"/>
      <c r="N997"/>
    </row>
    <row r="998" spans="13:14" x14ac:dyDescent="0.25">
      <c r="M998"/>
      <c r="N998"/>
    </row>
    <row r="999" spans="13:14" x14ac:dyDescent="0.25">
      <c r="M999"/>
      <c r="N999"/>
    </row>
  </sheetData>
  <autoFilter ref="A7:P7" xr:uid="{00000000-0001-0000-0400-000000000000}"/>
  <sortState xmlns:xlrd2="http://schemas.microsoft.com/office/spreadsheetml/2017/richdata2" ref="B8:P34">
    <sortCondition ref="I8:I34"/>
    <sortCondition ref="H8:H34"/>
    <sortCondition ref="J8:J34"/>
    <sortCondition ref="F8:F34"/>
  </sortState>
  <phoneticPr fontId="4" type="noConversion"/>
  <conditionalFormatting sqref="A8:J95 P7:P94 L8:O94">
    <cfRule type="expression" priority="19" stopIfTrue="1">
      <formula>MOD(ROW(),2)=0</formula>
    </cfRule>
  </conditionalFormatting>
  <conditionalFormatting sqref="A8:K95">
    <cfRule type="expression" dxfId="906" priority="11" stopIfTrue="1">
      <formula>MOD(ROW(),2)=0</formula>
    </cfRule>
    <cfRule type="expression" dxfId="905" priority="12" stopIfTrue="1">
      <formula>MOD(ROW(),2)&lt;&gt;0</formula>
    </cfRule>
  </conditionalFormatting>
  <conditionalFormatting sqref="A7:O7 P7:P94 L8:O94 A8:J95">
    <cfRule type="expression" priority="22" stopIfTrue="1">
      <formula>MOD(ROW(),2)&lt;&gt;0</formula>
    </cfRule>
    <cfRule type="expression" priority="23" stopIfTrue="1">
      <formula>MOD(ROW(),2)=0</formula>
    </cfRule>
    <cfRule type="expression" priority="24" stopIfTrue="1">
      <formula>MOD(ROW(),2)&lt;&gt;0</formula>
    </cfRule>
  </conditionalFormatting>
  <conditionalFormatting sqref="A7:P7">
    <cfRule type="expression" priority="3" stopIfTrue="1">
      <formula>MOD(ROW(),2)=0</formula>
    </cfRule>
    <cfRule type="expression" priority="4" stopIfTrue="1">
      <formula>MOD(ROW(),2)&lt;&gt;0</formula>
    </cfRule>
  </conditionalFormatting>
  <conditionalFormatting sqref="J9:J95">
    <cfRule type="expression" dxfId="904" priority="25" stopIfTrue="1">
      <formula>COUNTIF($J$8:$J$95,J9) &gt; 1</formula>
    </cfRule>
  </conditionalFormatting>
  <conditionalFormatting sqref="L8:P94">
    <cfRule type="expression" dxfId="903" priority="1" stopIfTrue="1">
      <formula>MOD(ROW(),2)=0</formula>
    </cfRule>
    <cfRule type="expression" dxfId="902" priority="2" stopIfTrue="1">
      <formula>MOD(ROW(),2)&lt;&gt;0</formula>
    </cfRule>
  </conditionalFormatting>
  <conditionalFormatting sqref="P7:P94 L8:O94 A8:J95 A7:O7">
    <cfRule type="expression" priority="21" stopIfTrue="1">
      <formula>MOD(ROW(),2)=0</formula>
    </cfRule>
  </conditionalFormatting>
  <conditionalFormatting sqref="P7:P94 L8:O94 A8:J95">
    <cfRule type="expression" priority="20"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2"/>
  <dimension ref="A1:AQ53"/>
  <sheetViews>
    <sheetView showGridLines="0" topLeftCell="A3" zoomScale="84" zoomScaleNormal="84" workbookViewId="0">
      <selection activeCell="B6" sqref="B6:AQ21"/>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 England - Consolidated Factor Spreadsheet</v>
      </c>
      <c r="B2" s="42"/>
      <c r="C2" s="42"/>
      <c r="D2" s="42"/>
      <c r="E2" s="42"/>
      <c r="F2" s="42"/>
      <c r="G2" s="42"/>
      <c r="H2" s="42"/>
      <c r="I2" s="42"/>
    </row>
    <row r="3" spans="1:43" ht="15.6" x14ac:dyDescent="0.3">
      <c r="A3" s="43" t="str">
        <f>TABLE_FACTOR_TYPE_1&amp;" - x-"&amp;TABLE_SERIES_NUMBER_1</f>
        <v>Pension Debit - x-326</v>
      </c>
      <c r="B3" s="42"/>
      <c r="C3" s="42"/>
      <c r="D3" s="42"/>
      <c r="E3" s="42"/>
      <c r="F3" s="42"/>
      <c r="G3" s="42"/>
      <c r="H3" s="42"/>
      <c r="I3" s="42"/>
    </row>
    <row r="4" spans="1:43" x14ac:dyDescent="0.25">
      <c r="A4" s="44"/>
    </row>
    <row r="6" spans="1:43" x14ac:dyDescent="0.25">
      <c r="A6" s="74" t="s">
        <v>334</v>
      </c>
      <c r="B6" s="148" t="s">
        <v>335</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row>
    <row r="7" spans="1:43" x14ac:dyDescent="0.25">
      <c r="A7" s="76" t="s">
        <v>78</v>
      </c>
      <c r="B7" s="148" t="s">
        <v>67</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row>
    <row r="8" spans="1:43" x14ac:dyDescent="0.25">
      <c r="A8" s="76" t="s">
        <v>79</v>
      </c>
      <c r="B8" s="148">
        <v>2006</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row>
    <row r="9" spans="1:43" x14ac:dyDescent="0.25">
      <c r="A9" s="76" t="s">
        <v>80</v>
      </c>
      <c r="B9" s="148" t="s">
        <v>174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row>
    <row r="10" spans="1:43" x14ac:dyDescent="0.25">
      <c r="A10" s="76" t="s">
        <v>6</v>
      </c>
      <c r="B10" s="148" t="s">
        <v>199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row>
    <row r="11" spans="1:43" x14ac:dyDescent="0.25">
      <c r="A11" s="76" t="s">
        <v>81</v>
      </c>
      <c r="B11" s="148" t="s">
        <v>176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row>
    <row r="12" spans="1:43" x14ac:dyDescent="0.25">
      <c r="A12" s="76" t="s">
        <v>82</v>
      </c>
      <c r="B12" s="148" t="s">
        <v>187</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row>
    <row r="13" spans="1:43" hidden="1" x14ac:dyDescent="0.25">
      <c r="A13" s="76" t="s">
        <v>342</v>
      </c>
      <c r="B13" s="148">
        <v>1</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row>
    <row r="14" spans="1:43" hidden="1" x14ac:dyDescent="0.25">
      <c r="A14" s="76" t="s">
        <v>84</v>
      </c>
      <c r="B14" s="148">
        <v>326</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row>
    <row r="15" spans="1:43" x14ac:dyDescent="0.25">
      <c r="A15" s="76" t="s">
        <v>345</v>
      </c>
      <c r="B15" s="148" t="s">
        <v>200</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row>
    <row r="16" spans="1:43" x14ac:dyDescent="0.25">
      <c r="A16" s="76" t="s">
        <v>86</v>
      </c>
      <c r="B16" s="148" t="s">
        <v>201</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row>
    <row r="17" spans="1:43" x14ac:dyDescent="0.25">
      <c r="A17" s="76" t="s">
        <v>414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row>
    <row r="18" spans="1:43" x14ac:dyDescent="0.25">
      <c r="A18" s="76" t="s">
        <v>88</v>
      </c>
      <c r="B18" s="152">
        <v>45070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row>
    <row r="19" spans="1:43" x14ac:dyDescent="0.25">
      <c r="A19" s="76" t="s">
        <v>89</v>
      </c>
      <c r="B19" s="152">
        <v>45014</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row>
    <row r="20" spans="1:43" x14ac:dyDescent="0.25">
      <c r="A20" s="76" t="s">
        <v>90</v>
      </c>
      <c r="B20" s="148" t="s">
        <v>98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row>
    <row r="21" spans="1:43" x14ac:dyDescent="0.25">
      <c r="A21" s="72" t="s">
        <v>91</v>
      </c>
      <c r="B21" s="148" t="s">
        <v>99</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row>
    <row r="23" spans="1:43" x14ac:dyDescent="0.25">
      <c r="B23" s="89" t="str">
        <f>HYPERLINK("#'Factor List'!A1","Back to Factor List")</f>
        <v>Back to Factor List</v>
      </c>
    </row>
    <row r="24" spans="1:43" x14ac:dyDescent="0.25">
      <c r="B24" s="89" t="s">
        <v>13</v>
      </c>
    </row>
    <row r="26" spans="1:43" x14ac:dyDescent="0.25">
      <c r="A26" s="85" t="s">
        <v>439</v>
      </c>
      <c r="B26" s="85">
        <v>18</v>
      </c>
      <c r="C26" s="85">
        <v>19</v>
      </c>
      <c r="D26" s="85">
        <v>20</v>
      </c>
      <c r="E26" s="85">
        <v>21</v>
      </c>
      <c r="F26" s="85">
        <v>22</v>
      </c>
      <c r="G26" s="85">
        <v>23</v>
      </c>
      <c r="H26" s="85">
        <v>24</v>
      </c>
      <c r="I26" s="85">
        <v>25</v>
      </c>
      <c r="J26" s="85">
        <v>26</v>
      </c>
      <c r="K26" s="85">
        <v>27</v>
      </c>
      <c r="L26" s="85">
        <v>28</v>
      </c>
      <c r="M26" s="85">
        <v>29</v>
      </c>
      <c r="N26" s="85">
        <v>30</v>
      </c>
      <c r="O26" s="85">
        <v>31</v>
      </c>
      <c r="P26" s="85">
        <v>32</v>
      </c>
      <c r="Q26" s="85">
        <v>33</v>
      </c>
      <c r="R26" s="85">
        <v>34</v>
      </c>
      <c r="S26" s="85">
        <v>35</v>
      </c>
      <c r="T26" s="85">
        <v>36</v>
      </c>
      <c r="U26" s="85">
        <v>37</v>
      </c>
      <c r="V26" s="85">
        <v>38</v>
      </c>
      <c r="W26" s="85">
        <v>39</v>
      </c>
      <c r="X26" s="85">
        <v>40</v>
      </c>
      <c r="Y26" s="85">
        <v>41</v>
      </c>
      <c r="Z26" s="85">
        <v>42</v>
      </c>
      <c r="AA26" s="85">
        <v>43</v>
      </c>
      <c r="AB26" s="85">
        <v>44</v>
      </c>
      <c r="AC26" s="85">
        <v>45</v>
      </c>
      <c r="AD26" s="85">
        <v>46</v>
      </c>
      <c r="AE26" s="85">
        <v>47</v>
      </c>
      <c r="AF26" s="85">
        <v>48</v>
      </c>
      <c r="AG26" s="85">
        <v>49</v>
      </c>
      <c r="AH26" s="85">
        <v>50</v>
      </c>
      <c r="AI26" s="85">
        <v>51</v>
      </c>
      <c r="AJ26" s="85">
        <v>52</v>
      </c>
      <c r="AK26" s="85">
        <v>53</v>
      </c>
      <c r="AL26" s="85">
        <v>54</v>
      </c>
      <c r="AM26" s="85">
        <v>55</v>
      </c>
      <c r="AN26" s="85">
        <v>56</v>
      </c>
      <c r="AO26" s="85">
        <v>57</v>
      </c>
      <c r="AP26" s="85">
        <v>58</v>
      </c>
      <c r="AQ26" s="85">
        <v>59</v>
      </c>
    </row>
    <row r="27" spans="1:43" x14ac:dyDescent="0.25">
      <c r="A27" s="86">
        <v>0</v>
      </c>
      <c r="B27" s="88">
        <v>0.26700000000000002</v>
      </c>
      <c r="C27" s="88">
        <v>0.27300000000000002</v>
      </c>
      <c r="D27" s="88">
        <v>0.27900000000000003</v>
      </c>
      <c r="E27" s="88">
        <v>0.28599999999999998</v>
      </c>
      <c r="F27" s="88">
        <v>0.29299999999999998</v>
      </c>
      <c r="G27" s="88">
        <v>0.3</v>
      </c>
      <c r="H27" s="88">
        <v>0.307</v>
      </c>
      <c r="I27" s="88">
        <v>0.315</v>
      </c>
      <c r="J27" s="88">
        <v>0.32200000000000001</v>
      </c>
      <c r="K27" s="88">
        <v>0.33</v>
      </c>
      <c r="L27" s="88">
        <v>0.33900000000000002</v>
      </c>
      <c r="M27" s="88">
        <v>0.34799999999999998</v>
      </c>
      <c r="N27" s="88">
        <v>0.35699999999999998</v>
      </c>
      <c r="O27" s="88">
        <v>0.36599999999999999</v>
      </c>
      <c r="P27" s="88">
        <v>0.376</v>
      </c>
      <c r="Q27" s="88">
        <v>0.38600000000000001</v>
      </c>
      <c r="R27" s="88">
        <v>0.39700000000000002</v>
      </c>
      <c r="S27" s="88">
        <v>0.40799999999999997</v>
      </c>
      <c r="T27" s="88">
        <v>0.42</v>
      </c>
      <c r="U27" s="88">
        <v>0.432</v>
      </c>
      <c r="V27" s="88">
        <v>0.44500000000000001</v>
      </c>
      <c r="W27" s="88">
        <v>0.45800000000000002</v>
      </c>
      <c r="X27" s="88">
        <v>0.47199999999999998</v>
      </c>
      <c r="Y27" s="88">
        <v>0.48599999999999999</v>
      </c>
      <c r="Z27" s="88">
        <v>0.502</v>
      </c>
      <c r="AA27" s="88">
        <v>0.51800000000000002</v>
      </c>
      <c r="AB27" s="88">
        <v>0.53500000000000003</v>
      </c>
      <c r="AC27" s="88">
        <v>0.55200000000000005</v>
      </c>
      <c r="AD27" s="88">
        <v>0.57099999999999995</v>
      </c>
      <c r="AE27" s="88">
        <v>0.59099999999999997</v>
      </c>
      <c r="AF27" s="88">
        <v>0.61199999999999999</v>
      </c>
      <c r="AG27" s="88">
        <v>0.63400000000000001</v>
      </c>
      <c r="AH27" s="88">
        <v>0.65800000000000003</v>
      </c>
      <c r="AI27" s="88">
        <v>0.68300000000000005</v>
      </c>
      <c r="AJ27" s="88">
        <v>0.70899999999999996</v>
      </c>
      <c r="AK27" s="88">
        <v>0.73699999999999999</v>
      </c>
      <c r="AL27" s="88">
        <v>0.76700000000000002</v>
      </c>
      <c r="AM27" s="88">
        <v>0.8</v>
      </c>
      <c r="AN27" s="88">
        <v>0.83399999999999996</v>
      </c>
      <c r="AO27" s="88">
        <v>0.871</v>
      </c>
      <c r="AP27" s="88">
        <v>0.91100000000000003</v>
      </c>
      <c r="AQ27" s="88">
        <v>0.95399999999999996</v>
      </c>
    </row>
    <row r="28" spans="1:43" x14ac:dyDescent="0.25">
      <c r="A28" s="86">
        <v>1</v>
      </c>
      <c r="B28" s="88">
        <v>0.26700000000000002</v>
      </c>
      <c r="C28" s="88">
        <v>0.27300000000000002</v>
      </c>
      <c r="D28" s="88">
        <v>0.28000000000000003</v>
      </c>
      <c r="E28" s="88">
        <v>0.28599999999999998</v>
      </c>
      <c r="F28" s="88">
        <v>0.29299999999999998</v>
      </c>
      <c r="G28" s="88">
        <v>0.3</v>
      </c>
      <c r="H28" s="88">
        <v>0.308</v>
      </c>
      <c r="I28" s="88">
        <v>0.315</v>
      </c>
      <c r="J28" s="88">
        <v>0.32300000000000001</v>
      </c>
      <c r="K28" s="88">
        <v>0.33100000000000002</v>
      </c>
      <c r="L28" s="88">
        <v>0.34</v>
      </c>
      <c r="M28" s="88">
        <v>0.34799999999999998</v>
      </c>
      <c r="N28" s="88">
        <v>0.35799999999999998</v>
      </c>
      <c r="O28" s="88">
        <v>0.36699999999999999</v>
      </c>
      <c r="P28" s="88">
        <v>0.377</v>
      </c>
      <c r="Q28" s="88">
        <v>0.38700000000000001</v>
      </c>
      <c r="R28" s="88">
        <v>0.39800000000000002</v>
      </c>
      <c r="S28" s="88">
        <v>0.40899999999999997</v>
      </c>
      <c r="T28" s="88">
        <v>0.42099999999999999</v>
      </c>
      <c r="U28" s="88">
        <v>0.433</v>
      </c>
      <c r="V28" s="88">
        <v>0.44600000000000001</v>
      </c>
      <c r="W28" s="88">
        <v>0.45900000000000002</v>
      </c>
      <c r="X28" s="88">
        <v>0.47299999999999998</v>
      </c>
      <c r="Y28" s="88">
        <v>0.48799999999999999</v>
      </c>
      <c r="Z28" s="88">
        <v>0.503</v>
      </c>
      <c r="AA28" s="88">
        <v>0.51900000000000002</v>
      </c>
      <c r="AB28" s="88">
        <v>0.53600000000000003</v>
      </c>
      <c r="AC28" s="88">
        <v>0.55400000000000005</v>
      </c>
      <c r="AD28" s="88">
        <v>0.57299999999999995</v>
      </c>
      <c r="AE28" s="88">
        <v>0.59299999999999997</v>
      </c>
      <c r="AF28" s="88">
        <v>0.61399999999999999</v>
      </c>
      <c r="AG28" s="88">
        <v>0.63600000000000001</v>
      </c>
      <c r="AH28" s="88">
        <v>0.66</v>
      </c>
      <c r="AI28" s="88">
        <v>0.68500000000000005</v>
      </c>
      <c r="AJ28" s="88">
        <v>0.71099999999999997</v>
      </c>
      <c r="AK28" s="88">
        <v>0.74</v>
      </c>
      <c r="AL28" s="88">
        <v>0.77</v>
      </c>
      <c r="AM28" s="88">
        <v>0.80200000000000005</v>
      </c>
      <c r="AN28" s="88">
        <v>0.83699999999999997</v>
      </c>
      <c r="AO28" s="88">
        <v>0.874</v>
      </c>
      <c r="AP28" s="88">
        <v>0.91400000000000003</v>
      </c>
      <c r="AQ28" s="88">
        <v>0.95799999999999996</v>
      </c>
    </row>
    <row r="29" spans="1:43" x14ac:dyDescent="0.25">
      <c r="A29" s="86">
        <v>2</v>
      </c>
      <c r="B29" s="88">
        <v>0.26800000000000002</v>
      </c>
      <c r="C29" s="88">
        <v>0.27400000000000002</v>
      </c>
      <c r="D29" s="88">
        <v>0.28000000000000003</v>
      </c>
      <c r="E29" s="88">
        <v>0.28699999999999998</v>
      </c>
      <c r="F29" s="88">
        <v>0.29399999999999998</v>
      </c>
      <c r="G29" s="88">
        <v>0.30099999999999999</v>
      </c>
      <c r="H29" s="88">
        <v>0.308</v>
      </c>
      <c r="I29" s="88">
        <v>0.316</v>
      </c>
      <c r="J29" s="88">
        <v>0.32400000000000001</v>
      </c>
      <c r="K29" s="88">
        <v>0.33200000000000002</v>
      </c>
      <c r="L29" s="88">
        <v>0.34</v>
      </c>
      <c r="M29" s="88">
        <v>0.34899999999999998</v>
      </c>
      <c r="N29" s="88">
        <v>0.35799999999999998</v>
      </c>
      <c r="O29" s="88">
        <v>0.36799999999999999</v>
      </c>
      <c r="P29" s="88">
        <v>0.378</v>
      </c>
      <c r="Q29" s="88">
        <v>0.38800000000000001</v>
      </c>
      <c r="R29" s="88">
        <v>0.39900000000000002</v>
      </c>
      <c r="S29" s="88">
        <v>0.41</v>
      </c>
      <c r="T29" s="88">
        <v>0.42199999999999999</v>
      </c>
      <c r="U29" s="88">
        <v>0.434</v>
      </c>
      <c r="V29" s="88">
        <v>0.44700000000000001</v>
      </c>
      <c r="W29" s="88">
        <v>0.46</v>
      </c>
      <c r="X29" s="88">
        <v>0.47399999999999998</v>
      </c>
      <c r="Y29" s="88">
        <v>0.48899999999999999</v>
      </c>
      <c r="Z29" s="88">
        <v>0.504</v>
      </c>
      <c r="AA29" s="88">
        <v>0.52100000000000002</v>
      </c>
      <c r="AB29" s="88">
        <v>0.53800000000000003</v>
      </c>
      <c r="AC29" s="88">
        <v>0.55600000000000005</v>
      </c>
      <c r="AD29" s="88">
        <v>0.57399999999999995</v>
      </c>
      <c r="AE29" s="88">
        <v>0.59399999999999997</v>
      </c>
      <c r="AF29" s="88">
        <v>0.61599999999999999</v>
      </c>
      <c r="AG29" s="88">
        <v>0.63800000000000001</v>
      </c>
      <c r="AH29" s="88">
        <v>0.66200000000000003</v>
      </c>
      <c r="AI29" s="88">
        <v>0.68700000000000006</v>
      </c>
      <c r="AJ29" s="88">
        <v>0.71399999999999997</v>
      </c>
      <c r="AK29" s="88">
        <v>0.74199999999999999</v>
      </c>
      <c r="AL29" s="88">
        <v>0.77300000000000002</v>
      </c>
      <c r="AM29" s="88">
        <v>0.80500000000000005</v>
      </c>
      <c r="AN29" s="88">
        <v>0.84</v>
      </c>
      <c r="AO29" s="88">
        <v>0.878</v>
      </c>
      <c r="AP29" s="88">
        <v>0.91800000000000004</v>
      </c>
      <c r="AQ29" s="88">
        <v>0.96099999999999997</v>
      </c>
    </row>
    <row r="30" spans="1:43" x14ac:dyDescent="0.25">
      <c r="A30" s="86">
        <v>3</v>
      </c>
      <c r="B30" s="88">
        <v>0.26800000000000002</v>
      </c>
      <c r="C30" s="88">
        <v>0.27500000000000002</v>
      </c>
      <c r="D30" s="88">
        <v>0.28100000000000003</v>
      </c>
      <c r="E30" s="88">
        <v>0.28799999999999998</v>
      </c>
      <c r="F30" s="88">
        <v>0.29399999999999998</v>
      </c>
      <c r="G30" s="88">
        <v>0.30199999999999999</v>
      </c>
      <c r="H30" s="88">
        <v>0.309</v>
      </c>
      <c r="I30" s="88">
        <v>0.316</v>
      </c>
      <c r="J30" s="88">
        <v>0.32400000000000001</v>
      </c>
      <c r="K30" s="88">
        <v>0.33300000000000002</v>
      </c>
      <c r="L30" s="88">
        <v>0.34100000000000003</v>
      </c>
      <c r="M30" s="88">
        <v>0.35</v>
      </c>
      <c r="N30" s="88">
        <v>0.35899999999999999</v>
      </c>
      <c r="O30" s="88">
        <v>0.36899999999999999</v>
      </c>
      <c r="P30" s="88">
        <v>0.379</v>
      </c>
      <c r="Q30" s="88">
        <v>0.38900000000000001</v>
      </c>
      <c r="R30" s="88">
        <v>0.4</v>
      </c>
      <c r="S30" s="88">
        <v>0.41099999999999998</v>
      </c>
      <c r="T30" s="88">
        <v>0.42299999999999999</v>
      </c>
      <c r="U30" s="88">
        <v>0.435</v>
      </c>
      <c r="V30" s="88">
        <v>0.44800000000000001</v>
      </c>
      <c r="W30" s="88">
        <v>0.46100000000000002</v>
      </c>
      <c r="X30" s="88">
        <v>0.47499999999999998</v>
      </c>
      <c r="Y30" s="88">
        <v>0.49</v>
      </c>
      <c r="Z30" s="88">
        <v>0.50600000000000001</v>
      </c>
      <c r="AA30" s="88">
        <v>0.52200000000000002</v>
      </c>
      <c r="AB30" s="88">
        <v>0.53900000000000003</v>
      </c>
      <c r="AC30" s="88">
        <v>0.55700000000000005</v>
      </c>
      <c r="AD30" s="88">
        <v>0.57599999999999996</v>
      </c>
      <c r="AE30" s="88">
        <v>0.59599999999999997</v>
      </c>
      <c r="AF30" s="88">
        <v>0.61699999999999999</v>
      </c>
      <c r="AG30" s="88">
        <v>0.64</v>
      </c>
      <c r="AH30" s="88">
        <v>0.66400000000000003</v>
      </c>
      <c r="AI30" s="88">
        <v>0.68899999999999995</v>
      </c>
      <c r="AJ30" s="88">
        <v>0.71599999999999997</v>
      </c>
      <c r="AK30" s="88">
        <v>0.745</v>
      </c>
      <c r="AL30" s="88">
        <v>0.77500000000000002</v>
      </c>
      <c r="AM30" s="88">
        <v>0.80800000000000005</v>
      </c>
      <c r="AN30" s="88">
        <v>0.84299999999999997</v>
      </c>
      <c r="AO30" s="88">
        <v>0.88100000000000001</v>
      </c>
      <c r="AP30" s="88">
        <v>0.92200000000000004</v>
      </c>
      <c r="AQ30" s="88">
        <v>0.96499999999999997</v>
      </c>
    </row>
    <row r="31" spans="1:43" x14ac:dyDescent="0.25">
      <c r="A31" s="86">
        <v>4</v>
      </c>
      <c r="B31" s="88">
        <v>0.26900000000000002</v>
      </c>
      <c r="C31" s="88">
        <v>0.27500000000000002</v>
      </c>
      <c r="D31" s="88">
        <v>0.28100000000000003</v>
      </c>
      <c r="E31" s="88">
        <v>0.28799999999999998</v>
      </c>
      <c r="F31" s="88">
        <v>0.29499999999999998</v>
      </c>
      <c r="G31" s="88">
        <v>0.30199999999999999</v>
      </c>
      <c r="H31" s="88">
        <v>0.31</v>
      </c>
      <c r="I31" s="88">
        <v>0.317</v>
      </c>
      <c r="J31" s="88">
        <v>0.32500000000000001</v>
      </c>
      <c r="K31" s="88">
        <v>0.33300000000000002</v>
      </c>
      <c r="L31" s="88">
        <v>0.34200000000000003</v>
      </c>
      <c r="M31" s="88">
        <v>0.35099999999999998</v>
      </c>
      <c r="N31" s="88">
        <v>0.36</v>
      </c>
      <c r="O31" s="88">
        <v>0.36899999999999999</v>
      </c>
      <c r="P31" s="88">
        <v>0.379</v>
      </c>
      <c r="Q31" s="88">
        <v>0.39</v>
      </c>
      <c r="R31" s="88">
        <v>0.40100000000000002</v>
      </c>
      <c r="S31" s="88">
        <v>0.41199999999999998</v>
      </c>
      <c r="T31" s="88">
        <v>0.42399999999999999</v>
      </c>
      <c r="U31" s="88">
        <v>0.436</v>
      </c>
      <c r="V31" s="88">
        <v>0.44900000000000001</v>
      </c>
      <c r="W31" s="88">
        <v>0.46200000000000002</v>
      </c>
      <c r="X31" s="88">
        <v>0.47699999999999998</v>
      </c>
      <c r="Y31" s="88">
        <v>0.49099999999999999</v>
      </c>
      <c r="Z31" s="88">
        <v>0.50700000000000001</v>
      </c>
      <c r="AA31" s="88">
        <v>0.52300000000000002</v>
      </c>
      <c r="AB31" s="88">
        <v>0.54100000000000004</v>
      </c>
      <c r="AC31" s="88">
        <v>0.55900000000000005</v>
      </c>
      <c r="AD31" s="88">
        <v>0.57799999999999996</v>
      </c>
      <c r="AE31" s="88">
        <v>0.59799999999999998</v>
      </c>
      <c r="AF31" s="88">
        <v>0.61899999999999999</v>
      </c>
      <c r="AG31" s="88">
        <v>0.64200000000000002</v>
      </c>
      <c r="AH31" s="88">
        <v>0.66600000000000004</v>
      </c>
      <c r="AI31" s="88">
        <v>0.69099999999999995</v>
      </c>
      <c r="AJ31" s="88">
        <v>0.71799999999999997</v>
      </c>
      <c r="AK31" s="88">
        <v>0.747</v>
      </c>
      <c r="AL31" s="88">
        <v>0.77800000000000002</v>
      </c>
      <c r="AM31" s="88">
        <v>0.81100000000000005</v>
      </c>
      <c r="AN31" s="88">
        <v>0.84599999999999997</v>
      </c>
      <c r="AO31" s="88">
        <v>0.88400000000000001</v>
      </c>
      <c r="AP31" s="88">
        <v>0.92500000000000004</v>
      </c>
      <c r="AQ31" s="88">
        <v>0.96899999999999997</v>
      </c>
    </row>
    <row r="32" spans="1:43" x14ac:dyDescent="0.25">
      <c r="A32" s="86">
        <v>5</v>
      </c>
      <c r="B32" s="88">
        <v>0.26900000000000002</v>
      </c>
      <c r="C32" s="88">
        <v>0.27600000000000002</v>
      </c>
      <c r="D32" s="88">
        <v>0.28199999999999997</v>
      </c>
      <c r="E32" s="88">
        <v>0.28899999999999998</v>
      </c>
      <c r="F32" s="88">
        <v>0.29599999999999999</v>
      </c>
      <c r="G32" s="88">
        <v>0.30299999999999999</v>
      </c>
      <c r="H32" s="88">
        <v>0.31</v>
      </c>
      <c r="I32" s="88">
        <v>0.318</v>
      </c>
      <c r="J32" s="88">
        <v>0.32600000000000001</v>
      </c>
      <c r="K32" s="88">
        <v>0.33400000000000002</v>
      </c>
      <c r="L32" s="88">
        <v>0.34300000000000003</v>
      </c>
      <c r="M32" s="88">
        <v>0.35099999999999998</v>
      </c>
      <c r="N32" s="88">
        <v>0.36099999999999999</v>
      </c>
      <c r="O32" s="88">
        <v>0.37</v>
      </c>
      <c r="P32" s="88">
        <v>0.38</v>
      </c>
      <c r="Q32" s="88">
        <v>0.39100000000000001</v>
      </c>
      <c r="R32" s="88">
        <v>0.40200000000000002</v>
      </c>
      <c r="S32" s="88">
        <v>0.41299999999999998</v>
      </c>
      <c r="T32" s="88">
        <v>0.42499999999999999</v>
      </c>
      <c r="U32" s="88">
        <v>0.437</v>
      </c>
      <c r="V32" s="88">
        <v>0.45</v>
      </c>
      <c r="W32" s="88">
        <v>0.46400000000000002</v>
      </c>
      <c r="X32" s="88">
        <v>0.47799999999999998</v>
      </c>
      <c r="Y32" s="88">
        <v>0.49299999999999999</v>
      </c>
      <c r="Z32" s="88">
        <v>0.50800000000000001</v>
      </c>
      <c r="AA32" s="88">
        <v>0.52500000000000002</v>
      </c>
      <c r="AB32" s="88">
        <v>0.54200000000000004</v>
      </c>
      <c r="AC32" s="88">
        <v>0.56000000000000005</v>
      </c>
      <c r="AD32" s="88">
        <v>0.57899999999999996</v>
      </c>
      <c r="AE32" s="88">
        <v>0.6</v>
      </c>
      <c r="AF32" s="88">
        <v>0.621</v>
      </c>
      <c r="AG32" s="88">
        <v>0.64400000000000002</v>
      </c>
      <c r="AH32" s="88">
        <v>0.66800000000000004</v>
      </c>
      <c r="AI32" s="88">
        <v>0.69399999999999995</v>
      </c>
      <c r="AJ32" s="88">
        <v>0.72099999999999997</v>
      </c>
      <c r="AK32" s="88">
        <v>0.75</v>
      </c>
      <c r="AL32" s="88">
        <v>0.78100000000000003</v>
      </c>
      <c r="AM32" s="88">
        <v>0.81399999999999995</v>
      </c>
      <c r="AN32" s="88">
        <v>0.84899999999999998</v>
      </c>
      <c r="AO32" s="88">
        <v>0.88800000000000001</v>
      </c>
      <c r="AP32" s="88">
        <v>0.92900000000000005</v>
      </c>
      <c r="AQ32" s="88">
        <v>0.97299999999999998</v>
      </c>
    </row>
    <row r="33" spans="1:43" x14ac:dyDescent="0.25">
      <c r="A33" s="86">
        <v>6</v>
      </c>
      <c r="B33" s="88">
        <v>0.27</v>
      </c>
      <c r="C33" s="88">
        <v>0.27600000000000002</v>
      </c>
      <c r="D33" s="88">
        <v>0.28299999999999997</v>
      </c>
      <c r="E33" s="88">
        <v>0.28899999999999998</v>
      </c>
      <c r="F33" s="88">
        <v>0.29599999999999999</v>
      </c>
      <c r="G33" s="88">
        <v>0.30299999999999999</v>
      </c>
      <c r="H33" s="88">
        <v>0.311</v>
      </c>
      <c r="I33" s="88">
        <v>0.318</v>
      </c>
      <c r="J33" s="88">
        <v>0.32600000000000001</v>
      </c>
      <c r="K33" s="88">
        <v>0.33500000000000002</v>
      </c>
      <c r="L33" s="88">
        <v>0.34300000000000003</v>
      </c>
      <c r="M33" s="88">
        <v>0.35199999999999998</v>
      </c>
      <c r="N33" s="88">
        <v>0.36099999999999999</v>
      </c>
      <c r="O33" s="88">
        <v>0.371</v>
      </c>
      <c r="P33" s="88">
        <v>0.38100000000000001</v>
      </c>
      <c r="Q33" s="88">
        <v>0.39200000000000002</v>
      </c>
      <c r="R33" s="88">
        <v>0.40300000000000002</v>
      </c>
      <c r="S33" s="88">
        <v>0.41399999999999998</v>
      </c>
      <c r="T33" s="88">
        <v>0.42599999999999999</v>
      </c>
      <c r="U33" s="88">
        <v>0.438</v>
      </c>
      <c r="V33" s="88">
        <v>0.45100000000000001</v>
      </c>
      <c r="W33" s="88">
        <v>0.46500000000000002</v>
      </c>
      <c r="X33" s="88">
        <v>0.47899999999999998</v>
      </c>
      <c r="Y33" s="88">
        <v>0.49399999999999999</v>
      </c>
      <c r="Z33" s="88">
        <v>0.51</v>
      </c>
      <c r="AA33" s="88">
        <v>0.52600000000000002</v>
      </c>
      <c r="AB33" s="88">
        <v>0.54400000000000004</v>
      </c>
      <c r="AC33" s="88">
        <v>0.56200000000000006</v>
      </c>
      <c r="AD33" s="88">
        <v>0.58099999999999996</v>
      </c>
      <c r="AE33" s="88">
        <v>0.60099999999999998</v>
      </c>
      <c r="AF33" s="88">
        <v>0.623</v>
      </c>
      <c r="AG33" s="88">
        <v>0.64600000000000002</v>
      </c>
      <c r="AH33" s="88">
        <v>0.67</v>
      </c>
      <c r="AI33" s="88">
        <v>0.69599999999999995</v>
      </c>
      <c r="AJ33" s="88">
        <v>0.72299999999999998</v>
      </c>
      <c r="AK33" s="88">
        <v>0.752</v>
      </c>
      <c r="AL33" s="88">
        <v>0.78300000000000003</v>
      </c>
      <c r="AM33" s="88">
        <v>0.81699999999999995</v>
      </c>
      <c r="AN33" s="88">
        <v>0.85299999999999998</v>
      </c>
      <c r="AO33" s="88">
        <v>0.89100000000000001</v>
      </c>
      <c r="AP33" s="88">
        <v>0.93200000000000005</v>
      </c>
      <c r="AQ33" s="88">
        <v>0.97699999999999998</v>
      </c>
    </row>
    <row r="34" spans="1:43" x14ac:dyDescent="0.25">
      <c r="A34" s="86">
        <v>7</v>
      </c>
      <c r="B34" s="88">
        <v>0.27</v>
      </c>
      <c r="C34" s="88">
        <v>0.27700000000000002</v>
      </c>
      <c r="D34" s="88">
        <v>0.28299999999999997</v>
      </c>
      <c r="E34" s="88">
        <v>0.28999999999999998</v>
      </c>
      <c r="F34" s="88">
        <v>0.29699999999999999</v>
      </c>
      <c r="G34" s="88">
        <v>0.30399999999999999</v>
      </c>
      <c r="H34" s="88">
        <v>0.311</v>
      </c>
      <c r="I34" s="88">
        <v>0.31900000000000001</v>
      </c>
      <c r="J34" s="88">
        <v>0.32700000000000001</v>
      </c>
      <c r="K34" s="88">
        <v>0.33500000000000002</v>
      </c>
      <c r="L34" s="88">
        <v>0.34399999999999997</v>
      </c>
      <c r="M34" s="88">
        <v>0.35299999999999998</v>
      </c>
      <c r="N34" s="88">
        <v>0.36199999999999999</v>
      </c>
      <c r="O34" s="88">
        <v>0.372</v>
      </c>
      <c r="P34" s="88">
        <v>0.38200000000000001</v>
      </c>
      <c r="Q34" s="88">
        <v>0.39300000000000002</v>
      </c>
      <c r="R34" s="88">
        <v>0.40300000000000002</v>
      </c>
      <c r="S34" s="88">
        <v>0.41499999999999998</v>
      </c>
      <c r="T34" s="88">
        <v>0.42699999999999999</v>
      </c>
      <c r="U34" s="88">
        <v>0.439</v>
      </c>
      <c r="V34" s="88">
        <v>0.45200000000000001</v>
      </c>
      <c r="W34" s="88">
        <v>0.46600000000000003</v>
      </c>
      <c r="X34" s="88">
        <v>0.48</v>
      </c>
      <c r="Y34" s="88">
        <v>0.495</v>
      </c>
      <c r="Z34" s="88">
        <v>0.51100000000000001</v>
      </c>
      <c r="AA34" s="88">
        <v>0.52800000000000002</v>
      </c>
      <c r="AB34" s="88">
        <v>0.54500000000000004</v>
      </c>
      <c r="AC34" s="88">
        <v>0.56299999999999994</v>
      </c>
      <c r="AD34" s="88">
        <v>0.58299999999999996</v>
      </c>
      <c r="AE34" s="88">
        <v>0.60299999999999998</v>
      </c>
      <c r="AF34" s="88">
        <v>0.625</v>
      </c>
      <c r="AG34" s="88">
        <v>0.64800000000000002</v>
      </c>
      <c r="AH34" s="88">
        <v>0.67200000000000004</v>
      </c>
      <c r="AI34" s="88">
        <v>0.69799999999999995</v>
      </c>
      <c r="AJ34" s="88">
        <v>0.72499999999999998</v>
      </c>
      <c r="AK34" s="88">
        <v>0.755</v>
      </c>
      <c r="AL34" s="88">
        <v>0.78600000000000003</v>
      </c>
      <c r="AM34" s="88">
        <v>0.82</v>
      </c>
      <c r="AN34" s="88">
        <v>0.85599999999999998</v>
      </c>
      <c r="AO34" s="88">
        <v>0.89400000000000002</v>
      </c>
      <c r="AP34" s="88">
        <v>0.93600000000000005</v>
      </c>
      <c r="AQ34" s="88">
        <v>0.98099999999999998</v>
      </c>
    </row>
    <row r="35" spans="1:43" x14ac:dyDescent="0.25">
      <c r="A35" s="86">
        <v>8</v>
      </c>
      <c r="B35" s="88">
        <v>0.27100000000000002</v>
      </c>
      <c r="C35" s="88">
        <v>0.27700000000000002</v>
      </c>
      <c r="D35" s="88">
        <v>0.28399999999999997</v>
      </c>
      <c r="E35" s="88">
        <v>0.28999999999999998</v>
      </c>
      <c r="F35" s="88">
        <v>0.29699999999999999</v>
      </c>
      <c r="G35" s="88">
        <v>0.30499999999999999</v>
      </c>
      <c r="H35" s="88">
        <v>0.312</v>
      </c>
      <c r="I35" s="88">
        <v>0.32</v>
      </c>
      <c r="J35" s="88">
        <v>0.32800000000000001</v>
      </c>
      <c r="K35" s="88">
        <v>0.33600000000000002</v>
      </c>
      <c r="L35" s="88">
        <v>0.34499999999999997</v>
      </c>
      <c r="M35" s="88">
        <v>0.35399999999999998</v>
      </c>
      <c r="N35" s="88">
        <v>0.36299999999999999</v>
      </c>
      <c r="O35" s="88">
        <v>0.373</v>
      </c>
      <c r="P35" s="88">
        <v>0.38300000000000001</v>
      </c>
      <c r="Q35" s="88">
        <v>0.39300000000000002</v>
      </c>
      <c r="R35" s="88">
        <v>0.40400000000000003</v>
      </c>
      <c r="S35" s="88">
        <v>0.41599999999999998</v>
      </c>
      <c r="T35" s="88">
        <v>0.42799999999999999</v>
      </c>
      <c r="U35" s="88">
        <v>0.44</v>
      </c>
      <c r="V35" s="88">
        <v>0.45300000000000001</v>
      </c>
      <c r="W35" s="88">
        <v>0.46700000000000003</v>
      </c>
      <c r="X35" s="88">
        <v>0.48099999999999998</v>
      </c>
      <c r="Y35" s="88">
        <v>0.497</v>
      </c>
      <c r="Z35" s="88">
        <v>0.51200000000000001</v>
      </c>
      <c r="AA35" s="88">
        <v>0.52900000000000003</v>
      </c>
      <c r="AB35" s="88">
        <v>0.54600000000000004</v>
      </c>
      <c r="AC35" s="88">
        <v>0.56499999999999995</v>
      </c>
      <c r="AD35" s="88">
        <v>0.58399999999999996</v>
      </c>
      <c r="AE35" s="88">
        <v>0.60499999999999998</v>
      </c>
      <c r="AF35" s="88">
        <v>0.627</v>
      </c>
      <c r="AG35" s="88">
        <v>0.65</v>
      </c>
      <c r="AH35" s="88">
        <v>0.67400000000000004</v>
      </c>
      <c r="AI35" s="88">
        <v>0.7</v>
      </c>
      <c r="AJ35" s="88">
        <v>0.72799999999999998</v>
      </c>
      <c r="AK35" s="88">
        <v>0.75700000000000001</v>
      </c>
      <c r="AL35" s="88">
        <v>0.78900000000000003</v>
      </c>
      <c r="AM35" s="88">
        <v>0.82299999999999995</v>
      </c>
      <c r="AN35" s="88">
        <v>0.85899999999999999</v>
      </c>
      <c r="AO35" s="88">
        <v>0.89800000000000002</v>
      </c>
      <c r="AP35" s="88">
        <v>0.93899999999999995</v>
      </c>
      <c r="AQ35" s="88">
        <v>0.98499999999999999</v>
      </c>
    </row>
    <row r="36" spans="1:43" x14ac:dyDescent="0.25">
      <c r="A36" s="86">
        <v>9</v>
      </c>
      <c r="B36" s="88">
        <v>0.27100000000000002</v>
      </c>
      <c r="C36" s="88">
        <v>0.27800000000000002</v>
      </c>
      <c r="D36" s="88">
        <v>0.28399999999999997</v>
      </c>
      <c r="E36" s="88">
        <v>0.29099999999999998</v>
      </c>
      <c r="F36" s="88">
        <v>0.29799999999999999</v>
      </c>
      <c r="G36" s="88">
        <v>0.30499999999999999</v>
      </c>
      <c r="H36" s="88">
        <v>0.313</v>
      </c>
      <c r="I36" s="88">
        <v>0.32</v>
      </c>
      <c r="J36" s="88">
        <v>0.32800000000000001</v>
      </c>
      <c r="K36" s="88">
        <v>0.33700000000000002</v>
      </c>
      <c r="L36" s="88">
        <v>0.34499999999999997</v>
      </c>
      <c r="M36" s="88">
        <v>0.35399999999999998</v>
      </c>
      <c r="N36" s="88">
        <v>0.36399999999999999</v>
      </c>
      <c r="O36" s="88">
        <v>0.374</v>
      </c>
      <c r="P36" s="88">
        <v>0.38400000000000001</v>
      </c>
      <c r="Q36" s="88">
        <v>0.39400000000000002</v>
      </c>
      <c r="R36" s="88">
        <v>0.40500000000000003</v>
      </c>
      <c r="S36" s="88">
        <v>0.41699999999999998</v>
      </c>
      <c r="T36" s="88">
        <v>0.42899999999999999</v>
      </c>
      <c r="U36" s="88">
        <v>0.441</v>
      </c>
      <c r="V36" s="88">
        <v>0.45500000000000002</v>
      </c>
      <c r="W36" s="88">
        <v>0.46800000000000003</v>
      </c>
      <c r="X36" s="88">
        <v>0.48299999999999998</v>
      </c>
      <c r="Y36" s="88">
        <v>0.498</v>
      </c>
      <c r="Z36" s="88">
        <v>0.51400000000000001</v>
      </c>
      <c r="AA36" s="88">
        <v>0.53</v>
      </c>
      <c r="AB36" s="88">
        <v>0.54800000000000004</v>
      </c>
      <c r="AC36" s="88">
        <v>0.56599999999999995</v>
      </c>
      <c r="AD36" s="88">
        <v>0.58599999999999997</v>
      </c>
      <c r="AE36" s="88">
        <v>0.60699999999999998</v>
      </c>
      <c r="AF36" s="88">
        <v>0.629</v>
      </c>
      <c r="AG36" s="88">
        <v>0.65200000000000002</v>
      </c>
      <c r="AH36" s="88">
        <v>0.67600000000000005</v>
      </c>
      <c r="AI36" s="88">
        <v>0.70199999999999996</v>
      </c>
      <c r="AJ36" s="88">
        <v>0.73</v>
      </c>
      <c r="AK36" s="88">
        <v>0.76</v>
      </c>
      <c r="AL36" s="88">
        <v>0.79200000000000004</v>
      </c>
      <c r="AM36" s="88">
        <v>0.82499999999999996</v>
      </c>
      <c r="AN36" s="88">
        <v>0.86199999999999999</v>
      </c>
      <c r="AO36" s="88">
        <v>0.90100000000000002</v>
      </c>
      <c r="AP36" s="88">
        <v>0.94299999999999995</v>
      </c>
      <c r="AQ36" s="88">
        <v>0.98799999999999999</v>
      </c>
    </row>
    <row r="37" spans="1:43" x14ac:dyDescent="0.25">
      <c r="A37" s="86">
        <v>10</v>
      </c>
      <c r="B37" s="88">
        <v>0.27200000000000002</v>
      </c>
      <c r="C37" s="88">
        <v>0.27800000000000002</v>
      </c>
      <c r="D37" s="88">
        <v>0.28499999999999998</v>
      </c>
      <c r="E37" s="88">
        <v>0.29199999999999998</v>
      </c>
      <c r="F37" s="88">
        <v>0.29899999999999999</v>
      </c>
      <c r="G37" s="88">
        <v>0.30599999999999999</v>
      </c>
      <c r="H37" s="88">
        <v>0.313</v>
      </c>
      <c r="I37" s="88">
        <v>0.32100000000000001</v>
      </c>
      <c r="J37" s="88">
        <v>0.32900000000000001</v>
      </c>
      <c r="K37" s="88">
        <v>0.33800000000000002</v>
      </c>
      <c r="L37" s="88">
        <v>0.34599999999999997</v>
      </c>
      <c r="M37" s="88">
        <v>0.35499999999999998</v>
      </c>
      <c r="N37" s="88">
        <v>0.36499999999999999</v>
      </c>
      <c r="O37" s="88">
        <v>0.374</v>
      </c>
      <c r="P37" s="88">
        <v>0.38500000000000001</v>
      </c>
      <c r="Q37" s="88">
        <v>0.39500000000000002</v>
      </c>
      <c r="R37" s="88">
        <v>0.40600000000000003</v>
      </c>
      <c r="S37" s="88">
        <v>0.41799999999999998</v>
      </c>
      <c r="T37" s="88">
        <v>0.43</v>
      </c>
      <c r="U37" s="88">
        <v>0.442</v>
      </c>
      <c r="V37" s="88">
        <v>0.45600000000000002</v>
      </c>
      <c r="W37" s="88">
        <v>0.46899999999999997</v>
      </c>
      <c r="X37" s="88">
        <v>0.48399999999999999</v>
      </c>
      <c r="Y37" s="88">
        <v>0.499</v>
      </c>
      <c r="Z37" s="88">
        <v>0.51500000000000001</v>
      </c>
      <c r="AA37" s="88">
        <v>0.53200000000000003</v>
      </c>
      <c r="AB37" s="88">
        <v>0.54900000000000004</v>
      </c>
      <c r="AC37" s="88">
        <v>0.56799999999999995</v>
      </c>
      <c r="AD37" s="88">
        <v>0.58799999999999997</v>
      </c>
      <c r="AE37" s="88">
        <v>0.60799999999999998</v>
      </c>
      <c r="AF37" s="88">
        <v>0.63</v>
      </c>
      <c r="AG37" s="88">
        <v>0.65400000000000003</v>
      </c>
      <c r="AH37" s="88">
        <v>0.67800000000000005</v>
      </c>
      <c r="AI37" s="88">
        <v>0.70499999999999996</v>
      </c>
      <c r="AJ37" s="88">
        <v>0.73299999999999998</v>
      </c>
      <c r="AK37" s="88">
        <v>0.76200000000000001</v>
      </c>
      <c r="AL37" s="88">
        <v>0.79400000000000004</v>
      </c>
      <c r="AM37" s="88">
        <v>0.82799999999999996</v>
      </c>
      <c r="AN37" s="88">
        <v>0.86499999999999999</v>
      </c>
      <c r="AO37" s="88">
        <v>0.90400000000000003</v>
      </c>
      <c r="AP37" s="88">
        <v>0.94699999999999995</v>
      </c>
      <c r="AQ37" s="88">
        <v>0.99199999999999999</v>
      </c>
    </row>
    <row r="38" spans="1:43" x14ac:dyDescent="0.25">
      <c r="A38" s="86">
        <v>11</v>
      </c>
      <c r="B38" s="88">
        <v>0.27200000000000002</v>
      </c>
      <c r="C38" s="88">
        <v>0.27900000000000003</v>
      </c>
      <c r="D38" s="88">
        <v>0.28499999999999998</v>
      </c>
      <c r="E38" s="88">
        <v>0.29199999999999998</v>
      </c>
      <c r="F38" s="88">
        <v>0.29899999999999999</v>
      </c>
      <c r="G38" s="88">
        <v>0.30599999999999999</v>
      </c>
      <c r="H38" s="88">
        <v>0.314</v>
      </c>
      <c r="I38" s="88">
        <v>0.32200000000000001</v>
      </c>
      <c r="J38" s="88">
        <v>0.33</v>
      </c>
      <c r="K38" s="88">
        <v>0.33800000000000002</v>
      </c>
      <c r="L38" s="88">
        <v>0.34699999999999998</v>
      </c>
      <c r="M38" s="88">
        <v>0.35599999999999998</v>
      </c>
      <c r="N38" s="88">
        <v>0.36499999999999999</v>
      </c>
      <c r="O38" s="88">
        <v>0.375</v>
      </c>
      <c r="P38" s="88">
        <v>0.38500000000000001</v>
      </c>
      <c r="Q38" s="88">
        <v>0.39600000000000002</v>
      </c>
      <c r="R38" s="88">
        <v>0.40699999999999997</v>
      </c>
      <c r="S38" s="88">
        <v>0.41899999999999998</v>
      </c>
      <c r="T38" s="88">
        <v>0.43099999999999999</v>
      </c>
      <c r="U38" s="88">
        <v>0.443</v>
      </c>
      <c r="V38" s="88">
        <v>0.45700000000000002</v>
      </c>
      <c r="W38" s="88">
        <v>0.47099999999999997</v>
      </c>
      <c r="X38" s="88">
        <v>0.48499999999999999</v>
      </c>
      <c r="Y38" s="88">
        <v>0.5</v>
      </c>
      <c r="Z38" s="88">
        <v>0.51600000000000001</v>
      </c>
      <c r="AA38" s="88">
        <v>0.53300000000000003</v>
      </c>
      <c r="AB38" s="88">
        <v>0.55100000000000005</v>
      </c>
      <c r="AC38" s="88">
        <v>0.56999999999999995</v>
      </c>
      <c r="AD38" s="88">
        <v>0.58899999999999997</v>
      </c>
      <c r="AE38" s="88">
        <v>0.61</v>
      </c>
      <c r="AF38" s="88">
        <v>0.63200000000000001</v>
      </c>
      <c r="AG38" s="88">
        <v>0.65600000000000003</v>
      </c>
      <c r="AH38" s="88">
        <v>0.68</v>
      </c>
      <c r="AI38" s="88">
        <v>0.70699999999999996</v>
      </c>
      <c r="AJ38" s="88">
        <v>0.73499999999999999</v>
      </c>
      <c r="AK38" s="88">
        <v>0.76500000000000001</v>
      </c>
      <c r="AL38" s="88">
        <v>0.79700000000000004</v>
      </c>
      <c r="AM38" s="88">
        <v>0.83099999999999996</v>
      </c>
      <c r="AN38" s="88">
        <v>0.86799999999999999</v>
      </c>
      <c r="AO38" s="88">
        <v>0.90800000000000003</v>
      </c>
      <c r="AP38" s="88">
        <v>0.95</v>
      </c>
      <c r="AQ38" s="88">
        <v>0.996</v>
      </c>
    </row>
    <row r="39" spans="1:43" x14ac:dyDescent="0.25">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row>
    <row r="40" spans="1:43" x14ac:dyDescent="0.25">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row>
    <row r="41" spans="1:43" x14ac:dyDescent="0.25">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row>
    <row r="42" spans="1:43" x14ac:dyDescent="0.25">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row>
    <row r="43" spans="1:43" x14ac:dyDescent="0.25">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row>
    <row r="44" spans="1:43" ht="39.6" customHeight="1" x14ac:dyDescent="0.25">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row>
    <row r="45" spans="1:43" x14ac:dyDescent="0.25">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row>
    <row r="46" spans="1:43" ht="27.6" customHeight="1" x14ac:dyDescent="0.25">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row>
    <row r="47" spans="1:43" x14ac:dyDescent="0.25">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row>
    <row r="48" spans="1:43" x14ac:dyDescent="0.25">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row>
    <row r="49" spans="2:43" x14ac:dyDescent="0.25">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row>
    <row r="50" spans="2:43" x14ac:dyDescent="0.25">
      <c r="B50" s="82"/>
    </row>
    <row r="51" spans="2:43" x14ac:dyDescent="0.25">
      <c r="B51" s="82"/>
    </row>
    <row r="52" spans="2:43" x14ac:dyDescent="0.25">
      <c r="B52" s="82"/>
    </row>
    <row r="53" spans="2:43" x14ac:dyDescent="0.25">
      <c r="B53" s="82"/>
    </row>
  </sheetData>
  <sheetProtection algorithmName="SHA-512" hashValue="QLZb0GQXK3/sGhoOUYkQFTpa96jtDeA3xIuEc6vU91hbr9x0zL+L28g2+szmW1j4dnlZa5OBjFKy2aSP6JkG+g==" saltValue="Tc7Uh1GlPj5cj1pDpcrT1Q==" spinCount="100000" sheet="1" objects="1" scenarios="1"/>
  <conditionalFormatting sqref="A6:A21">
    <cfRule type="expression" dxfId="419" priority="1" stopIfTrue="1">
      <formula>MOD(ROW(),2)=0</formula>
    </cfRule>
    <cfRule type="expression" dxfId="418" priority="2" stopIfTrue="1">
      <formula>MOD(ROW(),2)&lt;&gt;0</formula>
    </cfRule>
  </conditionalFormatting>
  <conditionalFormatting sqref="A26:A38">
    <cfRule type="expression" dxfId="417" priority="3" stopIfTrue="1">
      <formula>MOD(ROW(),2)=0</formula>
    </cfRule>
    <cfRule type="expression" dxfId="416" priority="4" stopIfTrue="1">
      <formula>MOD(ROW(),2)&lt;&gt;0</formula>
    </cfRule>
  </conditionalFormatting>
  <conditionalFormatting sqref="B17:C21">
    <cfRule type="expression" dxfId="415" priority="7" stopIfTrue="1">
      <formula>MOD(ROW(),2)=0</formula>
    </cfRule>
    <cfRule type="expression" dxfId="414" priority="8" stopIfTrue="1">
      <formula>MOD(ROW(),2)&lt;&gt;0</formula>
    </cfRule>
  </conditionalFormatting>
  <conditionalFormatting sqref="B6:AQ21">
    <cfRule type="expression" dxfId="413" priority="21" stopIfTrue="1">
      <formula>MOD(ROW(),2)=0</formula>
    </cfRule>
    <cfRule type="expression" dxfId="412" priority="22" stopIfTrue="1">
      <formula>MOD(ROW(),2)&lt;&gt;0</formula>
    </cfRule>
  </conditionalFormatting>
  <conditionalFormatting sqref="B26:AQ38">
    <cfRule type="expression" dxfId="411" priority="5" stopIfTrue="1">
      <formula>MOD(ROW(),2)=0</formula>
    </cfRule>
    <cfRule type="expression" dxfId="410" priority="6" stopIfTrue="1">
      <formula>MOD(ROW(),2)&lt;&gt;0</formula>
    </cfRule>
  </conditionalFormatting>
  <hyperlinks>
    <hyperlink ref="B24" location="Assumptions!A1" display="Assumptions" xr:uid="{296986BE-62B5-4CAE-821B-A3766A1947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3"/>
  <dimension ref="A1:I46"/>
  <sheetViews>
    <sheetView showGridLines="0" topLeftCell="A3" zoomScale="84" zoomScaleNormal="84" workbookViewId="0">
      <selection activeCell="B6" sqref="B6:B21"/>
    </sheetView>
  </sheetViews>
  <sheetFormatPr defaultColWidth="10" defaultRowHeight="13.2" x14ac:dyDescent="0.25"/>
  <cols>
    <col min="1" max="1" width="31.5546875" style="27" customWidth="1"/>
    <col min="2" max="2" width="32.777343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Debit - x-327</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174</v>
      </c>
    </row>
    <row r="10" spans="1:9" x14ac:dyDescent="0.25">
      <c r="A10" s="76" t="s">
        <v>6</v>
      </c>
      <c r="B10" s="148" t="s">
        <v>202</v>
      </c>
    </row>
    <row r="11" spans="1:9" x14ac:dyDescent="0.25">
      <c r="A11" s="76" t="s">
        <v>81</v>
      </c>
      <c r="B11" s="148" t="s">
        <v>176</v>
      </c>
    </row>
    <row r="12" spans="1:9" x14ac:dyDescent="0.25">
      <c r="A12" s="76" t="s">
        <v>82</v>
      </c>
      <c r="B12" s="148" t="s">
        <v>203</v>
      </c>
    </row>
    <row r="13" spans="1:9" hidden="1" x14ac:dyDescent="0.25">
      <c r="A13" s="76" t="s">
        <v>342</v>
      </c>
      <c r="B13" s="148">
        <v>0</v>
      </c>
    </row>
    <row r="14" spans="1:9" hidden="1" x14ac:dyDescent="0.25">
      <c r="A14" s="76" t="s">
        <v>84</v>
      </c>
      <c r="B14" s="148">
        <v>327</v>
      </c>
    </row>
    <row r="15" spans="1:9" x14ac:dyDescent="0.25">
      <c r="A15" s="76" t="s">
        <v>345</v>
      </c>
      <c r="B15" s="148" t="s">
        <v>204</v>
      </c>
    </row>
    <row r="16" spans="1:9" x14ac:dyDescent="0.25">
      <c r="A16" s="76" t="s">
        <v>86</v>
      </c>
      <c r="B16" s="148" t="s">
        <v>205</v>
      </c>
    </row>
    <row r="17" spans="1:2" x14ac:dyDescent="0.25">
      <c r="A17" s="76" t="s">
        <v>414</v>
      </c>
      <c r="B17" s="148"/>
    </row>
    <row r="18" spans="1:2" x14ac:dyDescent="0.25">
      <c r="A18" s="76" t="s">
        <v>88</v>
      </c>
      <c r="B18" s="152">
        <v>45070</v>
      </c>
    </row>
    <row r="19" spans="1:2" x14ac:dyDescent="0.25">
      <c r="A19" s="76" t="s">
        <v>89</v>
      </c>
      <c r="B19" s="152">
        <v>45014</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6" spans="1:2" x14ac:dyDescent="0.25">
      <c r="A26" s="85" t="s">
        <v>440</v>
      </c>
      <c r="B26" s="85" t="s">
        <v>441</v>
      </c>
    </row>
    <row r="27" spans="1:2" x14ac:dyDescent="0.25">
      <c r="A27" s="86">
        <v>0</v>
      </c>
      <c r="B27" s="88">
        <v>1</v>
      </c>
    </row>
    <row r="28" spans="1:2" x14ac:dyDescent="0.25">
      <c r="A28" s="86">
        <v>1</v>
      </c>
      <c r="B28" s="88">
        <v>0.94199999999999995</v>
      </c>
    </row>
    <row r="29" spans="1:2" x14ac:dyDescent="0.25">
      <c r="A29" s="86">
        <v>2</v>
      </c>
      <c r="B29" s="88">
        <v>0.89</v>
      </c>
    </row>
    <row r="30" spans="1:2" x14ac:dyDescent="0.25">
      <c r="A30" s="86">
        <v>3</v>
      </c>
      <c r="B30" s="88">
        <v>0.84199999999999997</v>
      </c>
    </row>
    <row r="31" spans="1:2" x14ac:dyDescent="0.25">
      <c r="A31" s="86">
        <v>4</v>
      </c>
      <c r="B31" s="88">
        <v>0.79900000000000004</v>
      </c>
    </row>
    <row r="32" spans="1:2" x14ac:dyDescent="0.25">
      <c r="A32" s="86">
        <v>5</v>
      </c>
      <c r="B32" s="88">
        <v>0.75900000000000001</v>
      </c>
    </row>
    <row r="33" spans="1:2" x14ac:dyDescent="0.25">
      <c r="A33" s="86">
        <v>6</v>
      </c>
      <c r="B33" s="88">
        <v>0.72199999999999998</v>
      </c>
    </row>
    <row r="34" spans="1:2" x14ac:dyDescent="0.25">
      <c r="A34" s="86">
        <v>7</v>
      </c>
      <c r="B34" s="88">
        <v>0.68899999999999995</v>
      </c>
    </row>
    <row r="35" spans="1:2" x14ac:dyDescent="0.25">
      <c r="A35" s="86">
        <v>8</v>
      </c>
      <c r="B35" s="88">
        <v>0.65800000000000003</v>
      </c>
    </row>
    <row r="36" spans="1:2" x14ac:dyDescent="0.25">
      <c r="A36" s="86">
        <v>9</v>
      </c>
      <c r="B36" s="88">
        <v>0.629</v>
      </c>
    </row>
    <row r="37" spans="1:2" x14ac:dyDescent="0.25">
      <c r="A37" s="86">
        <v>10</v>
      </c>
      <c r="B37" s="88">
        <v>0.60199999999999998</v>
      </c>
    </row>
    <row r="38" spans="1:2" x14ac:dyDescent="0.25">
      <c r="A38" s="86">
        <v>11</v>
      </c>
      <c r="B38" s="88">
        <v>0.57699999999999996</v>
      </c>
    </row>
    <row r="39" spans="1:2" x14ac:dyDescent="0.25">
      <c r="A39" s="86">
        <v>12</v>
      </c>
      <c r="B39" s="88">
        <v>0.55400000000000005</v>
      </c>
    </row>
    <row r="44" spans="1:2" ht="39.6" customHeight="1" x14ac:dyDescent="0.25"/>
    <row r="46" spans="1:2" ht="27.6" customHeight="1" x14ac:dyDescent="0.25"/>
  </sheetData>
  <sheetProtection algorithmName="SHA-512" hashValue="yXLI8nIF9969EDq9KbAGem9sHTM4mSne6DTIVb673VCL3gnizfelyxY08cxZY8uwcivcFq++kL/WV3EZP9ytzg==" saltValue="OFKukYsNE5QK2te8pQOajQ==" spinCount="100000" sheet="1" objects="1" scenarios="1"/>
  <conditionalFormatting sqref="A6:A21">
    <cfRule type="expression" dxfId="409" priority="1" stopIfTrue="1">
      <formula>MOD(ROW(),2)=0</formula>
    </cfRule>
    <cfRule type="expression" dxfId="408" priority="2" stopIfTrue="1">
      <formula>MOD(ROW(),2)&lt;&gt;0</formula>
    </cfRule>
  </conditionalFormatting>
  <conditionalFormatting sqref="A26:A39">
    <cfRule type="expression" dxfId="407" priority="3" stopIfTrue="1">
      <formula>MOD(ROW(),2)=0</formula>
    </cfRule>
    <cfRule type="expression" dxfId="406" priority="4" stopIfTrue="1">
      <formula>MOD(ROW(),2)&lt;&gt;0</formula>
    </cfRule>
  </conditionalFormatting>
  <conditionalFormatting sqref="B6:B21">
    <cfRule type="expression" dxfId="405" priority="19" stopIfTrue="1">
      <formula>MOD(ROW(),2)=0</formula>
    </cfRule>
    <cfRule type="expression" dxfId="404" priority="20" stopIfTrue="1">
      <formula>MOD(ROW(),2)&lt;&gt;0</formula>
    </cfRule>
  </conditionalFormatting>
  <conditionalFormatting sqref="B17:B21">
    <cfRule type="expression" dxfId="403" priority="7" stopIfTrue="1">
      <formula>MOD(ROW(),2)=0</formula>
    </cfRule>
    <cfRule type="expression" dxfId="402" priority="8" stopIfTrue="1">
      <formula>MOD(ROW(),2)&lt;&gt;0</formula>
    </cfRule>
  </conditionalFormatting>
  <conditionalFormatting sqref="B26:B39">
    <cfRule type="expression" dxfId="401" priority="5" stopIfTrue="1">
      <formula>MOD(ROW(),2)=0</formula>
    </cfRule>
    <cfRule type="expression" dxfId="400" priority="6" stopIfTrue="1">
      <formula>MOD(ROW(),2)&lt;&gt;0</formula>
    </cfRule>
  </conditionalFormatting>
  <hyperlinks>
    <hyperlink ref="B24" location="Assumptions!A1" display="Assumptions" xr:uid="{ABCDAE55-D54A-42AB-8198-38FE12E6B8B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4"/>
  <dimension ref="A1:I77"/>
  <sheetViews>
    <sheetView showGridLines="0" topLeftCell="A3" zoomScale="84" zoomScaleNormal="84" workbookViewId="0">
      <selection activeCell="B6" sqref="B6:B21"/>
    </sheetView>
  </sheetViews>
  <sheetFormatPr defaultColWidth="10" defaultRowHeight="13.2" x14ac:dyDescent="0.25"/>
  <cols>
    <col min="1" max="1" width="31.5546875" style="27" customWidth="1"/>
    <col min="2" max="2" width="32.4414062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Pension Debit - x-328</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174</v>
      </c>
    </row>
    <row r="10" spans="1:9" x14ac:dyDescent="0.25">
      <c r="A10" s="76" t="s">
        <v>6</v>
      </c>
      <c r="B10" s="148" t="s">
        <v>206</v>
      </c>
    </row>
    <row r="11" spans="1:9" x14ac:dyDescent="0.25">
      <c r="A11" s="76" t="s">
        <v>81</v>
      </c>
      <c r="B11" s="148" t="s">
        <v>176</v>
      </c>
    </row>
    <row r="12" spans="1:9" x14ac:dyDescent="0.25">
      <c r="A12" s="76" t="s">
        <v>82</v>
      </c>
      <c r="B12" s="148" t="s">
        <v>203</v>
      </c>
    </row>
    <row r="13" spans="1:9" hidden="1" x14ac:dyDescent="0.25">
      <c r="A13" s="76" t="s">
        <v>342</v>
      </c>
      <c r="B13" s="148">
        <v>0</v>
      </c>
    </row>
    <row r="14" spans="1:9" hidden="1" x14ac:dyDescent="0.25">
      <c r="A14" s="76" t="s">
        <v>84</v>
      </c>
      <c r="B14" s="148">
        <v>328</v>
      </c>
    </row>
    <row r="15" spans="1:9" x14ac:dyDescent="0.25">
      <c r="A15" s="76" t="s">
        <v>345</v>
      </c>
      <c r="B15" s="148" t="s">
        <v>207</v>
      </c>
    </row>
    <row r="16" spans="1:9" x14ac:dyDescent="0.25">
      <c r="A16" s="76" t="s">
        <v>86</v>
      </c>
      <c r="B16" s="148" t="s">
        <v>208</v>
      </c>
    </row>
    <row r="17" spans="1:2" x14ac:dyDescent="0.25">
      <c r="A17" s="76" t="s">
        <v>414</v>
      </c>
      <c r="B17" s="148"/>
    </row>
    <row r="18" spans="1:2" x14ac:dyDescent="0.25">
      <c r="A18" s="76" t="s">
        <v>88</v>
      </c>
      <c r="B18" s="152">
        <v>45070</v>
      </c>
    </row>
    <row r="19" spans="1:2" x14ac:dyDescent="0.25">
      <c r="A19" s="76" t="s">
        <v>89</v>
      </c>
      <c r="B19" s="152">
        <v>45014</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6" spans="1:2" x14ac:dyDescent="0.25">
      <c r="A26" s="85" t="s">
        <v>440</v>
      </c>
      <c r="B26" s="85" t="s">
        <v>441</v>
      </c>
    </row>
    <row r="27" spans="1:2" x14ac:dyDescent="0.25">
      <c r="A27" s="86">
        <v>0</v>
      </c>
      <c r="B27" s="88">
        <v>1</v>
      </c>
    </row>
    <row r="28" spans="1:2" x14ac:dyDescent="0.25">
      <c r="A28" s="86">
        <v>1</v>
      </c>
      <c r="B28" s="88">
        <v>0.94199999999999995</v>
      </c>
    </row>
    <row r="29" spans="1:2" x14ac:dyDescent="0.25">
      <c r="A29" s="86">
        <v>2</v>
      </c>
      <c r="B29" s="88">
        <v>0.89</v>
      </c>
    </row>
    <row r="30" spans="1:2" x14ac:dyDescent="0.25">
      <c r="A30" s="86">
        <v>3</v>
      </c>
      <c r="B30" s="88">
        <v>0.84199999999999997</v>
      </c>
    </row>
    <row r="31" spans="1:2" x14ac:dyDescent="0.25">
      <c r="A31" s="86">
        <v>4</v>
      </c>
      <c r="B31" s="88">
        <v>0.79900000000000004</v>
      </c>
    </row>
    <row r="32" spans="1:2" x14ac:dyDescent="0.25">
      <c r="A32" s="86">
        <v>5</v>
      </c>
      <c r="B32" s="88">
        <v>0.75900000000000001</v>
      </c>
    </row>
    <row r="33" spans="1:2" x14ac:dyDescent="0.25">
      <c r="A33" s="86">
        <v>6</v>
      </c>
      <c r="B33" s="88">
        <v>0.72199999999999998</v>
      </c>
    </row>
    <row r="34" spans="1:2" x14ac:dyDescent="0.25">
      <c r="A34" s="86">
        <v>7</v>
      </c>
      <c r="B34" s="88">
        <v>0.68899999999999995</v>
      </c>
    </row>
    <row r="35" spans="1:2" x14ac:dyDescent="0.25">
      <c r="A35" s="86">
        <v>8</v>
      </c>
      <c r="B35" s="88">
        <v>0.65800000000000003</v>
      </c>
    </row>
    <row r="36" spans="1:2" x14ac:dyDescent="0.25">
      <c r="A36" s="86">
        <v>9</v>
      </c>
      <c r="B36" s="88">
        <v>0.629</v>
      </c>
    </row>
    <row r="37" spans="1:2" x14ac:dyDescent="0.25">
      <c r="A37" s="86">
        <v>10</v>
      </c>
      <c r="B37" s="88">
        <v>0.60199999999999998</v>
      </c>
    </row>
    <row r="38" spans="1:2" x14ac:dyDescent="0.25">
      <c r="A38" s="86">
        <v>11</v>
      </c>
      <c r="B38" s="88">
        <v>0.57699999999999996</v>
      </c>
    </row>
    <row r="39" spans="1:2" x14ac:dyDescent="0.25">
      <c r="A39" s="86">
        <v>12</v>
      </c>
      <c r="B39" s="88">
        <v>0.55400000000000005</v>
      </c>
    </row>
    <row r="40" spans="1:2" x14ac:dyDescent="0.25">
      <c r="A40" s="86">
        <v>13</v>
      </c>
      <c r="B40" s="88">
        <v>0.53200000000000003</v>
      </c>
    </row>
    <row r="41" spans="1:2" x14ac:dyDescent="0.25">
      <c r="A41" s="86">
        <v>14</v>
      </c>
      <c r="B41" s="88">
        <v>0.51200000000000001</v>
      </c>
    </row>
    <row r="42" spans="1:2" x14ac:dyDescent="0.25">
      <c r="A42" s="86">
        <v>15</v>
      </c>
      <c r="B42" s="88">
        <v>0.49299999999999999</v>
      </c>
    </row>
    <row r="43" spans="1:2" x14ac:dyDescent="0.25">
      <c r="A43" s="86">
        <v>16</v>
      </c>
      <c r="B43" s="88">
        <v>0.47499999999999998</v>
      </c>
    </row>
    <row r="44" spans="1:2" x14ac:dyDescent="0.25">
      <c r="A44" s="86">
        <v>17</v>
      </c>
      <c r="B44" s="88">
        <v>0.45800000000000002</v>
      </c>
    </row>
    <row r="45" spans="1:2" x14ac:dyDescent="0.25">
      <c r="A45" s="86">
        <v>18</v>
      </c>
      <c r="B45" s="88">
        <v>0.442</v>
      </c>
    </row>
    <row r="46" spans="1:2" x14ac:dyDescent="0.25">
      <c r="A46" s="86">
        <v>19</v>
      </c>
      <c r="B46" s="88">
        <v>0.42699999999999999</v>
      </c>
    </row>
    <row r="47" spans="1:2" x14ac:dyDescent="0.25">
      <c r="A47" s="86">
        <v>20</v>
      </c>
      <c r="B47" s="88">
        <v>0.41299999999999998</v>
      </c>
    </row>
    <row r="48" spans="1:2" x14ac:dyDescent="0.25">
      <c r="A48" s="86">
        <v>21</v>
      </c>
      <c r="B48" s="88">
        <v>0.39900000000000002</v>
      </c>
    </row>
    <row r="49" spans="1:2" x14ac:dyDescent="0.25">
      <c r="A49" s="86">
        <v>22</v>
      </c>
      <c r="B49" s="88">
        <v>0.38700000000000001</v>
      </c>
    </row>
    <row r="50" spans="1:2" x14ac:dyDescent="0.25">
      <c r="A50" s="86">
        <v>23</v>
      </c>
      <c r="B50" s="88">
        <v>0.374</v>
      </c>
    </row>
    <row r="51" spans="1:2" x14ac:dyDescent="0.25">
      <c r="A51" s="86">
        <v>24</v>
      </c>
      <c r="B51" s="88">
        <v>0.36299999999999999</v>
      </c>
    </row>
    <row r="52" spans="1:2" x14ac:dyDescent="0.25">
      <c r="A52" s="86">
        <v>25</v>
      </c>
      <c r="B52" s="88">
        <v>0.35199999999999998</v>
      </c>
    </row>
    <row r="53" spans="1:2" x14ac:dyDescent="0.25">
      <c r="A53" s="86">
        <v>26</v>
      </c>
      <c r="B53" s="88">
        <v>0.34200000000000003</v>
      </c>
    </row>
    <row r="54" spans="1:2" x14ac:dyDescent="0.25">
      <c r="A54" s="86">
        <v>27</v>
      </c>
      <c r="B54" s="88">
        <v>0.33200000000000002</v>
      </c>
    </row>
    <row r="55" spans="1:2" x14ac:dyDescent="0.25">
      <c r="A55" s="86">
        <v>28</v>
      </c>
      <c r="B55" s="88">
        <v>0.32200000000000001</v>
      </c>
    </row>
    <row r="56" spans="1:2" x14ac:dyDescent="0.25">
      <c r="A56" s="86">
        <v>29</v>
      </c>
      <c r="B56" s="88">
        <v>0.313</v>
      </c>
    </row>
    <row r="57" spans="1:2" x14ac:dyDescent="0.25">
      <c r="A57" s="86">
        <v>30</v>
      </c>
      <c r="B57" s="88">
        <v>0.30499999999999999</v>
      </c>
    </row>
    <row r="58" spans="1:2" x14ac:dyDescent="0.25">
      <c r="A58" s="86">
        <v>31</v>
      </c>
      <c r="B58" s="88">
        <v>0.29599999999999999</v>
      </c>
    </row>
    <row r="59" spans="1:2" x14ac:dyDescent="0.25">
      <c r="A59" s="86">
        <v>32</v>
      </c>
      <c r="B59" s="88">
        <v>0.28799999999999998</v>
      </c>
    </row>
    <row r="60" spans="1:2" x14ac:dyDescent="0.25">
      <c r="A60" s="86">
        <v>33</v>
      </c>
      <c r="B60" s="88">
        <v>0.28100000000000003</v>
      </c>
    </row>
    <row r="61" spans="1:2" x14ac:dyDescent="0.25">
      <c r="A61" s="86">
        <v>34</v>
      </c>
      <c r="B61" s="88">
        <v>0.27300000000000002</v>
      </c>
    </row>
    <row r="62" spans="1:2" x14ac:dyDescent="0.25">
      <c r="A62" s="86">
        <v>35</v>
      </c>
      <c r="B62" s="88">
        <v>0.26600000000000001</v>
      </c>
    </row>
    <row r="63" spans="1:2" x14ac:dyDescent="0.25">
      <c r="A63" s="86">
        <v>36</v>
      </c>
      <c r="B63" s="88">
        <v>0.26</v>
      </c>
    </row>
    <row r="64" spans="1:2" x14ac:dyDescent="0.25">
      <c r="A64" s="86">
        <v>37</v>
      </c>
      <c r="B64" s="88">
        <v>0.253</v>
      </c>
    </row>
    <row r="65" spans="1:2" x14ac:dyDescent="0.25">
      <c r="A65" s="86">
        <v>38</v>
      </c>
      <c r="B65" s="88">
        <v>0.247</v>
      </c>
    </row>
    <row r="66" spans="1:2" x14ac:dyDescent="0.25">
      <c r="A66" s="86">
        <v>39</v>
      </c>
      <c r="B66" s="88">
        <v>0.24099999999999999</v>
      </c>
    </row>
    <row r="67" spans="1:2" x14ac:dyDescent="0.25">
      <c r="A67" s="86">
        <v>40</v>
      </c>
      <c r="B67" s="88">
        <v>0.23499999999999999</v>
      </c>
    </row>
    <row r="68" spans="1:2" x14ac:dyDescent="0.25">
      <c r="A68" s="86">
        <v>41</v>
      </c>
      <c r="B68" s="88">
        <v>0.23</v>
      </c>
    </row>
    <row r="69" spans="1:2" x14ac:dyDescent="0.25">
      <c r="A69" s="86">
        <v>42</v>
      </c>
      <c r="B69" s="88">
        <v>0.224</v>
      </c>
    </row>
    <row r="70" spans="1:2" x14ac:dyDescent="0.25">
      <c r="A70" s="86">
        <v>43</v>
      </c>
      <c r="B70" s="88">
        <v>0.219</v>
      </c>
    </row>
    <row r="71" spans="1:2" x14ac:dyDescent="0.25">
      <c r="A71" s="86">
        <v>44</v>
      </c>
      <c r="B71" s="88">
        <v>0.214</v>
      </c>
    </row>
    <row r="72" spans="1:2" x14ac:dyDescent="0.25">
      <c r="A72" s="86">
        <v>45</v>
      </c>
      <c r="B72" s="88">
        <v>0.20899999999999999</v>
      </c>
    </row>
    <row r="73" spans="1:2" x14ac:dyDescent="0.25">
      <c r="A73" s="86">
        <v>46</v>
      </c>
      <c r="B73" s="88">
        <v>0.20399999999999999</v>
      </c>
    </row>
    <row r="74" spans="1:2" x14ac:dyDescent="0.25">
      <c r="A74" s="86">
        <v>47</v>
      </c>
      <c r="B74" s="88">
        <v>0.2</v>
      </c>
    </row>
    <row r="75" spans="1:2" x14ac:dyDescent="0.25">
      <c r="A75" s="86">
        <v>48</v>
      </c>
      <c r="B75" s="88">
        <v>0.19600000000000001</v>
      </c>
    </row>
    <row r="76" spans="1:2" x14ac:dyDescent="0.25">
      <c r="A76" s="86">
        <v>49</v>
      </c>
      <c r="B76" s="88">
        <v>0.191</v>
      </c>
    </row>
    <row r="77" spans="1:2" x14ac:dyDescent="0.25">
      <c r="A77" s="86">
        <v>50</v>
      </c>
      <c r="B77" s="88">
        <v>0.187</v>
      </c>
    </row>
  </sheetData>
  <sheetProtection algorithmName="SHA-512" hashValue="0w+YqwIp/my//BHiYSwNR0KxAv60eFBys1qUR2eAfl7m1lnevxT1cS1foaUlpB6kHdwctkhjIBWbXPgZSDskig==" saltValue="FbdxcxUM2bZ//RZKql2TyQ==" spinCount="100000" sheet="1" objects="1" scenarios="1"/>
  <conditionalFormatting sqref="A6:A21">
    <cfRule type="expression" dxfId="399" priority="1" stopIfTrue="1">
      <formula>MOD(ROW(),2)=0</formula>
    </cfRule>
    <cfRule type="expression" dxfId="398" priority="2" stopIfTrue="1">
      <formula>MOD(ROW(),2)&lt;&gt;0</formula>
    </cfRule>
  </conditionalFormatting>
  <conditionalFormatting sqref="A26:A77">
    <cfRule type="expression" dxfId="397" priority="3" stopIfTrue="1">
      <formula>MOD(ROW(),2)=0</formula>
    </cfRule>
    <cfRule type="expression" dxfId="396" priority="4" stopIfTrue="1">
      <formula>MOD(ROW(),2)&lt;&gt;0</formula>
    </cfRule>
  </conditionalFormatting>
  <conditionalFormatting sqref="B6:B21">
    <cfRule type="expression" dxfId="395" priority="21" stopIfTrue="1">
      <formula>MOD(ROW(),2)=0</formula>
    </cfRule>
    <cfRule type="expression" dxfId="394" priority="22" stopIfTrue="1">
      <formula>MOD(ROW(),2)&lt;&gt;0</formula>
    </cfRule>
  </conditionalFormatting>
  <conditionalFormatting sqref="B17:B21">
    <cfRule type="expression" dxfId="393" priority="7" stopIfTrue="1">
      <formula>MOD(ROW(),2)=0</formula>
    </cfRule>
    <cfRule type="expression" dxfId="392" priority="8" stopIfTrue="1">
      <formula>MOD(ROW(),2)&lt;&gt;0</formula>
    </cfRule>
  </conditionalFormatting>
  <conditionalFormatting sqref="B26:B77">
    <cfRule type="expression" dxfId="391" priority="5" stopIfTrue="1">
      <formula>MOD(ROW(),2)=0</formula>
    </cfRule>
    <cfRule type="expression" dxfId="390" priority="6" stopIfTrue="1">
      <formula>MOD(ROW(),2)&lt;&gt;0</formula>
    </cfRule>
  </conditionalFormatting>
  <hyperlinks>
    <hyperlink ref="B24" location="Assumptions!A1" display="Assumptions" xr:uid="{C306240E-FC20-423D-8F92-2FA7550E8A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dimension ref="A1:M46"/>
  <sheetViews>
    <sheetView showGridLines="0" zoomScale="84" zoomScaleNormal="84" workbookViewId="0">
      <selection activeCell="B6" sqref="B6:M21"/>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 England - Consolidated Factor Spreadsheet</v>
      </c>
      <c r="B2" s="42"/>
      <c r="C2" s="42"/>
      <c r="D2" s="42"/>
      <c r="E2" s="42"/>
      <c r="F2" s="42"/>
      <c r="G2" s="42"/>
      <c r="H2" s="42"/>
      <c r="I2" s="42"/>
    </row>
    <row r="3" spans="1:13" ht="15.6" x14ac:dyDescent="0.3">
      <c r="A3" s="43" t="str">
        <f>TABLE_FACTOR_TYPE_1&amp;" - x-"&amp;TABLE_SERIES_NUMBER_1</f>
        <v>ERF - x-401</v>
      </c>
      <c r="B3" s="42"/>
      <c r="C3" s="42"/>
      <c r="D3" s="42"/>
      <c r="E3" s="42"/>
      <c r="F3" s="42"/>
      <c r="G3" s="42"/>
      <c r="H3" s="42"/>
      <c r="I3" s="42"/>
    </row>
    <row r="4" spans="1:13" x14ac:dyDescent="0.25">
      <c r="A4" s="44"/>
    </row>
    <row r="6" spans="1:13" x14ac:dyDescent="0.25">
      <c r="A6" s="74" t="s">
        <v>334</v>
      </c>
      <c r="B6" s="148" t="s">
        <v>335</v>
      </c>
      <c r="C6" s="148"/>
      <c r="D6" s="148"/>
      <c r="E6" s="148"/>
      <c r="F6" s="148"/>
      <c r="G6" s="148"/>
      <c r="H6" s="148"/>
      <c r="I6" s="148"/>
      <c r="J6" s="148"/>
      <c r="K6" s="148"/>
      <c r="L6" s="148"/>
      <c r="M6" s="148"/>
    </row>
    <row r="7" spans="1:13" x14ac:dyDescent="0.25">
      <c r="A7" s="76" t="s">
        <v>78</v>
      </c>
      <c r="B7" s="148" t="s">
        <v>67</v>
      </c>
      <c r="C7" s="148"/>
      <c r="D7" s="148"/>
      <c r="E7" s="148"/>
      <c r="F7" s="148"/>
      <c r="G7" s="148"/>
      <c r="H7" s="148"/>
      <c r="I7" s="148"/>
      <c r="J7" s="148"/>
      <c r="K7" s="148"/>
      <c r="L7" s="148"/>
      <c r="M7" s="148"/>
    </row>
    <row r="8" spans="1:13" x14ac:dyDescent="0.25">
      <c r="A8" s="76" t="s">
        <v>79</v>
      </c>
      <c r="B8" s="148">
        <v>2006</v>
      </c>
      <c r="C8" s="148"/>
      <c r="D8" s="148"/>
      <c r="E8" s="148"/>
      <c r="F8" s="148"/>
      <c r="G8" s="148"/>
      <c r="H8" s="148"/>
      <c r="I8" s="148"/>
      <c r="J8" s="148"/>
      <c r="K8" s="148"/>
      <c r="L8" s="148"/>
      <c r="M8" s="148"/>
    </row>
    <row r="9" spans="1:13" x14ac:dyDescent="0.25">
      <c r="A9" s="76" t="s">
        <v>80</v>
      </c>
      <c r="B9" s="148" t="s">
        <v>209</v>
      </c>
      <c r="C9" s="148"/>
      <c r="D9" s="148"/>
      <c r="E9" s="148"/>
      <c r="F9" s="148"/>
      <c r="G9" s="148"/>
      <c r="H9" s="148"/>
      <c r="I9" s="148"/>
      <c r="J9" s="148"/>
      <c r="K9" s="148"/>
      <c r="L9" s="148"/>
      <c r="M9" s="148"/>
    </row>
    <row r="10" spans="1:13" x14ac:dyDescent="0.25">
      <c r="A10" s="76" t="s">
        <v>6</v>
      </c>
      <c r="B10" s="148" t="s">
        <v>210</v>
      </c>
      <c r="C10" s="148"/>
      <c r="D10" s="148"/>
      <c r="E10" s="148"/>
      <c r="F10" s="148"/>
      <c r="G10" s="148"/>
      <c r="H10" s="148"/>
      <c r="I10" s="148"/>
      <c r="J10" s="148"/>
      <c r="K10" s="148"/>
      <c r="L10" s="148"/>
      <c r="M10" s="148"/>
    </row>
    <row r="11" spans="1:13" x14ac:dyDescent="0.25">
      <c r="A11" s="76" t="s">
        <v>81</v>
      </c>
      <c r="B11" s="148" t="s">
        <v>176</v>
      </c>
      <c r="C11" s="148"/>
      <c r="D11" s="148"/>
      <c r="E11" s="148"/>
      <c r="F11" s="148"/>
      <c r="G11" s="148"/>
      <c r="H11" s="148"/>
      <c r="I11" s="148"/>
      <c r="J11" s="148"/>
      <c r="K11" s="148"/>
      <c r="L11" s="148"/>
      <c r="M11" s="148"/>
    </row>
    <row r="12" spans="1:13" x14ac:dyDescent="0.25">
      <c r="A12" s="76" t="s">
        <v>82</v>
      </c>
      <c r="B12" s="148" t="s">
        <v>187</v>
      </c>
      <c r="C12" s="148"/>
      <c r="D12" s="148"/>
      <c r="E12" s="148"/>
      <c r="F12" s="148"/>
      <c r="G12" s="148"/>
      <c r="H12" s="148"/>
      <c r="I12" s="148"/>
      <c r="J12" s="148"/>
      <c r="K12" s="148"/>
      <c r="L12" s="148"/>
      <c r="M12" s="148"/>
    </row>
    <row r="13" spans="1:13" x14ac:dyDescent="0.25">
      <c r="A13" s="76" t="s">
        <v>342</v>
      </c>
      <c r="B13" s="148">
        <v>1</v>
      </c>
      <c r="C13" s="148"/>
      <c r="D13" s="148"/>
      <c r="E13" s="148"/>
      <c r="F13" s="148"/>
      <c r="G13" s="148"/>
      <c r="H13" s="148"/>
      <c r="I13" s="148"/>
      <c r="J13" s="148"/>
      <c r="K13" s="148"/>
      <c r="L13" s="148"/>
      <c r="M13" s="148"/>
    </row>
    <row r="14" spans="1:13" x14ac:dyDescent="0.25">
      <c r="A14" s="76" t="s">
        <v>84</v>
      </c>
      <c r="B14" s="148">
        <v>401</v>
      </c>
      <c r="C14" s="148"/>
      <c r="D14" s="148"/>
      <c r="E14" s="148"/>
      <c r="F14" s="148"/>
      <c r="G14" s="148"/>
      <c r="H14" s="148"/>
      <c r="I14" s="148"/>
      <c r="J14" s="148"/>
      <c r="K14" s="148"/>
      <c r="L14" s="148"/>
      <c r="M14" s="148"/>
    </row>
    <row r="15" spans="1:13" x14ac:dyDescent="0.25">
      <c r="A15" s="76" t="s">
        <v>345</v>
      </c>
      <c r="B15" s="148" t="s">
        <v>211</v>
      </c>
      <c r="C15" s="148"/>
      <c r="D15" s="148"/>
      <c r="E15" s="148"/>
      <c r="F15" s="148"/>
      <c r="G15" s="148"/>
      <c r="H15" s="148"/>
      <c r="I15" s="148"/>
      <c r="J15" s="148"/>
      <c r="K15" s="148"/>
      <c r="L15" s="148"/>
      <c r="M15" s="148"/>
    </row>
    <row r="16" spans="1:13" x14ac:dyDescent="0.25">
      <c r="A16" s="76" t="s">
        <v>86</v>
      </c>
      <c r="B16" s="148" t="s">
        <v>212</v>
      </c>
      <c r="C16" s="148"/>
      <c r="D16" s="148"/>
      <c r="E16" s="148"/>
      <c r="F16" s="148"/>
      <c r="G16" s="148"/>
      <c r="H16" s="148"/>
      <c r="I16" s="148"/>
      <c r="J16" s="148"/>
      <c r="K16" s="148"/>
      <c r="L16" s="148"/>
      <c r="M16" s="148"/>
    </row>
    <row r="17" spans="1:13" ht="66.599999999999994" customHeight="1" x14ac:dyDescent="0.25">
      <c r="A17" s="151" t="s">
        <v>414</v>
      </c>
      <c r="B17" s="148"/>
      <c r="C17" s="148"/>
      <c r="D17" s="148"/>
      <c r="E17" s="148"/>
      <c r="F17" s="148"/>
      <c r="G17" s="148"/>
      <c r="H17" s="148"/>
      <c r="I17" s="148"/>
      <c r="J17" s="148"/>
      <c r="K17" s="148"/>
      <c r="L17" s="148"/>
      <c r="M17" s="148"/>
    </row>
    <row r="18" spans="1:13" x14ac:dyDescent="0.25">
      <c r="A18" s="151" t="s">
        <v>88</v>
      </c>
      <c r="B18" s="152">
        <v>45106</v>
      </c>
      <c r="C18" s="148"/>
      <c r="D18" s="148"/>
      <c r="E18" s="148"/>
      <c r="F18" s="148"/>
      <c r="G18" s="148"/>
      <c r="H18" s="148"/>
      <c r="I18" s="148"/>
      <c r="J18" s="148"/>
      <c r="K18" s="148"/>
      <c r="L18" s="148"/>
      <c r="M18" s="148"/>
    </row>
    <row r="19" spans="1:13" x14ac:dyDescent="0.25">
      <c r="A19" s="151" t="s">
        <v>89</v>
      </c>
      <c r="B19" s="152">
        <v>45110</v>
      </c>
      <c r="C19" s="148"/>
      <c r="D19" s="148"/>
      <c r="E19" s="148"/>
      <c r="F19" s="148"/>
      <c r="G19" s="148"/>
      <c r="H19" s="148"/>
      <c r="I19" s="148"/>
      <c r="J19" s="148"/>
      <c r="K19" s="148"/>
      <c r="L19" s="148"/>
      <c r="M19" s="148"/>
    </row>
    <row r="20" spans="1:13" x14ac:dyDescent="0.25">
      <c r="A20" s="151" t="s">
        <v>90</v>
      </c>
      <c r="B20" s="148" t="s">
        <v>98</v>
      </c>
      <c r="C20" s="148"/>
      <c r="D20" s="148"/>
      <c r="E20" s="148"/>
      <c r="F20" s="148"/>
      <c r="G20" s="148"/>
      <c r="H20" s="148"/>
      <c r="I20" s="148"/>
      <c r="J20" s="148"/>
      <c r="K20" s="148"/>
      <c r="L20" s="148"/>
      <c r="M20" s="148"/>
    </row>
    <row r="21" spans="1:13" x14ac:dyDescent="0.25">
      <c r="A21" s="72" t="s">
        <v>91</v>
      </c>
      <c r="B21" s="148" t="s">
        <v>99</v>
      </c>
      <c r="C21" s="148"/>
      <c r="D21" s="148"/>
      <c r="E21" s="148"/>
      <c r="F21" s="148"/>
      <c r="G21" s="148"/>
      <c r="H21" s="148"/>
      <c r="I21" s="148"/>
      <c r="J21" s="148"/>
      <c r="K21" s="148"/>
      <c r="L21" s="148"/>
      <c r="M21" s="148"/>
    </row>
    <row r="23" spans="1:13" x14ac:dyDescent="0.25">
      <c r="B23" s="89" t="str">
        <f>HYPERLINK("#'Factor List'!A1","Back to Factor List")</f>
        <v>Back to Factor List</v>
      </c>
    </row>
    <row r="24" spans="1:13" x14ac:dyDescent="0.25">
      <c r="B24" s="89" t="s">
        <v>13</v>
      </c>
    </row>
    <row r="26" spans="1:13" x14ac:dyDescent="0.25">
      <c r="A26" s="85" t="s">
        <v>442</v>
      </c>
      <c r="B26" s="85">
        <v>0</v>
      </c>
      <c r="C26" s="85">
        <v>1</v>
      </c>
      <c r="D26" s="85">
        <v>2</v>
      </c>
      <c r="E26" s="85">
        <v>3</v>
      </c>
      <c r="F26" s="85">
        <v>4</v>
      </c>
      <c r="G26" s="85">
        <v>5</v>
      </c>
      <c r="H26" s="85">
        <v>6</v>
      </c>
      <c r="I26" s="85">
        <v>7</v>
      </c>
      <c r="J26" s="85">
        <v>8</v>
      </c>
      <c r="K26" s="85">
        <v>9</v>
      </c>
      <c r="L26" s="85">
        <v>10</v>
      </c>
      <c r="M26" s="85">
        <v>11</v>
      </c>
    </row>
    <row r="27" spans="1:13" x14ac:dyDescent="0.25">
      <c r="A27" s="86">
        <v>55</v>
      </c>
      <c r="B27" s="88">
        <v>0.62</v>
      </c>
      <c r="C27" s="88">
        <v>0.622</v>
      </c>
      <c r="D27" s="88">
        <v>0.624</v>
      </c>
      <c r="E27" s="88">
        <v>0.626</v>
      </c>
      <c r="F27" s="88">
        <v>0.629</v>
      </c>
      <c r="G27" s="88">
        <v>0.63100000000000001</v>
      </c>
      <c r="H27" s="88">
        <v>0.63300000000000001</v>
      </c>
      <c r="I27" s="88">
        <v>0.63500000000000001</v>
      </c>
      <c r="J27" s="88">
        <v>0.63700000000000001</v>
      </c>
      <c r="K27" s="88">
        <v>0.64</v>
      </c>
      <c r="L27" s="88">
        <v>0.64200000000000002</v>
      </c>
      <c r="M27" s="88">
        <v>0.64400000000000002</v>
      </c>
    </row>
    <row r="28" spans="1:13" x14ac:dyDescent="0.25">
      <c r="A28" s="86">
        <v>56</v>
      </c>
      <c r="B28" s="88">
        <v>0.64600000000000002</v>
      </c>
      <c r="C28" s="88">
        <v>0.64800000000000002</v>
      </c>
      <c r="D28" s="88">
        <v>0.65100000000000002</v>
      </c>
      <c r="E28" s="88">
        <v>0.65300000000000002</v>
      </c>
      <c r="F28" s="88">
        <v>0.65600000000000003</v>
      </c>
      <c r="G28" s="88">
        <v>0.65800000000000003</v>
      </c>
      <c r="H28" s="88">
        <v>0.66</v>
      </c>
      <c r="I28" s="88">
        <v>0.66300000000000003</v>
      </c>
      <c r="J28" s="88">
        <v>0.66500000000000004</v>
      </c>
      <c r="K28" s="88">
        <v>0.66700000000000004</v>
      </c>
      <c r="L28" s="88">
        <v>0.67</v>
      </c>
      <c r="M28" s="88">
        <v>0.67200000000000004</v>
      </c>
    </row>
    <row r="29" spans="1:13" x14ac:dyDescent="0.25">
      <c r="A29" s="86">
        <v>57</v>
      </c>
      <c r="B29" s="88">
        <v>0.67400000000000004</v>
      </c>
      <c r="C29" s="88">
        <v>0.67700000000000005</v>
      </c>
      <c r="D29" s="88">
        <v>0.67900000000000005</v>
      </c>
      <c r="E29" s="88">
        <v>0.68200000000000005</v>
      </c>
      <c r="F29" s="88">
        <v>0.68400000000000005</v>
      </c>
      <c r="G29" s="88">
        <v>0.68700000000000006</v>
      </c>
      <c r="H29" s="88">
        <v>0.68899999999999995</v>
      </c>
      <c r="I29" s="88">
        <v>0.69199999999999995</v>
      </c>
      <c r="J29" s="88">
        <v>0.69399999999999995</v>
      </c>
      <c r="K29" s="88">
        <v>0.69699999999999995</v>
      </c>
      <c r="L29" s="88">
        <v>0.7</v>
      </c>
      <c r="M29" s="88">
        <v>0.70199999999999996</v>
      </c>
    </row>
    <row r="30" spans="1:13" x14ac:dyDescent="0.25">
      <c r="A30" s="86">
        <v>58</v>
      </c>
      <c r="B30" s="88">
        <v>0.70499999999999996</v>
      </c>
      <c r="C30" s="88">
        <v>0.70699999999999996</v>
      </c>
      <c r="D30" s="88">
        <v>0.71</v>
      </c>
      <c r="E30" s="88">
        <v>0.71299999999999997</v>
      </c>
      <c r="F30" s="88">
        <v>0.71499999999999997</v>
      </c>
      <c r="G30" s="88">
        <v>0.71799999999999997</v>
      </c>
      <c r="H30" s="88">
        <v>0.72099999999999997</v>
      </c>
      <c r="I30" s="88">
        <v>0.72399999999999998</v>
      </c>
      <c r="J30" s="88">
        <v>0.72599999999999998</v>
      </c>
      <c r="K30" s="88">
        <v>0.72899999999999998</v>
      </c>
      <c r="L30" s="88">
        <v>0.73199999999999998</v>
      </c>
      <c r="M30" s="88">
        <v>0.73399999999999999</v>
      </c>
    </row>
    <row r="31" spans="1:13" x14ac:dyDescent="0.25">
      <c r="A31" s="86">
        <v>59</v>
      </c>
      <c r="B31" s="88">
        <v>0.73699999999999999</v>
      </c>
      <c r="C31" s="88">
        <v>0.74</v>
      </c>
      <c r="D31" s="88">
        <v>0.74299999999999999</v>
      </c>
      <c r="E31" s="88">
        <v>0.746</v>
      </c>
      <c r="F31" s="88">
        <v>0.749</v>
      </c>
      <c r="G31" s="88">
        <v>0.752</v>
      </c>
      <c r="H31" s="88">
        <v>0.755</v>
      </c>
      <c r="I31" s="88">
        <v>0.75800000000000001</v>
      </c>
      <c r="J31" s="88">
        <v>0.76100000000000001</v>
      </c>
      <c r="K31" s="88">
        <v>0.76400000000000001</v>
      </c>
      <c r="L31" s="88">
        <v>0.76700000000000002</v>
      </c>
      <c r="M31" s="88">
        <v>0.76900000000000002</v>
      </c>
    </row>
    <row r="32" spans="1:13" x14ac:dyDescent="0.25">
      <c r="A32" s="86">
        <v>60</v>
      </c>
      <c r="B32" s="88">
        <v>0.77200000000000002</v>
      </c>
      <c r="C32" s="88">
        <v>0.77600000000000002</v>
      </c>
      <c r="D32" s="88">
        <v>0.77900000000000003</v>
      </c>
      <c r="E32" s="88">
        <v>0.78200000000000003</v>
      </c>
      <c r="F32" s="88">
        <v>0.78500000000000003</v>
      </c>
      <c r="G32" s="88">
        <v>0.78800000000000003</v>
      </c>
      <c r="H32" s="88">
        <v>0.79100000000000004</v>
      </c>
      <c r="I32" s="88">
        <v>0.79500000000000004</v>
      </c>
      <c r="J32" s="88">
        <v>0.79800000000000004</v>
      </c>
      <c r="K32" s="88">
        <v>0.80100000000000005</v>
      </c>
      <c r="L32" s="88">
        <v>0.80400000000000005</v>
      </c>
      <c r="M32" s="88">
        <v>0.80700000000000005</v>
      </c>
    </row>
    <row r="33" spans="1:13" x14ac:dyDescent="0.25">
      <c r="A33" s="86">
        <v>61</v>
      </c>
      <c r="B33" s="88">
        <v>0.81100000000000005</v>
      </c>
      <c r="C33" s="88">
        <v>0.81399999999999995</v>
      </c>
      <c r="D33" s="88">
        <v>0.81699999999999995</v>
      </c>
      <c r="E33" s="88">
        <v>0.82099999999999995</v>
      </c>
      <c r="F33" s="88">
        <v>0.82399999999999995</v>
      </c>
      <c r="G33" s="88">
        <v>0.82799999999999996</v>
      </c>
      <c r="H33" s="88">
        <v>0.83099999999999996</v>
      </c>
      <c r="I33" s="88">
        <v>0.83499999999999996</v>
      </c>
      <c r="J33" s="88">
        <v>0.83799999999999997</v>
      </c>
      <c r="K33" s="88">
        <v>0.84199999999999997</v>
      </c>
      <c r="L33" s="88">
        <v>0.84499999999999997</v>
      </c>
      <c r="M33" s="88">
        <v>0.84799999999999998</v>
      </c>
    </row>
    <row r="34" spans="1:13" x14ac:dyDescent="0.25">
      <c r="A34" s="86">
        <v>62</v>
      </c>
      <c r="B34" s="88">
        <v>0.85199999999999998</v>
      </c>
      <c r="C34" s="88">
        <v>0.85599999999999998</v>
      </c>
      <c r="D34" s="88">
        <v>0.85899999999999999</v>
      </c>
      <c r="E34" s="88">
        <v>0.86299999999999999</v>
      </c>
      <c r="F34" s="88">
        <v>0.86699999999999999</v>
      </c>
      <c r="G34" s="88">
        <v>0.871</v>
      </c>
      <c r="H34" s="88">
        <v>0.874</v>
      </c>
      <c r="I34" s="88">
        <v>0.878</v>
      </c>
      <c r="J34" s="88">
        <v>0.88200000000000001</v>
      </c>
      <c r="K34" s="88">
        <v>0.88600000000000001</v>
      </c>
      <c r="L34" s="88">
        <v>0.88900000000000001</v>
      </c>
      <c r="M34" s="88">
        <v>0.89300000000000002</v>
      </c>
    </row>
    <row r="35" spans="1:13" x14ac:dyDescent="0.25">
      <c r="A35" s="86">
        <v>63</v>
      </c>
      <c r="B35" s="88">
        <v>0.89700000000000002</v>
      </c>
      <c r="C35" s="88">
        <v>0.90100000000000002</v>
      </c>
      <c r="D35" s="88">
        <v>0.90500000000000003</v>
      </c>
      <c r="E35" s="88">
        <v>0.90900000000000003</v>
      </c>
      <c r="F35" s="88">
        <v>0.91300000000000003</v>
      </c>
      <c r="G35" s="88">
        <v>0.91700000000000004</v>
      </c>
      <c r="H35" s="88">
        <v>0.92200000000000004</v>
      </c>
      <c r="I35" s="88">
        <v>0.92600000000000005</v>
      </c>
      <c r="J35" s="88">
        <v>0.93</v>
      </c>
      <c r="K35" s="88">
        <v>0.93400000000000005</v>
      </c>
      <c r="L35" s="88">
        <v>0.93799999999999994</v>
      </c>
      <c r="M35" s="88">
        <v>0.94199999999999995</v>
      </c>
    </row>
    <row r="36" spans="1:13" x14ac:dyDescent="0.25">
      <c r="A36" s="86">
        <v>64</v>
      </c>
      <c r="B36" s="88">
        <v>0.94599999999999995</v>
      </c>
      <c r="C36" s="88">
        <v>0.95099999999999996</v>
      </c>
      <c r="D36" s="88">
        <v>0.95499999999999996</v>
      </c>
      <c r="E36" s="88">
        <v>0.96</v>
      </c>
      <c r="F36" s="88">
        <v>0.96399999999999997</v>
      </c>
      <c r="G36" s="88">
        <v>0.96899999999999997</v>
      </c>
      <c r="H36" s="88">
        <v>0.97299999999999998</v>
      </c>
      <c r="I36" s="88">
        <v>0.97799999999999998</v>
      </c>
      <c r="J36" s="88">
        <v>0.98199999999999998</v>
      </c>
      <c r="K36" s="88">
        <v>0.98699999999999999</v>
      </c>
      <c r="L36" s="88">
        <v>0.99099999999999999</v>
      </c>
      <c r="M36" s="88">
        <v>0.996</v>
      </c>
    </row>
    <row r="37" spans="1:13" x14ac:dyDescent="0.25">
      <c r="A37" s="86">
        <v>65</v>
      </c>
      <c r="B37" s="88">
        <v>1</v>
      </c>
      <c r="C37" s="88"/>
      <c r="D37" s="88"/>
      <c r="E37" s="88"/>
      <c r="F37" s="88"/>
      <c r="G37" s="88"/>
      <c r="H37" s="88"/>
      <c r="I37" s="88"/>
      <c r="J37" s="88"/>
      <c r="K37" s="88"/>
      <c r="L37" s="88"/>
      <c r="M37" s="88"/>
    </row>
    <row r="44" spans="1:13" ht="39.6" customHeight="1" x14ac:dyDescent="0.25"/>
    <row r="46" spans="1:13" ht="27.6" customHeight="1" x14ac:dyDescent="0.25"/>
  </sheetData>
  <sheetProtection algorithmName="SHA-512" hashValue="L6egnUT2axtMrvY+x4WFD4wKS/ZXVCxKUqD4ArgcE70gOhGTbYpckVsKEC75XJygAOOn7nOJJwkF9eMU2mSQBA==" saltValue="SG7BFJS8JXBNsiXZu1tyVQ==" spinCount="100000" sheet="1" objects="1" scenarios="1"/>
  <conditionalFormatting sqref="A6:A21">
    <cfRule type="expression" dxfId="389" priority="1" stopIfTrue="1">
      <formula>MOD(ROW(),2)=0</formula>
    </cfRule>
    <cfRule type="expression" dxfId="388" priority="2" stopIfTrue="1">
      <formula>MOD(ROW(),2)&lt;&gt;0</formula>
    </cfRule>
  </conditionalFormatting>
  <conditionalFormatting sqref="A26:A37">
    <cfRule type="expression" dxfId="387" priority="5" stopIfTrue="1">
      <formula>MOD(ROW(),2)=0</formula>
    </cfRule>
    <cfRule type="expression" dxfId="386" priority="6" stopIfTrue="1">
      <formula>MOD(ROW(),2)&lt;&gt;0</formula>
    </cfRule>
  </conditionalFormatting>
  <conditionalFormatting sqref="B16:B21">
    <cfRule type="expression" dxfId="385" priority="9" stopIfTrue="1">
      <formula>MOD(ROW(),2)=0</formula>
    </cfRule>
    <cfRule type="expression" dxfId="384" priority="10" stopIfTrue="1">
      <formula>MOD(ROW(),2)&lt;&gt;0</formula>
    </cfRule>
  </conditionalFormatting>
  <conditionalFormatting sqref="B6:M21">
    <cfRule type="expression" dxfId="383" priority="25" stopIfTrue="1">
      <formula>MOD(ROW(),2)=0</formula>
    </cfRule>
    <cfRule type="expression" dxfId="382" priority="26" stopIfTrue="1">
      <formula>MOD(ROW(),2)&lt;&gt;0</formula>
    </cfRule>
  </conditionalFormatting>
  <conditionalFormatting sqref="B26:M37">
    <cfRule type="expression" dxfId="381" priority="7" stopIfTrue="1">
      <formula>MOD(ROW(),2)=0</formula>
    </cfRule>
    <cfRule type="expression" dxfId="380" priority="8" stopIfTrue="1">
      <formula>MOD(ROW(),2)&lt;&gt;0</formula>
    </cfRule>
  </conditionalFormatting>
  <conditionalFormatting sqref="C17:M17">
    <cfRule type="expression" dxfId="379" priority="3" stopIfTrue="1">
      <formula>MOD(ROW(),2)=0</formula>
    </cfRule>
    <cfRule type="expression" dxfId="378" priority="4" stopIfTrue="1">
      <formula>MOD(ROW(),2)&lt;&gt;0</formula>
    </cfRule>
  </conditionalFormatting>
  <hyperlinks>
    <hyperlink ref="B24" location="Assumptions!A1" display="Assumptions" xr:uid="{6E9AB1E0-D54C-4C6B-9D80-98F6CFC8C8C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dimension ref="A1:M46"/>
  <sheetViews>
    <sheetView showGridLines="0" zoomScale="84" zoomScaleNormal="84" workbookViewId="0">
      <selection activeCell="B6" sqref="B6:M21"/>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 England - Consolidated Factor Spreadsheet</v>
      </c>
      <c r="B2" s="42"/>
      <c r="C2" s="42"/>
      <c r="D2" s="42"/>
      <c r="E2" s="42"/>
      <c r="F2" s="42"/>
      <c r="G2" s="42"/>
      <c r="H2" s="42"/>
      <c r="I2" s="42"/>
    </row>
    <row r="3" spans="1:13" ht="15.6" x14ac:dyDescent="0.3">
      <c r="A3" s="43" t="str">
        <f>TABLE_FACTOR_TYPE_1&amp;" - x-"&amp;TABLE_SERIES_NUMBER_1</f>
        <v>ERF - x-402</v>
      </c>
      <c r="B3" s="42"/>
      <c r="C3" s="42"/>
      <c r="D3" s="42"/>
      <c r="E3" s="42"/>
      <c r="F3" s="42"/>
      <c r="G3" s="42"/>
      <c r="H3" s="42"/>
      <c r="I3" s="42"/>
    </row>
    <row r="4" spans="1:13" x14ac:dyDescent="0.25">
      <c r="A4" s="44"/>
    </row>
    <row r="6" spans="1:13" x14ac:dyDescent="0.25">
      <c r="A6" s="74" t="s">
        <v>334</v>
      </c>
      <c r="B6" s="148" t="s">
        <v>335</v>
      </c>
      <c r="C6" s="148"/>
      <c r="D6" s="148"/>
      <c r="E6" s="148"/>
      <c r="F6" s="148"/>
      <c r="G6" s="148"/>
      <c r="H6" s="148"/>
      <c r="I6" s="148"/>
      <c r="J6" s="148"/>
      <c r="K6" s="148"/>
      <c r="L6" s="148"/>
      <c r="M6" s="148"/>
    </row>
    <row r="7" spans="1:13" x14ac:dyDescent="0.25">
      <c r="A7" s="76" t="s">
        <v>78</v>
      </c>
      <c r="B7" s="148" t="s">
        <v>67</v>
      </c>
      <c r="C7" s="148"/>
      <c r="D7" s="148"/>
      <c r="E7" s="148"/>
      <c r="F7" s="148"/>
      <c r="G7" s="148"/>
      <c r="H7" s="148"/>
      <c r="I7" s="148"/>
      <c r="J7" s="148"/>
      <c r="K7" s="148"/>
      <c r="L7" s="148"/>
      <c r="M7" s="148"/>
    </row>
    <row r="8" spans="1:13" x14ac:dyDescent="0.25">
      <c r="A8" s="76" t="s">
        <v>79</v>
      </c>
      <c r="B8" s="148">
        <v>2015</v>
      </c>
      <c r="C8" s="148"/>
      <c r="D8" s="148"/>
      <c r="E8" s="148"/>
      <c r="F8" s="148"/>
      <c r="G8" s="148"/>
      <c r="H8" s="148"/>
      <c r="I8" s="148"/>
      <c r="J8" s="148"/>
      <c r="K8" s="148"/>
      <c r="L8" s="148"/>
      <c r="M8" s="148"/>
    </row>
    <row r="9" spans="1:13" x14ac:dyDescent="0.25">
      <c r="A9" s="76" t="s">
        <v>80</v>
      </c>
      <c r="B9" s="148" t="s">
        <v>209</v>
      </c>
      <c r="C9" s="148"/>
      <c r="D9" s="148"/>
      <c r="E9" s="148"/>
      <c r="F9" s="148"/>
      <c r="G9" s="148"/>
      <c r="H9" s="148"/>
      <c r="I9" s="148"/>
      <c r="J9" s="148"/>
      <c r="K9" s="148"/>
      <c r="L9" s="148"/>
      <c r="M9" s="148"/>
    </row>
    <row r="10" spans="1:13" x14ac:dyDescent="0.25">
      <c r="A10" s="76" t="s">
        <v>6</v>
      </c>
      <c r="B10" s="148" t="s">
        <v>213</v>
      </c>
      <c r="C10" s="148"/>
      <c r="D10" s="148"/>
      <c r="E10" s="148"/>
      <c r="F10" s="148"/>
      <c r="G10" s="148"/>
      <c r="H10" s="148"/>
      <c r="I10" s="148"/>
      <c r="J10" s="148"/>
      <c r="K10" s="148"/>
      <c r="L10" s="148"/>
      <c r="M10" s="148"/>
    </row>
    <row r="11" spans="1:13" x14ac:dyDescent="0.25">
      <c r="A11" s="76" t="s">
        <v>81</v>
      </c>
      <c r="B11" s="148" t="s">
        <v>176</v>
      </c>
      <c r="C11" s="148"/>
      <c r="D11" s="148"/>
      <c r="E11" s="148"/>
      <c r="F11" s="148"/>
      <c r="G11" s="148"/>
      <c r="H11" s="148"/>
      <c r="I11" s="148"/>
      <c r="J11" s="148"/>
      <c r="K11" s="148"/>
      <c r="L11" s="148"/>
      <c r="M11" s="148"/>
    </row>
    <row r="12" spans="1:13" x14ac:dyDescent="0.25">
      <c r="A12" s="76" t="s">
        <v>82</v>
      </c>
      <c r="B12" s="148" t="s">
        <v>214</v>
      </c>
      <c r="C12" s="148"/>
      <c r="D12" s="148"/>
      <c r="E12" s="148"/>
      <c r="F12" s="148"/>
      <c r="G12" s="148"/>
      <c r="H12" s="148"/>
      <c r="I12" s="148"/>
      <c r="J12" s="148"/>
      <c r="K12" s="148"/>
      <c r="L12" s="148"/>
      <c r="M12" s="148"/>
    </row>
    <row r="13" spans="1:13" x14ac:dyDescent="0.25">
      <c r="A13" s="76" t="s">
        <v>342</v>
      </c>
      <c r="B13" s="148">
        <v>0</v>
      </c>
      <c r="C13" s="148"/>
      <c r="D13" s="148"/>
      <c r="E13" s="148"/>
      <c r="F13" s="148"/>
      <c r="G13" s="148"/>
      <c r="H13" s="148"/>
      <c r="I13" s="148"/>
      <c r="J13" s="148"/>
      <c r="K13" s="148"/>
      <c r="L13" s="148"/>
      <c r="M13" s="148"/>
    </row>
    <row r="14" spans="1:13" x14ac:dyDescent="0.25">
      <c r="A14" s="76" t="s">
        <v>84</v>
      </c>
      <c r="B14" s="148">
        <v>402</v>
      </c>
      <c r="C14" s="148"/>
      <c r="D14" s="148"/>
      <c r="E14" s="148"/>
      <c r="F14" s="148"/>
      <c r="G14" s="148"/>
      <c r="H14" s="148"/>
      <c r="I14" s="148"/>
      <c r="J14" s="148"/>
      <c r="K14" s="148"/>
      <c r="L14" s="148"/>
      <c r="M14" s="148"/>
    </row>
    <row r="15" spans="1:13" x14ac:dyDescent="0.25">
      <c r="A15" s="76" t="s">
        <v>345</v>
      </c>
      <c r="B15" s="148" t="s">
        <v>215</v>
      </c>
      <c r="C15" s="148"/>
      <c r="D15" s="148"/>
      <c r="E15" s="148"/>
      <c r="F15" s="148"/>
      <c r="G15" s="148"/>
      <c r="H15" s="148"/>
      <c r="I15" s="148"/>
      <c r="J15" s="148"/>
      <c r="K15" s="148"/>
      <c r="L15" s="148"/>
      <c r="M15" s="148"/>
    </row>
    <row r="16" spans="1:13" x14ac:dyDescent="0.25">
      <c r="A16" s="76" t="s">
        <v>86</v>
      </c>
      <c r="B16" s="148" t="s">
        <v>216</v>
      </c>
      <c r="C16" s="148"/>
      <c r="D16" s="148"/>
      <c r="E16" s="148"/>
      <c r="F16" s="148"/>
      <c r="G16" s="148"/>
      <c r="H16" s="148"/>
      <c r="I16" s="148"/>
      <c r="J16" s="148"/>
      <c r="K16" s="148"/>
      <c r="L16" s="148"/>
      <c r="M16" s="148"/>
    </row>
    <row r="17" spans="1:13" x14ac:dyDescent="0.25">
      <c r="A17" s="151" t="s">
        <v>414</v>
      </c>
      <c r="B17" s="148"/>
      <c r="C17" s="148"/>
      <c r="D17" s="148"/>
      <c r="E17" s="148"/>
      <c r="F17" s="148"/>
      <c r="G17" s="148"/>
      <c r="H17" s="148"/>
      <c r="I17" s="148"/>
      <c r="J17" s="148"/>
      <c r="K17" s="148"/>
      <c r="L17" s="148"/>
      <c r="M17" s="148"/>
    </row>
    <row r="18" spans="1:13" x14ac:dyDescent="0.25">
      <c r="A18" s="151" t="s">
        <v>88</v>
      </c>
      <c r="B18" s="152">
        <v>45106</v>
      </c>
      <c r="C18" s="148"/>
      <c r="D18" s="148"/>
      <c r="E18" s="148"/>
      <c r="F18" s="148"/>
      <c r="G18" s="148"/>
      <c r="H18" s="148"/>
      <c r="I18" s="148"/>
      <c r="J18" s="148"/>
      <c r="K18" s="148"/>
      <c r="L18" s="148"/>
      <c r="M18" s="148"/>
    </row>
    <row r="19" spans="1:13" x14ac:dyDescent="0.25">
      <c r="A19" s="151" t="s">
        <v>89</v>
      </c>
      <c r="B19" s="152">
        <v>45110</v>
      </c>
      <c r="C19" s="148"/>
      <c r="D19" s="148"/>
      <c r="E19" s="148"/>
      <c r="F19" s="148"/>
      <c r="G19" s="148"/>
      <c r="H19" s="148"/>
      <c r="I19" s="148"/>
      <c r="J19" s="148"/>
      <c r="K19" s="148"/>
      <c r="L19" s="148"/>
      <c r="M19" s="148"/>
    </row>
    <row r="20" spans="1:13" x14ac:dyDescent="0.25">
      <c r="A20" s="151" t="s">
        <v>90</v>
      </c>
      <c r="B20" s="148" t="s">
        <v>98</v>
      </c>
      <c r="C20" s="148"/>
      <c r="D20" s="148"/>
      <c r="E20" s="148"/>
      <c r="F20" s="148"/>
      <c r="G20" s="148"/>
      <c r="H20" s="148"/>
      <c r="I20" s="148"/>
      <c r="J20" s="148"/>
      <c r="K20" s="148"/>
      <c r="L20" s="148"/>
      <c r="M20" s="148"/>
    </row>
    <row r="21" spans="1:13" x14ac:dyDescent="0.25">
      <c r="A21" s="72" t="s">
        <v>91</v>
      </c>
      <c r="B21" s="148" t="s">
        <v>99</v>
      </c>
      <c r="C21" s="148"/>
      <c r="D21" s="148"/>
      <c r="E21" s="148"/>
      <c r="F21" s="148"/>
      <c r="G21" s="148"/>
      <c r="H21" s="148"/>
      <c r="I21" s="148"/>
      <c r="J21" s="148"/>
      <c r="K21" s="148"/>
      <c r="L21" s="148"/>
      <c r="M21" s="148"/>
    </row>
    <row r="23" spans="1:13" x14ac:dyDescent="0.25">
      <c r="B23" s="89" t="str">
        <f>HYPERLINK("#'Factor List'!A1","Back to Factor List")</f>
        <v>Back to Factor List</v>
      </c>
    </row>
    <row r="24" spans="1:13" x14ac:dyDescent="0.25">
      <c r="B24" s="89" t="s">
        <v>13</v>
      </c>
    </row>
    <row r="26" spans="1:13" x14ac:dyDescent="0.25">
      <c r="A26" s="85" t="s">
        <v>443</v>
      </c>
      <c r="B26" s="85">
        <v>0</v>
      </c>
      <c r="C26" s="85">
        <v>1</v>
      </c>
      <c r="D26" s="85">
        <v>2</v>
      </c>
      <c r="E26" s="85">
        <v>3</v>
      </c>
      <c r="F26" s="85">
        <v>4</v>
      </c>
      <c r="G26" s="85">
        <v>5</v>
      </c>
      <c r="H26" s="85">
        <v>6</v>
      </c>
      <c r="I26" s="85">
        <v>7</v>
      </c>
      <c r="J26" s="85">
        <v>8</v>
      </c>
      <c r="K26" s="85">
        <v>9</v>
      </c>
      <c r="L26" s="85">
        <v>10</v>
      </c>
      <c r="M26" s="85">
        <v>11</v>
      </c>
    </row>
    <row r="27" spans="1:13" x14ac:dyDescent="0.25">
      <c r="A27" s="86">
        <v>5</v>
      </c>
      <c r="B27" s="88">
        <v>0.8</v>
      </c>
      <c r="C27" s="88"/>
      <c r="D27" s="88"/>
      <c r="E27" s="88"/>
      <c r="F27" s="88"/>
      <c r="G27" s="88"/>
      <c r="H27" s="88"/>
      <c r="I27" s="88"/>
      <c r="J27" s="88"/>
      <c r="K27" s="88"/>
      <c r="L27" s="88"/>
      <c r="M27" s="88"/>
    </row>
    <row r="28" spans="1:13" x14ac:dyDescent="0.25">
      <c r="A28" s="86">
        <v>4</v>
      </c>
      <c r="B28" s="88">
        <v>0.83399999999999996</v>
      </c>
      <c r="C28" s="88">
        <v>0.83099999999999996</v>
      </c>
      <c r="D28" s="88">
        <v>0.82799999999999996</v>
      </c>
      <c r="E28" s="88">
        <v>0.82499999999999996</v>
      </c>
      <c r="F28" s="88">
        <v>0.82299999999999995</v>
      </c>
      <c r="G28" s="88">
        <v>0.82</v>
      </c>
      <c r="H28" s="88">
        <v>0.81699999999999995</v>
      </c>
      <c r="I28" s="88">
        <v>0.81399999999999995</v>
      </c>
      <c r="J28" s="88">
        <v>0.81100000000000005</v>
      </c>
      <c r="K28" s="88">
        <v>0.80800000000000005</v>
      </c>
      <c r="L28" s="88">
        <v>0.80500000000000005</v>
      </c>
      <c r="M28" s="88">
        <v>0.80200000000000005</v>
      </c>
    </row>
    <row r="29" spans="1:13" x14ac:dyDescent="0.25">
      <c r="A29" s="86">
        <v>3</v>
      </c>
      <c r="B29" s="88">
        <v>0.871</v>
      </c>
      <c r="C29" s="88">
        <v>0.86799999999999999</v>
      </c>
      <c r="D29" s="88">
        <v>0.86499999999999999</v>
      </c>
      <c r="E29" s="88">
        <v>0.86199999999999999</v>
      </c>
      <c r="F29" s="88">
        <v>0.85899999999999999</v>
      </c>
      <c r="G29" s="88">
        <v>0.85599999999999998</v>
      </c>
      <c r="H29" s="88">
        <v>0.85299999999999998</v>
      </c>
      <c r="I29" s="88">
        <v>0.84899999999999998</v>
      </c>
      <c r="J29" s="88">
        <v>0.84599999999999997</v>
      </c>
      <c r="K29" s="88">
        <v>0.84299999999999997</v>
      </c>
      <c r="L29" s="88">
        <v>0.84</v>
      </c>
      <c r="M29" s="88">
        <v>0.83699999999999997</v>
      </c>
    </row>
    <row r="30" spans="1:13" x14ac:dyDescent="0.25">
      <c r="A30" s="86">
        <v>2</v>
      </c>
      <c r="B30" s="88">
        <v>0.91100000000000003</v>
      </c>
      <c r="C30" s="88">
        <v>0.90800000000000003</v>
      </c>
      <c r="D30" s="88">
        <v>0.90400000000000003</v>
      </c>
      <c r="E30" s="88">
        <v>0.90100000000000002</v>
      </c>
      <c r="F30" s="88">
        <v>0.89800000000000002</v>
      </c>
      <c r="G30" s="88">
        <v>0.89400000000000002</v>
      </c>
      <c r="H30" s="88">
        <v>0.89100000000000001</v>
      </c>
      <c r="I30" s="88">
        <v>0.88800000000000001</v>
      </c>
      <c r="J30" s="88">
        <v>0.88400000000000001</v>
      </c>
      <c r="K30" s="88">
        <v>0.88100000000000001</v>
      </c>
      <c r="L30" s="88">
        <v>0.878</v>
      </c>
      <c r="M30" s="88">
        <v>0.874</v>
      </c>
    </row>
    <row r="31" spans="1:13" x14ac:dyDescent="0.25">
      <c r="A31" s="86">
        <v>1</v>
      </c>
      <c r="B31" s="88">
        <v>0.95399999999999996</v>
      </c>
      <c r="C31" s="88">
        <v>0.95</v>
      </c>
      <c r="D31" s="88">
        <v>0.94699999999999995</v>
      </c>
      <c r="E31" s="88">
        <v>0.94299999999999995</v>
      </c>
      <c r="F31" s="88">
        <v>0.93899999999999995</v>
      </c>
      <c r="G31" s="88">
        <v>0.93600000000000005</v>
      </c>
      <c r="H31" s="88">
        <v>0.93200000000000005</v>
      </c>
      <c r="I31" s="88">
        <v>0.92900000000000005</v>
      </c>
      <c r="J31" s="88">
        <v>0.92500000000000004</v>
      </c>
      <c r="K31" s="88">
        <v>0.92200000000000004</v>
      </c>
      <c r="L31" s="88">
        <v>0.91800000000000004</v>
      </c>
      <c r="M31" s="88">
        <v>0.91400000000000003</v>
      </c>
    </row>
    <row r="32" spans="1:13" x14ac:dyDescent="0.25">
      <c r="A32" s="86">
        <v>0</v>
      </c>
      <c r="B32" s="88">
        <v>1</v>
      </c>
      <c r="C32" s="88">
        <v>0.996</v>
      </c>
      <c r="D32" s="88">
        <v>0.99199999999999999</v>
      </c>
      <c r="E32" s="88">
        <v>0.98799999999999999</v>
      </c>
      <c r="F32" s="88">
        <v>0.98499999999999999</v>
      </c>
      <c r="G32" s="88">
        <v>0.98099999999999998</v>
      </c>
      <c r="H32" s="88">
        <v>0.97699999999999998</v>
      </c>
      <c r="I32" s="88">
        <v>0.97299999999999998</v>
      </c>
      <c r="J32" s="88">
        <v>0.96899999999999997</v>
      </c>
      <c r="K32" s="88">
        <v>0.96499999999999997</v>
      </c>
      <c r="L32" s="88">
        <v>0.96099999999999997</v>
      </c>
      <c r="M32" s="88">
        <v>0.95799999999999996</v>
      </c>
    </row>
    <row r="44" ht="39.6" customHeight="1" x14ac:dyDescent="0.25"/>
    <row r="46" ht="27.6" customHeight="1" x14ac:dyDescent="0.25"/>
  </sheetData>
  <sheetProtection algorithmName="SHA-512" hashValue="nwjjNhfLoRyDDbVShlDPiozHCaHmg8E7Smghei0a3vMjLtJbAtzfaNmh/ioZFYsVgjTElYrp1VKUyzp5+fCb2A==" saltValue="47qC4VUYNus7vLnzJWFSog==" spinCount="100000" sheet="1" objects="1" scenarios="1"/>
  <conditionalFormatting sqref="A6:A21">
    <cfRule type="expression" dxfId="377" priority="1" stopIfTrue="1">
      <formula>MOD(ROW(),2)=0</formula>
    </cfRule>
    <cfRule type="expression" dxfId="376" priority="2" stopIfTrue="1">
      <formula>MOD(ROW(),2)&lt;&gt;0</formula>
    </cfRule>
  </conditionalFormatting>
  <conditionalFormatting sqref="A26:A32">
    <cfRule type="expression" dxfId="375" priority="3" stopIfTrue="1">
      <formula>MOD(ROW(),2)=0</formula>
    </cfRule>
    <cfRule type="expression" dxfId="374" priority="4" stopIfTrue="1">
      <formula>MOD(ROW(),2)&lt;&gt;0</formula>
    </cfRule>
  </conditionalFormatting>
  <conditionalFormatting sqref="B16:B21">
    <cfRule type="expression" dxfId="373" priority="7" stopIfTrue="1">
      <formula>MOD(ROW(),2)=0</formula>
    </cfRule>
    <cfRule type="expression" dxfId="372" priority="8" stopIfTrue="1">
      <formula>MOD(ROW(),2)&lt;&gt;0</formula>
    </cfRule>
  </conditionalFormatting>
  <conditionalFormatting sqref="B6:M21">
    <cfRule type="expression" dxfId="371" priority="29" stopIfTrue="1">
      <formula>MOD(ROW(),2)=0</formula>
    </cfRule>
    <cfRule type="expression" dxfId="370" priority="30" stopIfTrue="1">
      <formula>MOD(ROW(),2)&lt;&gt;0</formula>
    </cfRule>
  </conditionalFormatting>
  <conditionalFormatting sqref="B26:M32">
    <cfRule type="expression" dxfId="369" priority="5" stopIfTrue="1">
      <formula>MOD(ROW(),2)=0</formula>
    </cfRule>
    <cfRule type="expression" dxfId="368" priority="6" stopIfTrue="1">
      <formula>MOD(ROW(),2)&lt;&gt;0</formula>
    </cfRule>
  </conditionalFormatting>
  <hyperlinks>
    <hyperlink ref="B24" location="Assumptions!A1" display="Assumptions" xr:uid="{AC547A55-55F3-4565-9126-4D2EE91BAF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dimension ref="A1:M46"/>
  <sheetViews>
    <sheetView showGridLines="0" zoomScale="84" zoomScaleNormal="84" workbookViewId="0">
      <selection activeCell="B6" sqref="B6:M21"/>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 England - Consolidated Factor Spreadsheet</v>
      </c>
      <c r="B2" s="42"/>
      <c r="C2" s="42"/>
      <c r="D2" s="42"/>
      <c r="E2" s="42"/>
      <c r="F2" s="42"/>
      <c r="G2" s="42"/>
      <c r="H2" s="42"/>
      <c r="I2" s="42"/>
    </row>
    <row r="3" spans="1:13" ht="15.6" x14ac:dyDescent="0.3">
      <c r="A3" s="43" t="str">
        <f>TABLE_FACTOR_TYPE_1&amp;" - x-"&amp;TABLE_SERIES_NUMBER_1</f>
        <v>ERF - x-403</v>
      </c>
      <c r="B3" s="42"/>
      <c r="C3" s="42"/>
      <c r="D3" s="42"/>
      <c r="E3" s="42"/>
      <c r="F3" s="42"/>
      <c r="G3" s="42"/>
      <c r="H3" s="42"/>
      <c r="I3" s="42"/>
    </row>
    <row r="4" spans="1:13" x14ac:dyDescent="0.25">
      <c r="A4" s="44"/>
    </row>
    <row r="6" spans="1:13" x14ac:dyDescent="0.25">
      <c r="A6" s="74" t="s">
        <v>334</v>
      </c>
      <c r="B6" s="148" t="s">
        <v>335</v>
      </c>
      <c r="C6" s="148"/>
      <c r="D6" s="148"/>
      <c r="E6" s="148"/>
      <c r="F6" s="148"/>
      <c r="G6" s="148"/>
      <c r="H6" s="148"/>
      <c r="I6" s="148"/>
      <c r="J6" s="148"/>
      <c r="K6" s="148"/>
      <c r="L6" s="148"/>
      <c r="M6" s="148"/>
    </row>
    <row r="7" spans="1:13" x14ac:dyDescent="0.25">
      <c r="A7" s="76" t="s">
        <v>78</v>
      </c>
      <c r="B7" s="148" t="s">
        <v>67</v>
      </c>
      <c r="C7" s="148"/>
      <c r="D7" s="148"/>
      <c r="E7" s="148"/>
      <c r="F7" s="148"/>
      <c r="G7" s="148"/>
      <c r="H7" s="148"/>
      <c r="I7" s="148"/>
      <c r="J7" s="148"/>
      <c r="K7" s="148"/>
      <c r="L7" s="148"/>
      <c r="M7" s="148"/>
    </row>
    <row r="8" spans="1:13" x14ac:dyDescent="0.25">
      <c r="A8" s="76" t="s">
        <v>79</v>
      </c>
      <c r="B8" s="148">
        <v>2015</v>
      </c>
      <c r="C8" s="148"/>
      <c r="D8" s="148"/>
      <c r="E8" s="148"/>
      <c r="F8" s="148"/>
      <c r="G8" s="148"/>
      <c r="H8" s="148"/>
      <c r="I8" s="148"/>
      <c r="J8" s="148"/>
      <c r="K8" s="148"/>
      <c r="L8" s="148"/>
      <c r="M8" s="148"/>
    </row>
    <row r="9" spans="1:13" x14ac:dyDescent="0.25">
      <c r="A9" s="76" t="s">
        <v>80</v>
      </c>
      <c r="B9" s="148" t="s">
        <v>209</v>
      </c>
      <c r="C9" s="148"/>
      <c r="D9" s="148"/>
      <c r="E9" s="148"/>
      <c r="F9" s="148"/>
      <c r="G9" s="148"/>
      <c r="H9" s="148"/>
      <c r="I9" s="148"/>
      <c r="J9" s="148"/>
      <c r="K9" s="148"/>
      <c r="L9" s="148"/>
      <c r="M9" s="148"/>
    </row>
    <row r="10" spans="1:13" x14ac:dyDescent="0.25">
      <c r="A10" s="76" t="s">
        <v>6</v>
      </c>
      <c r="B10" s="148" t="s">
        <v>217</v>
      </c>
      <c r="C10" s="148"/>
      <c r="D10" s="148"/>
      <c r="E10" s="148"/>
      <c r="F10" s="148"/>
      <c r="G10" s="148"/>
      <c r="H10" s="148"/>
      <c r="I10" s="148"/>
      <c r="J10" s="148"/>
      <c r="K10" s="148"/>
      <c r="L10" s="148"/>
      <c r="M10" s="148"/>
    </row>
    <row r="11" spans="1:13" x14ac:dyDescent="0.25">
      <c r="A11" s="76" t="s">
        <v>81</v>
      </c>
      <c r="B11" s="148" t="s">
        <v>176</v>
      </c>
      <c r="C11" s="148"/>
      <c r="D11" s="148"/>
      <c r="E11" s="148"/>
      <c r="F11" s="148"/>
      <c r="G11" s="148"/>
      <c r="H11" s="148"/>
      <c r="I11" s="148"/>
      <c r="J11" s="148"/>
      <c r="K11" s="148"/>
      <c r="L11" s="148"/>
      <c r="M11" s="148"/>
    </row>
    <row r="12" spans="1:13" x14ac:dyDescent="0.25">
      <c r="A12" s="76" t="s">
        <v>82</v>
      </c>
      <c r="B12" s="148" t="s">
        <v>214</v>
      </c>
      <c r="C12" s="148"/>
      <c r="D12" s="148"/>
      <c r="E12" s="148"/>
      <c r="F12" s="148"/>
      <c r="G12" s="148"/>
      <c r="H12" s="148"/>
      <c r="I12" s="148"/>
      <c r="J12" s="148"/>
      <c r="K12" s="148"/>
      <c r="L12" s="148"/>
      <c r="M12" s="148"/>
    </row>
    <row r="13" spans="1:13" x14ac:dyDescent="0.25">
      <c r="A13" s="76" t="s">
        <v>342</v>
      </c>
      <c r="B13" s="148">
        <v>0</v>
      </c>
      <c r="C13" s="148"/>
      <c r="D13" s="148"/>
      <c r="E13" s="148"/>
      <c r="F13" s="148"/>
      <c r="G13" s="148"/>
      <c r="H13" s="148"/>
      <c r="I13" s="148"/>
      <c r="J13" s="148"/>
      <c r="K13" s="148"/>
      <c r="L13" s="148"/>
      <c r="M13" s="148"/>
    </row>
    <row r="14" spans="1:13" x14ac:dyDescent="0.25">
      <c r="A14" s="76" t="s">
        <v>84</v>
      </c>
      <c r="B14" s="148">
        <v>403</v>
      </c>
      <c r="C14" s="148"/>
      <c r="D14" s="148"/>
      <c r="E14" s="148"/>
      <c r="F14" s="148"/>
      <c r="G14" s="148"/>
      <c r="H14" s="148"/>
      <c r="I14" s="148"/>
      <c r="J14" s="148"/>
      <c r="K14" s="148"/>
      <c r="L14" s="148"/>
      <c r="M14" s="148"/>
    </row>
    <row r="15" spans="1:13" x14ac:dyDescent="0.25">
      <c r="A15" s="76" t="s">
        <v>345</v>
      </c>
      <c r="B15" s="148" t="s">
        <v>218</v>
      </c>
      <c r="C15" s="148"/>
      <c r="D15" s="148"/>
      <c r="E15" s="148"/>
      <c r="F15" s="148"/>
      <c r="G15" s="148"/>
      <c r="H15" s="148"/>
      <c r="I15" s="148"/>
      <c r="J15" s="148"/>
      <c r="K15" s="148"/>
      <c r="L15" s="148"/>
      <c r="M15" s="148"/>
    </row>
    <row r="16" spans="1:13" x14ac:dyDescent="0.25">
      <c r="A16" s="76" t="s">
        <v>86</v>
      </c>
      <c r="B16" s="148" t="s">
        <v>219</v>
      </c>
      <c r="C16" s="148"/>
      <c r="D16" s="148"/>
      <c r="E16" s="148"/>
      <c r="F16" s="148"/>
      <c r="G16" s="148"/>
      <c r="H16" s="148"/>
      <c r="I16" s="148"/>
      <c r="J16" s="148"/>
      <c r="K16" s="148"/>
      <c r="L16" s="148"/>
      <c r="M16" s="148"/>
    </row>
    <row r="17" spans="1:13" x14ac:dyDescent="0.25">
      <c r="A17" s="151" t="s">
        <v>414</v>
      </c>
      <c r="B17" s="148"/>
      <c r="C17" s="148"/>
      <c r="D17" s="148"/>
      <c r="E17" s="148"/>
      <c r="F17" s="148"/>
      <c r="G17" s="148"/>
      <c r="H17" s="148"/>
      <c r="I17" s="148"/>
      <c r="J17" s="148"/>
      <c r="K17" s="148"/>
      <c r="L17" s="148"/>
      <c r="M17" s="148"/>
    </row>
    <row r="18" spans="1:13" x14ac:dyDescent="0.25">
      <c r="A18" s="151" t="s">
        <v>88</v>
      </c>
      <c r="B18" s="152">
        <v>45106</v>
      </c>
      <c r="C18" s="148"/>
      <c r="D18" s="148"/>
      <c r="E18" s="148"/>
      <c r="F18" s="148"/>
      <c r="G18" s="148"/>
      <c r="H18" s="148"/>
      <c r="I18" s="148"/>
      <c r="J18" s="148"/>
      <c r="K18" s="148"/>
      <c r="L18" s="148"/>
      <c r="M18" s="148"/>
    </row>
    <row r="19" spans="1:13" x14ac:dyDescent="0.25">
      <c r="A19" s="151" t="s">
        <v>89</v>
      </c>
      <c r="B19" s="152">
        <v>45110</v>
      </c>
      <c r="C19" s="148"/>
      <c r="D19" s="148"/>
      <c r="E19" s="148"/>
      <c r="F19" s="148"/>
      <c r="G19" s="148"/>
      <c r="H19" s="148"/>
      <c r="I19" s="148"/>
      <c r="J19" s="148"/>
      <c r="K19" s="148"/>
      <c r="L19" s="148"/>
      <c r="M19" s="148"/>
    </row>
    <row r="20" spans="1:13" x14ac:dyDescent="0.25">
      <c r="A20" s="151" t="s">
        <v>90</v>
      </c>
      <c r="B20" s="148" t="s">
        <v>98</v>
      </c>
      <c r="C20" s="148"/>
      <c r="D20" s="148"/>
      <c r="E20" s="148"/>
      <c r="F20" s="148"/>
      <c r="G20" s="148"/>
      <c r="H20" s="148"/>
      <c r="I20" s="148"/>
      <c r="J20" s="148"/>
      <c r="K20" s="148"/>
      <c r="L20" s="148"/>
      <c r="M20" s="148"/>
    </row>
    <row r="21" spans="1:13" x14ac:dyDescent="0.25">
      <c r="A21" s="72" t="s">
        <v>91</v>
      </c>
      <c r="B21" s="148" t="s">
        <v>99</v>
      </c>
      <c r="C21" s="148"/>
      <c r="D21" s="148"/>
      <c r="E21" s="148"/>
      <c r="F21" s="148"/>
      <c r="G21" s="148"/>
      <c r="H21" s="148"/>
      <c r="I21" s="148"/>
      <c r="J21" s="148"/>
      <c r="K21" s="148"/>
      <c r="L21" s="148"/>
      <c r="M21" s="148"/>
    </row>
    <row r="23" spans="1:13" x14ac:dyDescent="0.25">
      <c r="B23" s="89" t="str">
        <f>HYPERLINK("#'Factor List'!A1","Back to Factor List")</f>
        <v>Back to Factor List</v>
      </c>
    </row>
    <row r="24" spans="1:13" x14ac:dyDescent="0.25">
      <c r="B24" s="89" t="s">
        <v>13</v>
      </c>
    </row>
    <row r="26" spans="1:13" x14ac:dyDescent="0.25">
      <c r="A26" s="85" t="s">
        <v>443</v>
      </c>
      <c r="B26" s="85">
        <v>0</v>
      </c>
      <c r="C26" s="85">
        <v>1</v>
      </c>
      <c r="D26" s="85">
        <v>2</v>
      </c>
      <c r="E26" s="85">
        <v>3</v>
      </c>
      <c r="F26" s="85">
        <v>4</v>
      </c>
      <c r="G26" s="85">
        <v>5</v>
      </c>
      <c r="H26" s="85">
        <v>6</v>
      </c>
      <c r="I26" s="85">
        <v>7</v>
      </c>
      <c r="J26" s="85">
        <v>8</v>
      </c>
      <c r="K26" s="85">
        <v>9</v>
      </c>
      <c r="L26" s="85">
        <v>10</v>
      </c>
      <c r="M26" s="85">
        <v>11</v>
      </c>
    </row>
    <row r="27" spans="1:13" x14ac:dyDescent="0.25">
      <c r="A27" s="86">
        <v>13</v>
      </c>
      <c r="B27" s="88">
        <v>0.53200000000000003</v>
      </c>
      <c r="C27" s="88"/>
      <c r="D27" s="88"/>
      <c r="E27" s="88"/>
      <c r="F27" s="88"/>
      <c r="G27" s="88"/>
      <c r="H27" s="88"/>
      <c r="I27" s="88"/>
      <c r="J27" s="88"/>
      <c r="K27" s="88"/>
      <c r="L27" s="88"/>
      <c r="M27" s="88"/>
    </row>
    <row r="28" spans="1:13" x14ac:dyDescent="0.25">
      <c r="A28" s="86">
        <v>12</v>
      </c>
      <c r="B28" s="88">
        <v>0.55400000000000005</v>
      </c>
      <c r="C28" s="88">
        <v>0.55200000000000005</v>
      </c>
      <c r="D28" s="88">
        <v>0.55000000000000004</v>
      </c>
      <c r="E28" s="88">
        <v>0.54800000000000004</v>
      </c>
      <c r="F28" s="88">
        <v>0.54600000000000004</v>
      </c>
      <c r="G28" s="88">
        <v>0.54500000000000004</v>
      </c>
      <c r="H28" s="88">
        <v>0.54300000000000004</v>
      </c>
      <c r="I28" s="88">
        <v>0.54100000000000004</v>
      </c>
      <c r="J28" s="88">
        <v>0.53900000000000003</v>
      </c>
      <c r="K28" s="88">
        <v>0.53700000000000003</v>
      </c>
      <c r="L28" s="88">
        <v>0.53600000000000003</v>
      </c>
      <c r="M28" s="88">
        <v>0.53400000000000003</v>
      </c>
    </row>
    <row r="29" spans="1:13" x14ac:dyDescent="0.25">
      <c r="A29" s="86">
        <v>11</v>
      </c>
      <c r="B29" s="88">
        <v>0.57699999999999996</v>
      </c>
      <c r="C29" s="88">
        <v>0.57499999999999996</v>
      </c>
      <c r="D29" s="88">
        <v>0.57299999999999995</v>
      </c>
      <c r="E29" s="88">
        <v>0.57099999999999995</v>
      </c>
      <c r="F29" s="88">
        <v>0.56899999999999995</v>
      </c>
      <c r="G29" s="88">
        <v>0.56699999999999995</v>
      </c>
      <c r="H29" s="88">
        <v>0.56499999999999995</v>
      </c>
      <c r="I29" s="88">
        <v>0.56299999999999994</v>
      </c>
      <c r="J29" s="88">
        <v>0.56100000000000005</v>
      </c>
      <c r="K29" s="88">
        <v>0.55900000000000005</v>
      </c>
      <c r="L29" s="88">
        <v>0.55800000000000005</v>
      </c>
      <c r="M29" s="88">
        <v>0.55600000000000005</v>
      </c>
    </row>
    <row r="30" spans="1:13" x14ac:dyDescent="0.25">
      <c r="A30" s="86">
        <v>10</v>
      </c>
      <c r="B30" s="88">
        <v>0.60199999999999998</v>
      </c>
      <c r="C30" s="88">
        <v>0.6</v>
      </c>
      <c r="D30" s="88">
        <v>0.59799999999999998</v>
      </c>
      <c r="E30" s="88">
        <v>0.59599999999999997</v>
      </c>
      <c r="F30" s="88">
        <v>0.59399999999999997</v>
      </c>
      <c r="G30" s="88">
        <v>0.59099999999999997</v>
      </c>
      <c r="H30" s="88">
        <v>0.58899999999999997</v>
      </c>
      <c r="I30" s="88">
        <v>0.58699999999999997</v>
      </c>
      <c r="J30" s="88">
        <v>0.58499999999999996</v>
      </c>
      <c r="K30" s="88">
        <v>0.58299999999999996</v>
      </c>
      <c r="L30" s="88">
        <v>0.58099999999999996</v>
      </c>
      <c r="M30" s="88">
        <v>0.57899999999999996</v>
      </c>
    </row>
    <row r="31" spans="1:13" x14ac:dyDescent="0.25">
      <c r="A31" s="86">
        <v>9</v>
      </c>
      <c r="B31" s="88">
        <v>0.629</v>
      </c>
      <c r="C31" s="88">
        <v>0.626</v>
      </c>
      <c r="D31" s="88">
        <v>0.624</v>
      </c>
      <c r="E31" s="88">
        <v>0.622</v>
      </c>
      <c r="F31" s="88">
        <v>0.62</v>
      </c>
      <c r="G31" s="88">
        <v>0.61699999999999999</v>
      </c>
      <c r="H31" s="88">
        <v>0.61499999999999999</v>
      </c>
      <c r="I31" s="88">
        <v>0.61299999999999999</v>
      </c>
      <c r="J31" s="88">
        <v>0.61099999999999999</v>
      </c>
      <c r="K31" s="88">
        <v>0.60899999999999999</v>
      </c>
      <c r="L31" s="88">
        <v>0.60599999999999998</v>
      </c>
      <c r="M31" s="88">
        <v>0.60399999999999998</v>
      </c>
    </row>
    <row r="32" spans="1:13" x14ac:dyDescent="0.25">
      <c r="A32" s="86">
        <v>8</v>
      </c>
      <c r="B32" s="88">
        <v>0.65800000000000003</v>
      </c>
      <c r="C32" s="88">
        <v>0.65500000000000003</v>
      </c>
      <c r="D32" s="88">
        <v>0.65300000000000002</v>
      </c>
      <c r="E32" s="88">
        <v>0.65</v>
      </c>
      <c r="F32" s="88">
        <v>0.64800000000000002</v>
      </c>
      <c r="G32" s="88">
        <v>0.64600000000000002</v>
      </c>
      <c r="H32" s="88">
        <v>0.64300000000000002</v>
      </c>
      <c r="I32" s="88">
        <v>0.64100000000000001</v>
      </c>
      <c r="J32" s="88">
        <v>0.63800000000000001</v>
      </c>
      <c r="K32" s="88">
        <v>0.63600000000000001</v>
      </c>
      <c r="L32" s="88">
        <v>0.63300000000000001</v>
      </c>
      <c r="M32" s="88">
        <v>0.63100000000000001</v>
      </c>
    </row>
    <row r="33" spans="1:13" x14ac:dyDescent="0.25">
      <c r="A33" s="86">
        <v>7</v>
      </c>
      <c r="B33" s="88">
        <v>0.68899999999999995</v>
      </c>
      <c r="C33" s="88">
        <v>0.68600000000000005</v>
      </c>
      <c r="D33" s="88">
        <v>0.68400000000000005</v>
      </c>
      <c r="E33" s="88">
        <v>0.68100000000000005</v>
      </c>
      <c r="F33" s="88">
        <v>0.67800000000000005</v>
      </c>
      <c r="G33" s="88">
        <v>0.67600000000000005</v>
      </c>
      <c r="H33" s="88">
        <v>0.67300000000000004</v>
      </c>
      <c r="I33" s="88">
        <v>0.67100000000000004</v>
      </c>
      <c r="J33" s="88">
        <v>0.66800000000000004</v>
      </c>
      <c r="K33" s="88">
        <v>0.66500000000000004</v>
      </c>
      <c r="L33" s="88">
        <v>0.66300000000000003</v>
      </c>
      <c r="M33" s="88">
        <v>0.66</v>
      </c>
    </row>
    <row r="34" spans="1:13" x14ac:dyDescent="0.25">
      <c r="A34" s="86">
        <v>6</v>
      </c>
      <c r="B34" s="88">
        <v>0.72199999999999998</v>
      </c>
      <c r="C34" s="88">
        <v>0.72</v>
      </c>
      <c r="D34" s="88">
        <v>0.71699999999999997</v>
      </c>
      <c r="E34" s="88">
        <v>0.71399999999999997</v>
      </c>
      <c r="F34" s="88">
        <v>0.71099999999999997</v>
      </c>
      <c r="G34" s="88">
        <v>0.70799999999999996</v>
      </c>
      <c r="H34" s="88">
        <v>0.70599999999999996</v>
      </c>
      <c r="I34" s="88">
        <v>0.70299999999999996</v>
      </c>
      <c r="J34" s="88">
        <v>0.7</v>
      </c>
      <c r="K34" s="88">
        <v>0.69699999999999995</v>
      </c>
      <c r="L34" s="88">
        <v>0.69399999999999995</v>
      </c>
      <c r="M34" s="88">
        <v>0.69199999999999995</v>
      </c>
    </row>
    <row r="35" spans="1:13" x14ac:dyDescent="0.25">
      <c r="A35" s="86">
        <v>5</v>
      </c>
      <c r="B35" s="88">
        <v>0.75900000000000001</v>
      </c>
      <c r="C35" s="88">
        <v>0.75600000000000001</v>
      </c>
      <c r="D35" s="88">
        <v>0.753</v>
      </c>
      <c r="E35" s="88">
        <v>0.75</v>
      </c>
      <c r="F35" s="88">
        <v>0.747</v>
      </c>
      <c r="G35" s="88">
        <v>0.74399999999999999</v>
      </c>
      <c r="H35" s="88">
        <v>0.74099999999999999</v>
      </c>
      <c r="I35" s="88">
        <v>0.73799999999999999</v>
      </c>
      <c r="J35" s="88">
        <v>0.73499999999999999</v>
      </c>
      <c r="K35" s="88">
        <v>0.73199999999999998</v>
      </c>
      <c r="L35" s="88">
        <v>0.72899999999999998</v>
      </c>
      <c r="M35" s="88">
        <v>0.72499999999999998</v>
      </c>
    </row>
    <row r="36" spans="1:13" x14ac:dyDescent="0.25">
      <c r="A36" s="86">
        <v>4</v>
      </c>
      <c r="B36" s="88">
        <v>0.79900000000000004</v>
      </c>
      <c r="C36" s="88">
        <v>0.79600000000000004</v>
      </c>
      <c r="D36" s="88">
        <v>0.79200000000000004</v>
      </c>
      <c r="E36" s="88">
        <v>0.78900000000000003</v>
      </c>
      <c r="F36" s="88">
        <v>0.78600000000000003</v>
      </c>
      <c r="G36" s="88">
        <v>0.78200000000000003</v>
      </c>
      <c r="H36" s="88">
        <v>0.77900000000000003</v>
      </c>
      <c r="I36" s="88">
        <v>0.77600000000000002</v>
      </c>
      <c r="J36" s="88">
        <v>0.77200000000000002</v>
      </c>
      <c r="K36" s="88">
        <v>0.76900000000000002</v>
      </c>
      <c r="L36" s="88">
        <v>0.76600000000000001</v>
      </c>
      <c r="M36" s="88">
        <v>0.76200000000000001</v>
      </c>
    </row>
    <row r="37" spans="1:13" x14ac:dyDescent="0.25">
      <c r="A37" s="86">
        <v>3</v>
      </c>
      <c r="B37" s="88">
        <v>0.84199999999999997</v>
      </c>
      <c r="C37" s="88">
        <v>0.83899999999999997</v>
      </c>
      <c r="D37" s="88">
        <v>0.83499999999999996</v>
      </c>
      <c r="E37" s="88">
        <v>0.83199999999999996</v>
      </c>
      <c r="F37" s="88">
        <v>0.82799999999999996</v>
      </c>
      <c r="G37" s="88">
        <v>0.82399999999999995</v>
      </c>
      <c r="H37" s="88">
        <v>0.82099999999999995</v>
      </c>
      <c r="I37" s="88">
        <v>0.81699999999999995</v>
      </c>
      <c r="J37" s="88">
        <v>0.81299999999999994</v>
      </c>
      <c r="K37" s="88">
        <v>0.81</v>
      </c>
      <c r="L37" s="88">
        <v>0.80600000000000005</v>
      </c>
      <c r="M37" s="88">
        <v>0.80300000000000005</v>
      </c>
    </row>
    <row r="38" spans="1:13" x14ac:dyDescent="0.25">
      <c r="A38" s="86">
        <v>2</v>
      </c>
      <c r="B38" s="88">
        <v>0.89</v>
      </c>
      <c r="C38" s="88">
        <v>0.88600000000000001</v>
      </c>
      <c r="D38" s="88">
        <v>0.88200000000000001</v>
      </c>
      <c r="E38" s="88">
        <v>0.878</v>
      </c>
      <c r="F38" s="88">
        <v>0.874</v>
      </c>
      <c r="G38" s="88">
        <v>0.87</v>
      </c>
      <c r="H38" s="88">
        <v>0.86599999999999999</v>
      </c>
      <c r="I38" s="88">
        <v>0.86199999999999999</v>
      </c>
      <c r="J38" s="88">
        <v>0.85799999999999998</v>
      </c>
      <c r="K38" s="88">
        <v>0.85399999999999998</v>
      </c>
      <c r="L38" s="88">
        <v>0.85</v>
      </c>
      <c r="M38" s="88">
        <v>0.84599999999999997</v>
      </c>
    </row>
    <row r="39" spans="1:13" x14ac:dyDescent="0.25">
      <c r="A39" s="86">
        <v>1</v>
      </c>
      <c r="B39" s="88">
        <v>0.94199999999999995</v>
      </c>
      <c r="C39" s="88">
        <v>0.93799999999999994</v>
      </c>
      <c r="D39" s="88">
        <v>0.93400000000000005</v>
      </c>
      <c r="E39" s="88">
        <v>0.92900000000000005</v>
      </c>
      <c r="F39" s="88">
        <v>0.92500000000000004</v>
      </c>
      <c r="G39" s="88">
        <v>0.92100000000000004</v>
      </c>
      <c r="H39" s="88">
        <v>0.91600000000000004</v>
      </c>
      <c r="I39" s="88">
        <v>0.91200000000000003</v>
      </c>
      <c r="J39" s="88">
        <v>0.90700000000000003</v>
      </c>
      <c r="K39" s="88">
        <v>0.90300000000000002</v>
      </c>
      <c r="L39" s="88">
        <v>0.89900000000000002</v>
      </c>
      <c r="M39" s="88">
        <v>0.89400000000000002</v>
      </c>
    </row>
    <row r="40" spans="1:13" x14ac:dyDescent="0.25">
      <c r="A40" s="86">
        <v>0</v>
      </c>
      <c r="B40" s="88">
        <v>1</v>
      </c>
      <c r="C40" s="88">
        <v>0.995</v>
      </c>
      <c r="D40" s="88">
        <v>0.99</v>
      </c>
      <c r="E40" s="88">
        <v>0.98599999999999999</v>
      </c>
      <c r="F40" s="88">
        <v>0.98099999999999998</v>
      </c>
      <c r="G40" s="88">
        <v>0.97599999999999998</v>
      </c>
      <c r="H40" s="88">
        <v>0.97099999999999997</v>
      </c>
      <c r="I40" s="88">
        <v>0.96599999999999997</v>
      </c>
      <c r="J40" s="88">
        <v>0.96199999999999997</v>
      </c>
      <c r="K40" s="88">
        <v>0.95699999999999996</v>
      </c>
      <c r="L40" s="88">
        <v>0.95199999999999996</v>
      </c>
      <c r="M40" s="88">
        <v>0.94699999999999995</v>
      </c>
    </row>
    <row r="44" spans="1:13" ht="39.6" customHeight="1" x14ac:dyDescent="0.25"/>
    <row r="46" spans="1:13" ht="27.6" customHeight="1" x14ac:dyDescent="0.25"/>
  </sheetData>
  <sheetProtection algorithmName="SHA-512" hashValue="orFdEhMdundE7mBb2oB7I74zrw6r/b5FoS+NZYjT2uV0/ryOiaLCzfvw+lWjyw2oGme9BG+x7+39bLBB3U831w==" saltValue="9dqhSxPjMjqV80COze2jHw==" spinCount="100000" sheet="1" objects="1" scenarios="1"/>
  <conditionalFormatting sqref="A6:A21">
    <cfRule type="expression" dxfId="367" priority="1" stopIfTrue="1">
      <formula>MOD(ROW(),2)=0</formula>
    </cfRule>
    <cfRule type="expression" dxfId="366" priority="2" stopIfTrue="1">
      <formula>MOD(ROW(),2)&lt;&gt;0</formula>
    </cfRule>
  </conditionalFormatting>
  <conditionalFormatting sqref="A26:A40">
    <cfRule type="expression" dxfId="365" priority="3" stopIfTrue="1">
      <formula>MOD(ROW(),2)=0</formula>
    </cfRule>
    <cfRule type="expression" dxfId="364" priority="4" stopIfTrue="1">
      <formula>MOD(ROW(),2)&lt;&gt;0</formula>
    </cfRule>
  </conditionalFormatting>
  <conditionalFormatting sqref="B16:B21">
    <cfRule type="expression" dxfId="363" priority="11" stopIfTrue="1">
      <formula>MOD(ROW(),2)=0</formula>
    </cfRule>
    <cfRule type="expression" dxfId="362" priority="12" stopIfTrue="1">
      <formula>MOD(ROW(),2)&lt;&gt;0</formula>
    </cfRule>
  </conditionalFormatting>
  <conditionalFormatting sqref="B6:M21">
    <cfRule type="expression" dxfId="361" priority="33" stopIfTrue="1">
      <formula>MOD(ROW(),2)=0</formula>
    </cfRule>
    <cfRule type="expression" dxfId="360" priority="34" stopIfTrue="1">
      <formula>MOD(ROW(),2)&lt;&gt;0</formula>
    </cfRule>
  </conditionalFormatting>
  <conditionalFormatting sqref="B26:M40">
    <cfRule type="expression" dxfId="359" priority="5" stopIfTrue="1">
      <formula>MOD(ROW(),2)=0</formula>
    </cfRule>
    <cfRule type="expression" dxfId="358" priority="6" stopIfTrue="1">
      <formula>MOD(ROW(),2)&lt;&gt;0</formula>
    </cfRule>
  </conditionalFormatting>
  <hyperlinks>
    <hyperlink ref="B24" location="Assumptions!A1" display="Assumptions" xr:uid="{37025F80-E0D6-42A6-BF1C-A4AF011B26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1"/>
  <dimension ref="A1:K46"/>
  <sheetViews>
    <sheetView showGridLines="0" topLeftCell="A3"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LRF - x-404</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2015</v>
      </c>
      <c r="C8" s="148"/>
      <c r="D8" s="148"/>
      <c r="E8" s="148"/>
      <c r="F8" s="148"/>
      <c r="G8" s="148"/>
      <c r="H8" s="148"/>
      <c r="I8" s="148"/>
      <c r="J8" s="148"/>
      <c r="K8" s="148"/>
    </row>
    <row r="9" spans="1:11" x14ac:dyDescent="0.25">
      <c r="A9" s="76" t="s">
        <v>80</v>
      </c>
      <c r="B9" s="148" t="s">
        <v>220</v>
      </c>
      <c r="C9" s="148"/>
      <c r="D9" s="148"/>
      <c r="E9" s="148"/>
      <c r="F9" s="148"/>
      <c r="G9" s="148"/>
      <c r="H9" s="148"/>
      <c r="I9" s="148"/>
      <c r="J9" s="148"/>
      <c r="K9" s="148"/>
    </row>
    <row r="10" spans="1:11" x14ac:dyDescent="0.25">
      <c r="A10" s="76" t="s">
        <v>6</v>
      </c>
      <c r="B10" s="148" t="s">
        <v>221</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222</v>
      </c>
      <c r="C12" s="148"/>
      <c r="D12" s="148"/>
      <c r="E12" s="148"/>
      <c r="F12" s="148"/>
      <c r="G12" s="148"/>
      <c r="H12" s="148"/>
      <c r="I12" s="148"/>
      <c r="J12" s="148"/>
      <c r="K12" s="148"/>
    </row>
    <row r="13" spans="1:11" x14ac:dyDescent="0.25">
      <c r="A13" s="76" t="s">
        <v>342</v>
      </c>
      <c r="B13" s="148">
        <v>0</v>
      </c>
      <c r="C13" s="148"/>
      <c r="D13" s="148"/>
      <c r="E13" s="148"/>
      <c r="F13" s="148"/>
      <c r="G13" s="148"/>
      <c r="H13" s="148"/>
      <c r="I13" s="148"/>
      <c r="J13" s="148"/>
      <c r="K13" s="148"/>
    </row>
    <row r="14" spans="1:11" x14ac:dyDescent="0.25">
      <c r="A14" s="76" t="s">
        <v>84</v>
      </c>
      <c r="B14" s="148">
        <v>404</v>
      </c>
      <c r="C14" s="148"/>
      <c r="D14" s="148"/>
      <c r="E14" s="148"/>
      <c r="F14" s="148"/>
      <c r="G14" s="148"/>
      <c r="H14" s="148"/>
      <c r="I14" s="148"/>
      <c r="J14" s="148"/>
      <c r="K14" s="148"/>
    </row>
    <row r="15" spans="1:11" x14ac:dyDescent="0.25">
      <c r="A15" s="76" t="s">
        <v>345</v>
      </c>
      <c r="B15" s="148" t="s">
        <v>223</v>
      </c>
      <c r="C15" s="148"/>
      <c r="D15" s="148"/>
      <c r="E15" s="148"/>
      <c r="F15" s="148"/>
      <c r="G15" s="148"/>
      <c r="H15" s="148"/>
      <c r="I15" s="148"/>
      <c r="J15" s="148"/>
      <c r="K15" s="148"/>
    </row>
    <row r="16" spans="1:11" x14ac:dyDescent="0.25">
      <c r="A16" s="76" t="s">
        <v>86</v>
      </c>
      <c r="B16" s="148" t="s">
        <v>224</v>
      </c>
      <c r="C16" s="148"/>
      <c r="D16" s="148"/>
      <c r="E16" s="148"/>
      <c r="F16" s="148"/>
      <c r="G16" s="148"/>
      <c r="H16" s="148"/>
      <c r="I16" s="148"/>
      <c r="J16" s="148"/>
      <c r="K16" s="148"/>
    </row>
    <row r="17" spans="1:11" x14ac:dyDescent="0.25">
      <c r="A17" s="151" t="s">
        <v>414</v>
      </c>
      <c r="B17" s="148"/>
      <c r="C17" s="148"/>
      <c r="D17" s="148"/>
      <c r="E17" s="148"/>
      <c r="F17" s="148"/>
      <c r="G17" s="148"/>
      <c r="H17" s="148"/>
      <c r="I17" s="148"/>
      <c r="J17" s="148"/>
      <c r="K17" s="148"/>
    </row>
    <row r="18" spans="1:11" x14ac:dyDescent="0.25">
      <c r="A18" s="151" t="s">
        <v>88</v>
      </c>
      <c r="B18" s="152">
        <v>45106</v>
      </c>
      <c r="C18" s="148"/>
      <c r="D18" s="148"/>
      <c r="E18" s="148"/>
      <c r="F18" s="148"/>
      <c r="G18" s="148"/>
      <c r="H18" s="148"/>
      <c r="I18" s="148"/>
      <c r="J18" s="148"/>
      <c r="K18" s="148"/>
    </row>
    <row r="19" spans="1:11" x14ac:dyDescent="0.25">
      <c r="A19" s="151" t="s">
        <v>89</v>
      </c>
      <c r="B19" s="152">
        <v>45110</v>
      </c>
      <c r="C19" s="148"/>
      <c r="D19" s="148"/>
      <c r="E19" s="148"/>
      <c r="F19" s="148"/>
      <c r="G19" s="148"/>
      <c r="H19" s="148"/>
      <c r="I19" s="148"/>
      <c r="J19" s="148"/>
      <c r="K19" s="148"/>
    </row>
    <row r="20" spans="1:11" x14ac:dyDescent="0.25">
      <c r="A20" s="151"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6" spans="1:11" x14ac:dyDescent="0.25">
      <c r="A26" s="85" t="s">
        <v>439</v>
      </c>
      <c r="B26" s="85">
        <v>60</v>
      </c>
      <c r="C26" s="85">
        <v>61</v>
      </c>
      <c r="D26" s="85">
        <v>62</v>
      </c>
      <c r="E26" s="85">
        <v>63</v>
      </c>
      <c r="F26" s="85">
        <v>64</v>
      </c>
      <c r="G26" s="85">
        <v>65</v>
      </c>
      <c r="H26" s="85">
        <v>66</v>
      </c>
      <c r="I26" s="85">
        <v>67</v>
      </c>
      <c r="J26" s="85">
        <v>68</v>
      </c>
      <c r="K26" s="85">
        <v>69</v>
      </c>
    </row>
    <row r="27" spans="1:11" x14ac:dyDescent="0.25">
      <c r="A27" s="86">
        <v>0</v>
      </c>
      <c r="B27" s="101">
        <v>1.1000000000000001E-3</v>
      </c>
      <c r="C27" s="101">
        <v>2.64E-2</v>
      </c>
      <c r="D27" s="101">
        <v>2.7699999999999999E-2</v>
      </c>
      <c r="E27" s="101">
        <v>2.9100000000000001E-2</v>
      </c>
      <c r="F27" s="101">
        <v>3.0599999999999999E-2</v>
      </c>
      <c r="G27" s="101">
        <v>3.2199999999999999E-2</v>
      </c>
      <c r="H27" s="101">
        <v>3.3700000000000001E-2</v>
      </c>
      <c r="I27" s="101">
        <v>3.5200000000000002E-2</v>
      </c>
      <c r="J27" s="101">
        <v>3.6799999999999999E-2</v>
      </c>
      <c r="K27" s="101">
        <v>3.8399999999999997E-2</v>
      </c>
    </row>
    <row r="28" spans="1:11" x14ac:dyDescent="0.25">
      <c r="A28" s="86">
        <v>1</v>
      </c>
      <c r="B28" s="101">
        <v>3.3E-3</v>
      </c>
      <c r="C28" s="101">
        <v>2.6499999999999999E-2</v>
      </c>
      <c r="D28" s="101">
        <v>2.7799999999999998E-2</v>
      </c>
      <c r="E28" s="101">
        <v>2.92E-2</v>
      </c>
      <c r="F28" s="101">
        <v>3.0700000000000002E-2</v>
      </c>
      <c r="G28" s="101">
        <v>3.2300000000000002E-2</v>
      </c>
      <c r="H28" s="101">
        <v>3.39E-2</v>
      </c>
      <c r="I28" s="101">
        <v>3.5299999999999998E-2</v>
      </c>
      <c r="J28" s="101">
        <v>3.6900000000000002E-2</v>
      </c>
      <c r="K28" s="101">
        <v>3.8600000000000002E-2</v>
      </c>
    </row>
    <row r="29" spans="1:11" x14ac:dyDescent="0.25">
      <c r="A29" s="86">
        <v>2</v>
      </c>
      <c r="B29" s="101">
        <v>5.4999999999999997E-3</v>
      </c>
      <c r="C29" s="101">
        <v>2.6599999999999999E-2</v>
      </c>
      <c r="D29" s="101">
        <v>2.7900000000000001E-2</v>
      </c>
      <c r="E29" s="101">
        <v>2.93E-2</v>
      </c>
      <c r="F29" s="101">
        <v>3.0800000000000001E-2</v>
      </c>
      <c r="G29" s="101">
        <v>3.2399999999999998E-2</v>
      </c>
      <c r="H29" s="101">
        <v>3.4000000000000002E-2</v>
      </c>
      <c r="I29" s="101">
        <v>3.5499999999999997E-2</v>
      </c>
      <c r="J29" s="101">
        <v>3.6999999999999998E-2</v>
      </c>
      <c r="K29" s="101">
        <v>3.8899999999999997E-2</v>
      </c>
    </row>
    <row r="30" spans="1:11" x14ac:dyDescent="0.25">
      <c r="A30" s="86">
        <v>3</v>
      </c>
      <c r="B30" s="101">
        <v>7.7000000000000002E-3</v>
      </c>
      <c r="C30" s="101">
        <v>2.6700000000000002E-2</v>
      </c>
      <c r="D30" s="101">
        <v>2.8000000000000001E-2</v>
      </c>
      <c r="E30" s="101">
        <v>2.9399999999999999E-2</v>
      </c>
      <c r="F30" s="101">
        <v>3.1E-2</v>
      </c>
      <c r="G30" s="101">
        <v>3.2599999999999997E-2</v>
      </c>
      <c r="H30" s="101">
        <v>3.4099999999999998E-2</v>
      </c>
      <c r="I30" s="101">
        <v>3.56E-2</v>
      </c>
      <c r="J30" s="101">
        <v>3.7100000000000001E-2</v>
      </c>
      <c r="K30" s="101">
        <v>3.9100000000000003E-2</v>
      </c>
    </row>
    <row r="31" spans="1:11" x14ac:dyDescent="0.25">
      <c r="A31" s="86">
        <v>4</v>
      </c>
      <c r="B31" s="101">
        <v>9.9000000000000008E-3</v>
      </c>
      <c r="C31" s="101">
        <v>2.6800000000000001E-2</v>
      </c>
      <c r="D31" s="101">
        <v>2.81E-2</v>
      </c>
      <c r="E31" s="101">
        <v>2.9600000000000001E-2</v>
      </c>
      <c r="F31" s="101">
        <v>3.1099999999999999E-2</v>
      </c>
      <c r="G31" s="101">
        <v>3.27E-2</v>
      </c>
      <c r="H31" s="101">
        <v>3.4200000000000001E-2</v>
      </c>
      <c r="I31" s="101">
        <v>3.5700000000000003E-2</v>
      </c>
      <c r="J31" s="101">
        <v>3.73E-2</v>
      </c>
      <c r="K31" s="101">
        <v>3.9399999999999998E-2</v>
      </c>
    </row>
    <row r="32" spans="1:11" x14ac:dyDescent="0.25">
      <c r="A32" s="86">
        <v>5</v>
      </c>
      <c r="B32" s="101">
        <v>1.21E-2</v>
      </c>
      <c r="C32" s="101">
        <v>2.69E-2</v>
      </c>
      <c r="D32" s="101">
        <v>2.8199999999999999E-2</v>
      </c>
      <c r="E32" s="101">
        <v>2.9700000000000001E-2</v>
      </c>
      <c r="F32" s="101">
        <v>3.1199999999999999E-2</v>
      </c>
      <c r="G32" s="101">
        <v>3.2800000000000003E-2</v>
      </c>
      <c r="H32" s="101">
        <v>3.4299999999999997E-2</v>
      </c>
      <c r="I32" s="101">
        <v>3.5900000000000001E-2</v>
      </c>
      <c r="J32" s="101">
        <v>3.7400000000000003E-2</v>
      </c>
      <c r="K32" s="101">
        <v>3.9600000000000003E-2</v>
      </c>
    </row>
    <row r="33" spans="1:11" x14ac:dyDescent="0.25">
      <c r="A33" s="86">
        <v>6</v>
      </c>
      <c r="B33" s="101">
        <v>1.4200000000000001E-2</v>
      </c>
      <c r="C33" s="101">
        <v>2.7E-2</v>
      </c>
      <c r="D33" s="101">
        <v>2.8400000000000002E-2</v>
      </c>
      <c r="E33" s="101">
        <v>2.98E-2</v>
      </c>
      <c r="F33" s="101">
        <v>3.1399999999999997E-2</v>
      </c>
      <c r="G33" s="101">
        <v>3.3000000000000002E-2</v>
      </c>
      <c r="H33" s="101">
        <v>3.4500000000000003E-2</v>
      </c>
      <c r="I33" s="101">
        <v>3.5999999999999997E-2</v>
      </c>
      <c r="J33" s="101">
        <v>3.7499999999999999E-2</v>
      </c>
      <c r="K33" s="101">
        <v>3.9800000000000002E-2</v>
      </c>
    </row>
    <row r="34" spans="1:11" x14ac:dyDescent="0.25">
      <c r="A34" s="86">
        <v>7</v>
      </c>
      <c r="B34" s="101">
        <v>1.6400000000000001E-2</v>
      </c>
      <c r="C34" s="101">
        <v>2.7099999999999999E-2</v>
      </c>
      <c r="D34" s="101">
        <v>2.8500000000000001E-2</v>
      </c>
      <c r="E34" s="101">
        <v>2.9899999999999999E-2</v>
      </c>
      <c r="F34" s="101">
        <v>3.15E-2</v>
      </c>
      <c r="G34" s="101">
        <v>3.3099999999999997E-2</v>
      </c>
      <c r="H34" s="101">
        <v>3.4599999999999999E-2</v>
      </c>
      <c r="I34" s="101">
        <v>3.61E-2</v>
      </c>
      <c r="J34" s="101">
        <v>3.7699999999999997E-2</v>
      </c>
      <c r="K34" s="101">
        <v>4.0099999999999997E-2</v>
      </c>
    </row>
    <row r="35" spans="1:11" x14ac:dyDescent="0.25">
      <c r="A35" s="86">
        <v>8</v>
      </c>
      <c r="B35" s="101">
        <v>1.8599999999999998E-2</v>
      </c>
      <c r="C35" s="101">
        <v>2.7199999999999998E-2</v>
      </c>
      <c r="D35" s="101">
        <v>2.86E-2</v>
      </c>
      <c r="E35" s="101">
        <v>3.0099999999999998E-2</v>
      </c>
      <c r="F35" s="101">
        <v>3.1600000000000003E-2</v>
      </c>
      <c r="G35" s="101">
        <v>3.32E-2</v>
      </c>
      <c r="H35" s="101">
        <v>3.4700000000000002E-2</v>
      </c>
      <c r="I35" s="101">
        <v>3.6200000000000003E-2</v>
      </c>
      <c r="J35" s="101">
        <v>3.78E-2</v>
      </c>
      <c r="K35" s="101">
        <v>4.0300000000000002E-2</v>
      </c>
    </row>
    <row r="36" spans="1:11" x14ac:dyDescent="0.25">
      <c r="A36" s="86">
        <v>9</v>
      </c>
      <c r="B36" s="101">
        <v>2.0799999999999999E-2</v>
      </c>
      <c r="C36" s="101">
        <v>2.7300000000000001E-2</v>
      </c>
      <c r="D36" s="101">
        <v>2.87E-2</v>
      </c>
      <c r="E36" s="101">
        <v>3.0200000000000001E-2</v>
      </c>
      <c r="F36" s="101">
        <v>3.1800000000000002E-2</v>
      </c>
      <c r="G36" s="101">
        <v>3.3300000000000003E-2</v>
      </c>
      <c r="H36" s="101">
        <v>3.4799999999999998E-2</v>
      </c>
      <c r="I36" s="101">
        <v>3.6400000000000002E-2</v>
      </c>
      <c r="J36" s="101">
        <v>3.7900000000000003E-2</v>
      </c>
      <c r="K36" s="101">
        <v>4.0599999999999997E-2</v>
      </c>
    </row>
    <row r="37" spans="1:11" x14ac:dyDescent="0.25">
      <c r="A37" s="86">
        <v>10</v>
      </c>
      <c r="B37" s="101">
        <v>2.3E-2</v>
      </c>
      <c r="C37" s="101">
        <v>2.7400000000000001E-2</v>
      </c>
      <c r="D37" s="101">
        <v>2.8799999999999999E-2</v>
      </c>
      <c r="E37" s="101">
        <v>3.0300000000000001E-2</v>
      </c>
      <c r="F37" s="101">
        <v>3.1899999999999998E-2</v>
      </c>
      <c r="G37" s="101">
        <v>3.3500000000000002E-2</v>
      </c>
      <c r="H37" s="101">
        <v>3.5000000000000003E-2</v>
      </c>
      <c r="I37" s="101">
        <v>3.6499999999999998E-2</v>
      </c>
      <c r="J37" s="101">
        <v>3.8100000000000002E-2</v>
      </c>
      <c r="K37" s="101">
        <v>4.0800000000000003E-2</v>
      </c>
    </row>
    <row r="38" spans="1:11" x14ac:dyDescent="0.25">
      <c r="A38" s="86">
        <v>11</v>
      </c>
      <c r="B38" s="101">
        <v>2.52E-2</v>
      </c>
      <c r="C38" s="101">
        <v>2.76E-2</v>
      </c>
      <c r="D38" s="101">
        <v>2.8899999999999999E-2</v>
      </c>
      <c r="E38" s="101">
        <v>3.04E-2</v>
      </c>
      <c r="F38" s="101">
        <v>3.2000000000000001E-2</v>
      </c>
      <c r="G38" s="101">
        <v>3.3599999999999998E-2</v>
      </c>
      <c r="H38" s="101">
        <v>3.5099999999999999E-2</v>
      </c>
      <c r="I38" s="101">
        <v>3.6600000000000001E-2</v>
      </c>
      <c r="J38" s="101">
        <v>3.8199999999999998E-2</v>
      </c>
      <c r="K38" s="101">
        <v>4.1099999999999998E-2</v>
      </c>
    </row>
    <row r="44" spans="1:11" ht="39.6" customHeight="1" x14ac:dyDescent="0.25"/>
    <row r="46" spans="1:11" ht="27.6" customHeight="1" x14ac:dyDescent="0.25"/>
  </sheetData>
  <sheetProtection algorithmName="SHA-512" hashValue="zAP7yN3TWLZzEiKxd0XyrobDfN5lTt7jrEASGr9Xd/F1O91X99rIK05SX5OpTadHRYOSzXrDUxBN96t3EszdjQ==" saltValue="Nu+7Nh+Zv5zF6BaAq1nKCg==" spinCount="100000" sheet="1" objects="1" scenarios="1"/>
  <conditionalFormatting sqref="A6:A21">
    <cfRule type="expression" dxfId="357" priority="1" stopIfTrue="1">
      <formula>MOD(ROW(),2)=0</formula>
    </cfRule>
    <cfRule type="expression" dxfId="356" priority="2" stopIfTrue="1">
      <formula>MOD(ROW(),2)&lt;&gt;0</formula>
    </cfRule>
  </conditionalFormatting>
  <conditionalFormatting sqref="A26:A38">
    <cfRule type="expression" dxfId="355" priority="3" stopIfTrue="1">
      <formula>MOD(ROW(),2)=0</formula>
    </cfRule>
    <cfRule type="expression" dxfId="354" priority="4" stopIfTrue="1">
      <formula>MOD(ROW(),2)&lt;&gt;0</formula>
    </cfRule>
  </conditionalFormatting>
  <conditionalFormatting sqref="B16:B21">
    <cfRule type="expression" dxfId="353" priority="7" stopIfTrue="1">
      <formula>MOD(ROW(),2)=0</formula>
    </cfRule>
    <cfRule type="expression" dxfId="352" priority="8" stopIfTrue="1">
      <formula>MOD(ROW(),2)&lt;&gt;0</formula>
    </cfRule>
  </conditionalFormatting>
  <conditionalFormatting sqref="B6:K21">
    <cfRule type="expression" dxfId="351" priority="27" stopIfTrue="1">
      <formula>MOD(ROW(),2)=0</formula>
    </cfRule>
    <cfRule type="expression" dxfId="350" priority="28" stopIfTrue="1">
      <formula>MOD(ROW(),2)&lt;&gt;0</formula>
    </cfRule>
  </conditionalFormatting>
  <conditionalFormatting sqref="B26:K38">
    <cfRule type="expression" dxfId="349" priority="5" stopIfTrue="1">
      <formula>MOD(ROW(),2)=0</formula>
    </cfRule>
    <cfRule type="expression" dxfId="348" priority="6" stopIfTrue="1">
      <formula>MOD(ROW(),2)&lt;&gt;0</formula>
    </cfRule>
  </conditionalFormatting>
  <hyperlinks>
    <hyperlink ref="B24" location="Assumptions!A1" display="Assumptions" xr:uid="{C7A3DD67-A1AA-4DA0-93BE-7FA0BBDECA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2"/>
  <dimension ref="A1:K46"/>
  <sheetViews>
    <sheetView showGridLines="0" topLeftCell="A3"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LRF - x-405</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2015</v>
      </c>
      <c r="C8" s="148"/>
      <c r="D8" s="148"/>
      <c r="E8" s="148"/>
      <c r="F8" s="148"/>
      <c r="G8" s="148"/>
      <c r="H8" s="148"/>
      <c r="I8" s="148"/>
      <c r="J8" s="148"/>
      <c r="K8" s="148"/>
    </row>
    <row r="9" spans="1:11" x14ac:dyDescent="0.25">
      <c r="A9" s="76" t="s">
        <v>80</v>
      </c>
      <c r="B9" s="148" t="s">
        <v>220</v>
      </c>
      <c r="C9" s="148"/>
      <c r="D9" s="148"/>
      <c r="E9" s="148"/>
      <c r="F9" s="148"/>
      <c r="G9" s="148"/>
      <c r="H9" s="148"/>
      <c r="I9" s="148"/>
      <c r="J9" s="148"/>
      <c r="K9" s="148"/>
    </row>
    <row r="10" spans="1:11" x14ac:dyDescent="0.25">
      <c r="A10" s="76" t="s">
        <v>6</v>
      </c>
      <c r="B10" s="148" t="s">
        <v>225</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226</v>
      </c>
      <c r="C12" s="148"/>
      <c r="D12" s="148"/>
      <c r="E12" s="148"/>
      <c r="F12" s="148"/>
      <c r="G12" s="148"/>
      <c r="H12" s="148"/>
      <c r="I12" s="148"/>
      <c r="J12" s="148"/>
      <c r="K12" s="148"/>
    </row>
    <row r="13" spans="1:11" x14ac:dyDescent="0.25">
      <c r="A13" s="76" t="s">
        <v>342</v>
      </c>
      <c r="B13" s="148">
        <v>0</v>
      </c>
      <c r="C13" s="148"/>
      <c r="D13" s="148"/>
      <c r="E13" s="148"/>
      <c r="F13" s="148"/>
      <c r="G13" s="148"/>
      <c r="H13" s="148"/>
      <c r="I13" s="148"/>
      <c r="J13" s="148"/>
      <c r="K13" s="148"/>
    </row>
    <row r="14" spans="1:11" x14ac:dyDescent="0.25">
      <c r="A14" s="76" t="s">
        <v>84</v>
      </c>
      <c r="B14" s="148">
        <v>405</v>
      </c>
      <c r="C14" s="148"/>
      <c r="D14" s="148"/>
      <c r="E14" s="148"/>
      <c r="F14" s="148"/>
      <c r="G14" s="148"/>
      <c r="H14" s="148"/>
      <c r="I14" s="148"/>
      <c r="J14" s="148"/>
      <c r="K14" s="148"/>
    </row>
    <row r="15" spans="1:11" x14ac:dyDescent="0.25">
      <c r="A15" s="76" t="s">
        <v>345</v>
      </c>
      <c r="B15" s="148" t="s">
        <v>227</v>
      </c>
      <c r="C15" s="148"/>
      <c r="D15" s="148"/>
      <c r="E15" s="148"/>
      <c r="F15" s="148"/>
      <c r="G15" s="148"/>
      <c r="H15" s="148"/>
      <c r="I15" s="148"/>
      <c r="J15" s="148"/>
      <c r="K15" s="148"/>
    </row>
    <row r="16" spans="1:11" x14ac:dyDescent="0.25">
      <c r="A16" s="76" t="s">
        <v>86</v>
      </c>
      <c r="B16" s="148" t="s">
        <v>228</v>
      </c>
      <c r="C16" s="148"/>
      <c r="D16" s="148"/>
      <c r="E16" s="148"/>
      <c r="F16" s="148"/>
      <c r="G16" s="148"/>
      <c r="H16" s="148"/>
      <c r="I16" s="148"/>
      <c r="J16" s="148"/>
      <c r="K16" s="148"/>
    </row>
    <row r="17" spans="1:11" x14ac:dyDescent="0.25">
      <c r="A17" s="151" t="s">
        <v>414</v>
      </c>
      <c r="B17" s="148"/>
      <c r="C17" s="148"/>
      <c r="D17" s="148"/>
      <c r="E17" s="148"/>
      <c r="F17" s="148"/>
      <c r="G17" s="148"/>
      <c r="H17" s="148"/>
      <c r="I17" s="148"/>
      <c r="J17" s="148"/>
      <c r="K17" s="148"/>
    </row>
    <row r="18" spans="1:11" x14ac:dyDescent="0.25">
      <c r="A18" s="151" t="s">
        <v>88</v>
      </c>
      <c r="B18" s="152">
        <v>45106</v>
      </c>
      <c r="C18" s="148"/>
      <c r="D18" s="148"/>
      <c r="E18" s="148"/>
      <c r="F18" s="148"/>
      <c r="G18" s="148"/>
      <c r="H18" s="148"/>
      <c r="I18" s="148"/>
      <c r="J18" s="148"/>
      <c r="K18" s="148"/>
    </row>
    <row r="19" spans="1:11" x14ac:dyDescent="0.25">
      <c r="A19" s="151" t="s">
        <v>89</v>
      </c>
      <c r="B19" s="152">
        <v>45110</v>
      </c>
      <c r="C19" s="148"/>
      <c r="D19" s="148"/>
      <c r="E19" s="148"/>
      <c r="F19" s="148"/>
      <c r="G19" s="148"/>
      <c r="H19" s="148"/>
      <c r="I19" s="148"/>
      <c r="J19" s="148"/>
      <c r="K19" s="148"/>
    </row>
    <row r="20" spans="1:11" x14ac:dyDescent="0.25">
      <c r="A20" s="151"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6" spans="1:11" x14ac:dyDescent="0.25">
      <c r="A26" s="85" t="s">
        <v>439</v>
      </c>
      <c r="B26" s="85">
        <v>60</v>
      </c>
      <c r="C26" s="85">
        <v>61</v>
      </c>
      <c r="D26" s="85">
        <v>62</v>
      </c>
      <c r="E26" s="85">
        <v>63</v>
      </c>
      <c r="F26" s="85">
        <v>64</v>
      </c>
      <c r="G26" s="85">
        <v>65</v>
      </c>
      <c r="H26" s="85">
        <v>66</v>
      </c>
      <c r="I26" s="85">
        <v>67</v>
      </c>
      <c r="J26" s="85">
        <v>68</v>
      </c>
      <c r="K26" s="85">
        <v>69</v>
      </c>
    </row>
    <row r="27" spans="1:11" x14ac:dyDescent="0.25">
      <c r="A27" s="86">
        <v>0</v>
      </c>
      <c r="B27" s="101">
        <v>1.9E-3</v>
      </c>
      <c r="C27" s="101">
        <v>4.4499999999999998E-2</v>
      </c>
      <c r="D27" s="101">
        <v>4.58E-2</v>
      </c>
      <c r="E27" s="101">
        <v>4.7199999999999999E-2</v>
      </c>
      <c r="F27" s="101">
        <v>4.8800000000000003E-2</v>
      </c>
      <c r="G27" s="101">
        <v>5.04E-2</v>
      </c>
      <c r="H27" s="101">
        <v>5.1999999999999998E-2</v>
      </c>
      <c r="I27" s="101">
        <v>5.3499999999999999E-2</v>
      </c>
      <c r="J27" s="101">
        <v>5.5100000000000003E-2</v>
      </c>
      <c r="K27" s="101">
        <v>5.67E-2</v>
      </c>
    </row>
    <row r="28" spans="1:11" x14ac:dyDescent="0.25">
      <c r="A28" s="86">
        <v>1</v>
      </c>
      <c r="B28" s="101">
        <v>5.5999999999999999E-3</v>
      </c>
      <c r="C28" s="101">
        <v>4.4600000000000001E-2</v>
      </c>
      <c r="D28" s="101">
        <v>4.5900000000000003E-2</v>
      </c>
      <c r="E28" s="101">
        <v>4.7399999999999998E-2</v>
      </c>
      <c r="F28" s="101">
        <v>4.8899999999999999E-2</v>
      </c>
      <c r="G28" s="101">
        <v>5.0500000000000003E-2</v>
      </c>
      <c r="H28" s="101">
        <v>5.21E-2</v>
      </c>
      <c r="I28" s="101">
        <v>5.3600000000000002E-2</v>
      </c>
      <c r="J28" s="101">
        <v>5.5199999999999999E-2</v>
      </c>
      <c r="K28" s="101">
        <v>5.7000000000000002E-2</v>
      </c>
    </row>
    <row r="29" spans="1:11" x14ac:dyDescent="0.25">
      <c r="A29" s="86">
        <v>2</v>
      </c>
      <c r="B29" s="101">
        <v>9.2999999999999992E-3</v>
      </c>
      <c r="C29" s="101">
        <v>4.4699999999999997E-2</v>
      </c>
      <c r="D29" s="101">
        <v>4.5999999999999999E-2</v>
      </c>
      <c r="E29" s="101">
        <v>4.7500000000000001E-2</v>
      </c>
      <c r="F29" s="101">
        <v>4.9000000000000002E-2</v>
      </c>
      <c r="G29" s="101">
        <v>5.0700000000000002E-2</v>
      </c>
      <c r="H29" s="101">
        <v>5.2200000000000003E-2</v>
      </c>
      <c r="I29" s="101">
        <v>5.3699999999999998E-2</v>
      </c>
      <c r="J29" s="101">
        <v>5.5300000000000002E-2</v>
      </c>
      <c r="K29" s="101">
        <v>5.7200000000000001E-2</v>
      </c>
    </row>
    <row r="30" spans="1:11" x14ac:dyDescent="0.25">
      <c r="A30" s="86">
        <v>3</v>
      </c>
      <c r="B30" s="101">
        <v>1.2999999999999999E-2</v>
      </c>
      <c r="C30" s="101">
        <v>4.48E-2</v>
      </c>
      <c r="D30" s="101">
        <v>4.6199999999999998E-2</v>
      </c>
      <c r="E30" s="101">
        <v>4.7600000000000003E-2</v>
      </c>
      <c r="F30" s="101">
        <v>4.9200000000000001E-2</v>
      </c>
      <c r="G30" s="101">
        <v>5.0799999999999998E-2</v>
      </c>
      <c r="H30" s="101">
        <v>5.2400000000000002E-2</v>
      </c>
      <c r="I30" s="101">
        <v>5.3900000000000003E-2</v>
      </c>
      <c r="J30" s="101">
        <v>5.5500000000000001E-2</v>
      </c>
      <c r="K30" s="101">
        <v>5.7500000000000002E-2</v>
      </c>
    </row>
    <row r="31" spans="1:11" x14ac:dyDescent="0.25">
      <c r="A31" s="86">
        <v>4</v>
      </c>
      <c r="B31" s="101">
        <v>1.67E-2</v>
      </c>
      <c r="C31" s="101">
        <v>4.4900000000000002E-2</v>
      </c>
      <c r="D31" s="101">
        <v>4.6300000000000001E-2</v>
      </c>
      <c r="E31" s="101">
        <v>4.7699999999999999E-2</v>
      </c>
      <c r="F31" s="101">
        <v>4.9299999999999997E-2</v>
      </c>
      <c r="G31" s="101">
        <v>5.0900000000000001E-2</v>
      </c>
      <c r="H31" s="101">
        <v>5.2499999999999998E-2</v>
      </c>
      <c r="I31" s="101">
        <v>5.3999999999999999E-2</v>
      </c>
      <c r="J31" s="101">
        <v>5.5599999999999997E-2</v>
      </c>
      <c r="K31" s="101">
        <v>5.7700000000000001E-2</v>
      </c>
    </row>
    <row r="32" spans="1:11" x14ac:dyDescent="0.25">
      <c r="A32" s="86">
        <v>5</v>
      </c>
      <c r="B32" s="101">
        <v>2.0400000000000001E-2</v>
      </c>
      <c r="C32" s="101">
        <v>4.4999999999999998E-2</v>
      </c>
      <c r="D32" s="101">
        <v>4.6399999999999997E-2</v>
      </c>
      <c r="E32" s="101">
        <v>4.7899999999999998E-2</v>
      </c>
      <c r="F32" s="101">
        <v>4.9399999999999999E-2</v>
      </c>
      <c r="G32" s="101">
        <v>5.11E-2</v>
      </c>
      <c r="H32" s="101">
        <v>5.2600000000000001E-2</v>
      </c>
      <c r="I32" s="101">
        <v>5.4100000000000002E-2</v>
      </c>
      <c r="J32" s="101">
        <v>5.57E-2</v>
      </c>
      <c r="K32" s="101">
        <v>5.8000000000000003E-2</v>
      </c>
    </row>
    <row r="33" spans="1:11" x14ac:dyDescent="0.25">
      <c r="A33" s="86">
        <v>6</v>
      </c>
      <c r="B33" s="101">
        <v>2.41E-2</v>
      </c>
      <c r="C33" s="101">
        <v>4.5100000000000001E-2</v>
      </c>
      <c r="D33" s="101">
        <v>4.65E-2</v>
      </c>
      <c r="E33" s="101">
        <v>4.8000000000000001E-2</v>
      </c>
      <c r="F33" s="101">
        <v>4.9599999999999998E-2</v>
      </c>
      <c r="G33" s="101">
        <v>5.1200000000000002E-2</v>
      </c>
      <c r="H33" s="101">
        <v>5.2699999999999997E-2</v>
      </c>
      <c r="I33" s="101">
        <v>5.4300000000000001E-2</v>
      </c>
      <c r="J33" s="101">
        <v>5.5899999999999998E-2</v>
      </c>
      <c r="K33" s="101">
        <v>5.8200000000000002E-2</v>
      </c>
    </row>
    <row r="34" spans="1:11" x14ac:dyDescent="0.25">
      <c r="A34" s="86">
        <v>7</v>
      </c>
      <c r="B34" s="101">
        <v>2.7799999999999998E-2</v>
      </c>
      <c r="C34" s="101">
        <v>4.53E-2</v>
      </c>
      <c r="D34" s="101">
        <v>4.6600000000000003E-2</v>
      </c>
      <c r="E34" s="101">
        <v>4.8099999999999997E-2</v>
      </c>
      <c r="F34" s="101">
        <v>4.9700000000000001E-2</v>
      </c>
      <c r="G34" s="101">
        <v>5.1299999999999998E-2</v>
      </c>
      <c r="H34" s="101">
        <v>5.2900000000000003E-2</v>
      </c>
      <c r="I34" s="101">
        <v>5.4399999999999997E-2</v>
      </c>
      <c r="J34" s="101">
        <v>5.6000000000000001E-2</v>
      </c>
      <c r="K34" s="101">
        <v>5.8400000000000001E-2</v>
      </c>
    </row>
    <row r="35" spans="1:11" x14ac:dyDescent="0.25">
      <c r="A35" s="86">
        <v>8</v>
      </c>
      <c r="B35" s="101">
        <v>3.15E-2</v>
      </c>
      <c r="C35" s="101">
        <v>4.5400000000000003E-2</v>
      </c>
      <c r="D35" s="101">
        <v>4.6800000000000001E-2</v>
      </c>
      <c r="E35" s="101">
        <v>4.82E-2</v>
      </c>
      <c r="F35" s="101">
        <v>4.9799999999999997E-2</v>
      </c>
      <c r="G35" s="101">
        <v>5.1499999999999997E-2</v>
      </c>
      <c r="H35" s="101">
        <v>5.2999999999999999E-2</v>
      </c>
      <c r="I35" s="101">
        <v>5.45E-2</v>
      </c>
      <c r="J35" s="101">
        <v>5.6099999999999997E-2</v>
      </c>
      <c r="K35" s="101">
        <v>5.8700000000000002E-2</v>
      </c>
    </row>
    <row r="36" spans="1:11" x14ac:dyDescent="0.25">
      <c r="A36" s="86">
        <v>9</v>
      </c>
      <c r="B36" s="101">
        <v>3.5200000000000002E-2</v>
      </c>
      <c r="C36" s="101">
        <v>4.5499999999999999E-2</v>
      </c>
      <c r="D36" s="101">
        <v>4.6899999999999997E-2</v>
      </c>
      <c r="E36" s="101">
        <v>4.8399999999999999E-2</v>
      </c>
      <c r="F36" s="101">
        <v>0.05</v>
      </c>
      <c r="G36" s="101">
        <v>5.16E-2</v>
      </c>
      <c r="H36" s="101">
        <v>5.3100000000000001E-2</v>
      </c>
      <c r="I36" s="101">
        <v>5.4699999999999999E-2</v>
      </c>
      <c r="J36" s="101">
        <v>5.6300000000000003E-2</v>
      </c>
      <c r="K36" s="101">
        <v>5.8900000000000001E-2</v>
      </c>
    </row>
    <row r="37" spans="1:11" x14ac:dyDescent="0.25">
      <c r="A37" s="86">
        <v>10</v>
      </c>
      <c r="B37" s="101">
        <v>3.8899999999999997E-2</v>
      </c>
      <c r="C37" s="101">
        <v>4.5600000000000002E-2</v>
      </c>
      <c r="D37" s="101">
        <v>4.7E-2</v>
      </c>
      <c r="E37" s="101">
        <v>4.8500000000000001E-2</v>
      </c>
      <c r="F37" s="101">
        <v>5.0099999999999999E-2</v>
      </c>
      <c r="G37" s="101">
        <v>5.1700000000000003E-2</v>
      </c>
      <c r="H37" s="101">
        <v>5.3199999999999997E-2</v>
      </c>
      <c r="I37" s="101">
        <v>5.4800000000000001E-2</v>
      </c>
      <c r="J37" s="101">
        <v>5.6399999999999999E-2</v>
      </c>
      <c r="K37" s="101">
        <v>5.9200000000000003E-2</v>
      </c>
    </row>
    <row r="38" spans="1:11" x14ac:dyDescent="0.25">
      <c r="A38" s="86">
        <v>11</v>
      </c>
      <c r="B38" s="101">
        <v>4.2599999999999999E-2</v>
      </c>
      <c r="C38" s="101">
        <v>4.5699999999999998E-2</v>
      </c>
      <c r="D38" s="101">
        <v>4.7100000000000003E-2</v>
      </c>
      <c r="E38" s="101">
        <v>4.8599999999999997E-2</v>
      </c>
      <c r="F38" s="101">
        <v>5.0299999999999997E-2</v>
      </c>
      <c r="G38" s="101">
        <v>5.1799999999999999E-2</v>
      </c>
      <c r="H38" s="101">
        <v>5.3400000000000003E-2</v>
      </c>
      <c r="I38" s="101">
        <v>5.4899999999999997E-2</v>
      </c>
      <c r="J38" s="101">
        <v>5.6500000000000002E-2</v>
      </c>
      <c r="K38" s="101">
        <v>5.9400000000000001E-2</v>
      </c>
    </row>
    <row r="44" spans="1:11" ht="39.6" customHeight="1" x14ac:dyDescent="0.25"/>
    <row r="46" spans="1:11" ht="27.6" customHeight="1" x14ac:dyDescent="0.25"/>
  </sheetData>
  <sheetProtection algorithmName="SHA-512" hashValue="neFelSEBJzcztEed3bZVEwW4fQOeTk7OXLTyURTT9DdoWLHfGpa7dL4CGAy0dl0Up0zknRHPv9NCFTBDtlzENw==" saltValue="cvt/A5TPEw2Y/fDcMkXJoQ==" spinCount="100000" sheet="1" objects="1" scenarios="1"/>
  <conditionalFormatting sqref="A6:A21">
    <cfRule type="expression" dxfId="347" priority="1" stopIfTrue="1">
      <formula>MOD(ROW(),2)=0</formula>
    </cfRule>
    <cfRule type="expression" dxfId="346" priority="2" stopIfTrue="1">
      <formula>MOD(ROW(),2)&lt;&gt;0</formula>
    </cfRule>
  </conditionalFormatting>
  <conditionalFormatting sqref="A26:A38">
    <cfRule type="expression" dxfId="345" priority="3" stopIfTrue="1">
      <formula>MOD(ROW(),2)=0</formula>
    </cfRule>
    <cfRule type="expression" dxfId="344" priority="4" stopIfTrue="1">
      <formula>MOD(ROW(),2)&lt;&gt;0</formula>
    </cfRule>
  </conditionalFormatting>
  <conditionalFormatting sqref="B16:B21">
    <cfRule type="expression" dxfId="343" priority="7" stopIfTrue="1">
      <formula>MOD(ROW(),2)=0</formula>
    </cfRule>
    <cfRule type="expression" dxfId="342" priority="8" stopIfTrue="1">
      <formula>MOD(ROW(),2)&lt;&gt;0</formula>
    </cfRule>
  </conditionalFormatting>
  <conditionalFormatting sqref="B6:K21">
    <cfRule type="expression" dxfId="341" priority="27" stopIfTrue="1">
      <formula>MOD(ROW(),2)=0</formula>
    </cfRule>
    <cfRule type="expression" dxfId="340" priority="28" stopIfTrue="1">
      <formula>MOD(ROW(),2)&lt;&gt;0</formula>
    </cfRule>
  </conditionalFormatting>
  <conditionalFormatting sqref="B26:K38">
    <cfRule type="expression" dxfId="339" priority="5" stopIfTrue="1">
      <formula>MOD(ROW(),2)=0</formula>
    </cfRule>
    <cfRule type="expression" dxfId="338" priority="6" stopIfTrue="1">
      <formula>MOD(ROW(),2)&lt;&gt;0</formula>
    </cfRule>
  </conditionalFormatting>
  <hyperlinks>
    <hyperlink ref="B24" location="Assumptions!A1" display="Assumptions" xr:uid="{D7743AA5-FAEA-4F7E-BBC0-887B6C207F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3"/>
  <dimension ref="A1:L46"/>
  <sheetViews>
    <sheetView showGridLines="0" topLeftCell="A3" zoomScale="84" zoomScaleNormal="84" workbookViewId="0">
      <selection activeCell="B6" sqref="B6:L21"/>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Fire England - Consolidated Factor Spreadsheet</v>
      </c>
      <c r="B2" s="42"/>
      <c r="C2" s="42"/>
      <c r="D2" s="42"/>
      <c r="E2" s="42"/>
      <c r="F2" s="42"/>
      <c r="G2" s="42"/>
      <c r="H2" s="42"/>
      <c r="I2" s="42"/>
    </row>
    <row r="3" spans="1:12" ht="15.6" x14ac:dyDescent="0.3">
      <c r="A3" s="43" t="str">
        <f>TABLE_FACTOR_TYPE_1&amp;" - x-"&amp;TABLE_SERIES_NUMBER_1</f>
        <v>LRF - x-406</v>
      </c>
      <c r="B3" s="42"/>
      <c r="C3" s="42"/>
      <c r="D3" s="42"/>
      <c r="E3" s="42"/>
      <c r="F3" s="42"/>
      <c r="G3" s="42"/>
      <c r="H3" s="42"/>
      <c r="I3" s="42"/>
    </row>
    <row r="4" spans="1:12" x14ac:dyDescent="0.25">
      <c r="A4" s="44"/>
    </row>
    <row r="6" spans="1:12" x14ac:dyDescent="0.25">
      <c r="A6" s="74" t="s">
        <v>334</v>
      </c>
      <c r="B6" s="148" t="s">
        <v>335</v>
      </c>
      <c r="C6" s="148"/>
      <c r="D6" s="148"/>
      <c r="E6" s="148"/>
      <c r="F6" s="148"/>
      <c r="G6" s="148"/>
      <c r="H6" s="148"/>
      <c r="I6" s="148"/>
      <c r="J6" s="148"/>
      <c r="K6" s="148"/>
      <c r="L6" s="148"/>
    </row>
    <row r="7" spans="1:12" x14ac:dyDescent="0.25">
      <c r="A7" s="76" t="s">
        <v>78</v>
      </c>
      <c r="B7" s="148" t="s">
        <v>67</v>
      </c>
      <c r="C7" s="148"/>
      <c r="D7" s="148"/>
      <c r="E7" s="148"/>
      <c r="F7" s="148"/>
      <c r="G7" s="148"/>
      <c r="H7" s="148"/>
      <c r="I7" s="148"/>
      <c r="J7" s="148"/>
      <c r="K7" s="148"/>
      <c r="L7" s="148"/>
    </row>
    <row r="8" spans="1:12" x14ac:dyDescent="0.25">
      <c r="A8" s="76" t="s">
        <v>79</v>
      </c>
      <c r="B8" s="148">
        <v>2015</v>
      </c>
      <c r="C8" s="148"/>
      <c r="D8" s="148"/>
      <c r="E8" s="148"/>
      <c r="F8" s="148"/>
      <c r="G8" s="148"/>
      <c r="H8" s="148"/>
      <c r="I8" s="148"/>
      <c r="J8" s="148"/>
      <c r="K8" s="148"/>
      <c r="L8" s="148"/>
    </row>
    <row r="9" spans="1:12" x14ac:dyDescent="0.25">
      <c r="A9" s="76" t="s">
        <v>80</v>
      </c>
      <c r="B9" s="148" t="s">
        <v>220</v>
      </c>
      <c r="C9" s="148"/>
      <c r="D9" s="148"/>
      <c r="E9" s="148"/>
      <c r="F9" s="148"/>
      <c r="G9" s="148"/>
      <c r="H9" s="148"/>
      <c r="I9" s="148"/>
      <c r="J9" s="148"/>
      <c r="K9" s="148"/>
      <c r="L9" s="148"/>
    </row>
    <row r="10" spans="1:12" x14ac:dyDescent="0.25">
      <c r="A10" s="76" t="s">
        <v>6</v>
      </c>
      <c r="B10" s="148" t="s">
        <v>229</v>
      </c>
      <c r="C10" s="148"/>
      <c r="D10" s="148"/>
      <c r="E10" s="148"/>
      <c r="F10" s="148"/>
      <c r="G10" s="148"/>
      <c r="H10" s="148"/>
      <c r="I10" s="148"/>
      <c r="J10" s="148"/>
      <c r="K10" s="148"/>
      <c r="L10" s="148"/>
    </row>
    <row r="11" spans="1:12" x14ac:dyDescent="0.25">
      <c r="A11" s="76" t="s">
        <v>81</v>
      </c>
      <c r="B11" s="148" t="s">
        <v>176</v>
      </c>
      <c r="C11" s="148"/>
      <c r="D11" s="148"/>
      <c r="E11" s="148"/>
      <c r="F11" s="148"/>
      <c r="G11" s="148"/>
      <c r="H11" s="148"/>
      <c r="I11" s="148"/>
      <c r="J11" s="148"/>
      <c r="K11" s="148"/>
      <c r="L11" s="148"/>
    </row>
    <row r="12" spans="1:12" x14ac:dyDescent="0.25">
      <c r="A12" s="151" t="s">
        <v>82</v>
      </c>
      <c r="B12" s="148" t="s">
        <v>230</v>
      </c>
      <c r="C12" s="148"/>
      <c r="D12" s="148"/>
      <c r="E12" s="148"/>
      <c r="F12" s="148"/>
      <c r="G12" s="148"/>
      <c r="H12" s="148"/>
      <c r="I12" s="148"/>
      <c r="J12" s="148"/>
      <c r="K12" s="148"/>
      <c r="L12" s="148"/>
    </row>
    <row r="13" spans="1:12" x14ac:dyDescent="0.25">
      <c r="A13" s="76" t="s">
        <v>342</v>
      </c>
      <c r="B13" s="148">
        <v>0</v>
      </c>
      <c r="C13" s="148"/>
      <c r="D13" s="148"/>
      <c r="E13" s="148"/>
      <c r="F13" s="148"/>
      <c r="G13" s="148"/>
      <c r="H13" s="148"/>
      <c r="I13" s="148"/>
      <c r="J13" s="148"/>
      <c r="K13" s="148"/>
      <c r="L13" s="148"/>
    </row>
    <row r="14" spans="1:12" x14ac:dyDescent="0.25">
      <c r="A14" s="76" t="s">
        <v>84</v>
      </c>
      <c r="B14" s="148">
        <v>406</v>
      </c>
      <c r="C14" s="148"/>
      <c r="D14" s="148"/>
      <c r="E14" s="148"/>
      <c r="F14" s="148"/>
      <c r="G14" s="148"/>
      <c r="H14" s="148"/>
      <c r="I14" s="148"/>
      <c r="J14" s="148"/>
      <c r="K14" s="148"/>
      <c r="L14" s="148"/>
    </row>
    <row r="15" spans="1:12" x14ac:dyDescent="0.25">
      <c r="A15" s="76" t="s">
        <v>345</v>
      </c>
      <c r="B15" s="148" t="s">
        <v>231</v>
      </c>
      <c r="C15" s="148"/>
      <c r="D15" s="148"/>
      <c r="E15" s="148"/>
      <c r="F15" s="148"/>
      <c r="G15" s="148"/>
      <c r="H15" s="148"/>
      <c r="I15" s="148"/>
      <c r="J15" s="148"/>
      <c r="K15" s="148"/>
      <c r="L15" s="148"/>
    </row>
    <row r="16" spans="1:12" x14ac:dyDescent="0.25">
      <c r="A16" s="76" t="s">
        <v>86</v>
      </c>
      <c r="B16" s="148" t="s">
        <v>232</v>
      </c>
      <c r="C16" s="148"/>
      <c r="D16" s="148"/>
      <c r="E16" s="148"/>
      <c r="F16" s="148"/>
      <c r="G16" s="148"/>
      <c r="H16" s="148"/>
      <c r="I16" s="148"/>
      <c r="J16" s="148"/>
      <c r="K16" s="148"/>
      <c r="L16" s="148"/>
    </row>
    <row r="17" spans="1:12" x14ac:dyDescent="0.25">
      <c r="A17" s="151" t="s">
        <v>414</v>
      </c>
      <c r="B17" s="148"/>
      <c r="C17" s="148"/>
      <c r="D17" s="148"/>
      <c r="E17" s="148"/>
      <c r="F17" s="148"/>
      <c r="G17" s="148"/>
      <c r="H17" s="148"/>
      <c r="I17" s="148"/>
      <c r="J17" s="148"/>
      <c r="K17" s="148"/>
      <c r="L17" s="148"/>
    </row>
    <row r="18" spans="1:12" x14ac:dyDescent="0.25">
      <c r="A18" s="151" t="s">
        <v>88</v>
      </c>
      <c r="B18" s="152">
        <v>45106</v>
      </c>
      <c r="C18" s="148"/>
      <c r="D18" s="148"/>
      <c r="E18" s="148"/>
      <c r="F18" s="148"/>
      <c r="G18" s="148"/>
      <c r="H18" s="148"/>
      <c r="I18" s="148"/>
      <c r="J18" s="148"/>
      <c r="K18" s="148"/>
      <c r="L18" s="148"/>
    </row>
    <row r="19" spans="1:12" x14ac:dyDescent="0.25">
      <c r="A19" s="151" t="s">
        <v>89</v>
      </c>
      <c r="B19" s="152">
        <v>45110</v>
      </c>
      <c r="C19" s="148"/>
      <c r="D19" s="148"/>
      <c r="E19" s="148"/>
      <c r="F19" s="148"/>
      <c r="G19" s="148"/>
      <c r="H19" s="148"/>
      <c r="I19" s="148"/>
      <c r="J19" s="148"/>
      <c r="K19" s="148"/>
      <c r="L19" s="148"/>
    </row>
    <row r="20" spans="1:12" x14ac:dyDescent="0.25">
      <c r="A20" s="151" t="s">
        <v>90</v>
      </c>
      <c r="B20" s="148" t="s">
        <v>98</v>
      </c>
      <c r="C20" s="148"/>
      <c r="D20" s="148"/>
      <c r="E20" s="148"/>
      <c r="F20" s="148"/>
      <c r="G20" s="148"/>
      <c r="H20" s="148"/>
      <c r="I20" s="148"/>
      <c r="J20" s="148"/>
      <c r="K20" s="148"/>
      <c r="L20" s="148"/>
    </row>
    <row r="21" spans="1:12" x14ac:dyDescent="0.25">
      <c r="A21" s="72" t="s">
        <v>91</v>
      </c>
      <c r="B21" s="148" t="s">
        <v>99</v>
      </c>
      <c r="C21" s="148"/>
      <c r="D21" s="148"/>
      <c r="E21" s="148"/>
      <c r="F21" s="148"/>
      <c r="G21" s="148"/>
      <c r="H21" s="148"/>
      <c r="I21" s="148"/>
      <c r="J21" s="148"/>
      <c r="K21" s="148"/>
      <c r="L21" s="148"/>
    </row>
    <row r="23" spans="1:12" x14ac:dyDescent="0.25">
      <c r="B23" s="89" t="str">
        <f>HYPERLINK("#'Factor List'!A1","Back to Factor List")</f>
        <v>Back to Factor List</v>
      </c>
    </row>
    <row r="24" spans="1:12" x14ac:dyDescent="0.25">
      <c r="B24" s="89" t="s">
        <v>13</v>
      </c>
    </row>
    <row r="26" spans="1:12" x14ac:dyDescent="0.25">
      <c r="A26" s="85" t="s">
        <v>439</v>
      </c>
      <c r="B26" s="85">
        <v>59</v>
      </c>
      <c r="C26" s="85">
        <v>60</v>
      </c>
      <c r="D26" s="85">
        <v>61</v>
      </c>
      <c r="E26" s="85">
        <v>62</v>
      </c>
      <c r="F26" s="85">
        <v>63</v>
      </c>
      <c r="G26" s="85">
        <v>64</v>
      </c>
      <c r="H26" s="85">
        <v>65</v>
      </c>
      <c r="I26" s="85">
        <v>66</v>
      </c>
      <c r="J26" s="85">
        <v>67</v>
      </c>
      <c r="K26" s="85">
        <v>68</v>
      </c>
      <c r="L26" s="85">
        <v>69</v>
      </c>
    </row>
    <row r="27" spans="1:12" x14ac:dyDescent="0.25">
      <c r="A27" s="86">
        <v>0</v>
      </c>
      <c r="B27" s="101">
        <v>0</v>
      </c>
      <c r="C27" s="101">
        <v>0</v>
      </c>
      <c r="D27" s="101">
        <v>0</v>
      </c>
      <c r="E27" s="101">
        <v>0</v>
      </c>
      <c r="F27" s="101">
        <v>0</v>
      </c>
      <c r="G27" s="101">
        <v>0</v>
      </c>
      <c r="H27" s="101">
        <v>0</v>
      </c>
      <c r="I27" s="101">
        <v>0</v>
      </c>
      <c r="J27" s="101">
        <v>0</v>
      </c>
      <c r="K27" s="101">
        <v>0</v>
      </c>
      <c r="L27" s="101">
        <v>0</v>
      </c>
    </row>
    <row r="28" spans="1:12" x14ac:dyDescent="0.25">
      <c r="A28" s="86">
        <v>1</v>
      </c>
      <c r="B28" s="101">
        <v>2E-3</v>
      </c>
      <c r="C28" s="101">
        <v>2E-3</v>
      </c>
      <c r="D28" s="101">
        <v>2E-3</v>
      </c>
      <c r="E28" s="101">
        <v>2E-3</v>
      </c>
      <c r="F28" s="101">
        <v>3.0000000000000001E-3</v>
      </c>
      <c r="G28" s="101">
        <v>3.0000000000000001E-3</v>
      </c>
      <c r="H28" s="101">
        <v>3.0000000000000001E-3</v>
      </c>
      <c r="I28" s="101">
        <v>3.0000000000000001E-3</v>
      </c>
      <c r="J28" s="101">
        <v>3.0000000000000001E-3</v>
      </c>
      <c r="K28" s="101">
        <v>3.0000000000000001E-3</v>
      </c>
      <c r="L28" s="101">
        <v>3.0000000000000001E-3</v>
      </c>
    </row>
    <row r="29" spans="1:12" x14ac:dyDescent="0.25">
      <c r="A29" s="86">
        <v>2</v>
      </c>
      <c r="B29" s="101">
        <v>4.0000000000000001E-3</v>
      </c>
      <c r="C29" s="101">
        <v>4.0000000000000001E-3</v>
      </c>
      <c r="D29" s="101">
        <v>5.0000000000000001E-3</v>
      </c>
      <c r="E29" s="101">
        <v>5.0000000000000001E-3</v>
      </c>
      <c r="F29" s="101">
        <v>5.0000000000000001E-3</v>
      </c>
      <c r="G29" s="101">
        <v>5.0000000000000001E-3</v>
      </c>
      <c r="H29" s="101">
        <v>6.0000000000000001E-3</v>
      </c>
      <c r="I29" s="101">
        <v>6.0000000000000001E-3</v>
      </c>
      <c r="J29" s="101">
        <v>6.0000000000000001E-3</v>
      </c>
      <c r="K29" s="101">
        <v>6.0000000000000001E-3</v>
      </c>
      <c r="L29" s="101">
        <v>7.0000000000000001E-3</v>
      </c>
    </row>
    <row r="30" spans="1:12" x14ac:dyDescent="0.25">
      <c r="A30" s="86">
        <v>3</v>
      </c>
      <c r="B30" s="101">
        <v>7.0000000000000001E-3</v>
      </c>
      <c r="C30" s="101">
        <v>7.0000000000000001E-3</v>
      </c>
      <c r="D30" s="101">
        <v>7.0000000000000001E-3</v>
      </c>
      <c r="E30" s="101">
        <v>7.0000000000000001E-3</v>
      </c>
      <c r="F30" s="101">
        <v>8.0000000000000002E-3</v>
      </c>
      <c r="G30" s="101">
        <v>8.0000000000000002E-3</v>
      </c>
      <c r="H30" s="101">
        <v>8.0000000000000002E-3</v>
      </c>
      <c r="I30" s="101">
        <v>8.9999999999999993E-3</v>
      </c>
      <c r="J30" s="101">
        <v>8.9999999999999993E-3</v>
      </c>
      <c r="K30" s="101">
        <v>0.01</v>
      </c>
      <c r="L30" s="101">
        <v>0.01</v>
      </c>
    </row>
    <row r="31" spans="1:12" x14ac:dyDescent="0.25">
      <c r="A31" s="86">
        <v>4</v>
      </c>
      <c r="B31" s="101">
        <v>8.9999999999999993E-3</v>
      </c>
      <c r="C31" s="101">
        <v>8.9999999999999993E-3</v>
      </c>
      <c r="D31" s="101">
        <v>8.9999999999999993E-3</v>
      </c>
      <c r="E31" s="101">
        <v>0.01</v>
      </c>
      <c r="F31" s="101">
        <v>0.01</v>
      </c>
      <c r="G31" s="101">
        <v>1.0999999999999999E-2</v>
      </c>
      <c r="H31" s="101">
        <v>1.0999999999999999E-2</v>
      </c>
      <c r="I31" s="101">
        <v>1.2E-2</v>
      </c>
      <c r="J31" s="101">
        <v>1.2E-2</v>
      </c>
      <c r="K31" s="101">
        <v>1.2999999999999999E-2</v>
      </c>
      <c r="L31" s="101">
        <v>1.4E-2</v>
      </c>
    </row>
    <row r="32" spans="1:12" x14ac:dyDescent="0.25">
      <c r="A32" s="86">
        <v>5</v>
      </c>
      <c r="B32" s="101">
        <v>1.0999999999999999E-2</v>
      </c>
      <c r="C32" s="101">
        <v>1.0999999999999999E-2</v>
      </c>
      <c r="D32" s="101">
        <v>1.2E-2</v>
      </c>
      <c r="E32" s="101">
        <v>1.2E-2</v>
      </c>
      <c r="F32" s="101">
        <v>1.2999999999999999E-2</v>
      </c>
      <c r="G32" s="101">
        <v>1.2999999999999999E-2</v>
      </c>
      <c r="H32" s="101">
        <v>1.4E-2</v>
      </c>
      <c r="I32" s="101">
        <v>1.4999999999999999E-2</v>
      </c>
      <c r="J32" s="101">
        <v>1.4999999999999999E-2</v>
      </c>
      <c r="K32" s="101">
        <v>1.6E-2</v>
      </c>
      <c r="L32" s="101">
        <v>1.7000000000000001E-2</v>
      </c>
    </row>
    <row r="33" spans="1:12" x14ac:dyDescent="0.25">
      <c r="A33" s="86">
        <v>6</v>
      </c>
      <c r="B33" s="101">
        <v>1.2999999999999999E-2</v>
      </c>
      <c r="C33" s="101">
        <v>1.2999999999999999E-2</v>
      </c>
      <c r="D33" s="101">
        <v>1.4E-2</v>
      </c>
      <c r="E33" s="101">
        <v>1.4999999999999999E-2</v>
      </c>
      <c r="F33" s="101">
        <v>1.4999999999999999E-2</v>
      </c>
      <c r="G33" s="101">
        <v>1.6E-2</v>
      </c>
      <c r="H33" s="101">
        <v>1.7000000000000001E-2</v>
      </c>
      <c r="I33" s="101">
        <v>1.7999999999999999E-2</v>
      </c>
      <c r="J33" s="101">
        <v>1.7999999999999999E-2</v>
      </c>
      <c r="K33" s="101">
        <v>1.9E-2</v>
      </c>
      <c r="L33" s="101">
        <v>2.1000000000000001E-2</v>
      </c>
    </row>
    <row r="34" spans="1:12" x14ac:dyDescent="0.25">
      <c r="A34" s="86">
        <v>7</v>
      </c>
      <c r="B34" s="101">
        <v>1.4999999999999999E-2</v>
      </c>
      <c r="C34" s="101">
        <v>1.4999999999999999E-2</v>
      </c>
      <c r="D34" s="101">
        <v>1.6E-2</v>
      </c>
      <c r="E34" s="101">
        <v>1.7000000000000001E-2</v>
      </c>
      <c r="F34" s="101">
        <v>1.7999999999999999E-2</v>
      </c>
      <c r="G34" s="101">
        <v>1.9E-2</v>
      </c>
      <c r="H34" s="101">
        <v>0.02</v>
      </c>
      <c r="I34" s="101">
        <v>2.1000000000000001E-2</v>
      </c>
      <c r="J34" s="101">
        <v>2.1000000000000001E-2</v>
      </c>
      <c r="K34" s="101">
        <v>2.1999999999999999E-2</v>
      </c>
      <c r="L34" s="101">
        <v>2.4E-2</v>
      </c>
    </row>
    <row r="35" spans="1:12" x14ac:dyDescent="0.25">
      <c r="A35" s="86">
        <v>8</v>
      </c>
      <c r="B35" s="101">
        <v>1.7999999999999999E-2</v>
      </c>
      <c r="C35" s="101">
        <v>1.7999999999999999E-2</v>
      </c>
      <c r="D35" s="101">
        <v>1.7999999999999999E-2</v>
      </c>
      <c r="E35" s="101">
        <v>1.9E-2</v>
      </c>
      <c r="F35" s="101">
        <v>0.02</v>
      </c>
      <c r="G35" s="101">
        <v>2.1000000000000001E-2</v>
      </c>
      <c r="H35" s="101">
        <v>2.1999999999999999E-2</v>
      </c>
      <c r="I35" s="101">
        <v>2.3E-2</v>
      </c>
      <c r="J35" s="101">
        <v>2.4E-2</v>
      </c>
      <c r="K35" s="101">
        <v>2.5999999999999999E-2</v>
      </c>
      <c r="L35" s="101">
        <v>2.7E-2</v>
      </c>
    </row>
    <row r="36" spans="1:12" x14ac:dyDescent="0.25">
      <c r="A36" s="86">
        <v>9</v>
      </c>
      <c r="B36" s="101">
        <v>0.02</v>
      </c>
      <c r="C36" s="101">
        <v>0.02</v>
      </c>
      <c r="D36" s="101">
        <v>2.1000000000000001E-2</v>
      </c>
      <c r="E36" s="101">
        <v>2.1999999999999999E-2</v>
      </c>
      <c r="F36" s="101">
        <v>2.3E-2</v>
      </c>
      <c r="G36" s="101">
        <v>2.4E-2</v>
      </c>
      <c r="H36" s="101">
        <v>2.5000000000000001E-2</v>
      </c>
      <c r="I36" s="101">
        <v>2.5999999999999999E-2</v>
      </c>
      <c r="J36" s="101">
        <v>2.8000000000000001E-2</v>
      </c>
      <c r="K36" s="101">
        <v>2.9000000000000001E-2</v>
      </c>
      <c r="L36" s="101">
        <v>3.1E-2</v>
      </c>
    </row>
    <row r="37" spans="1:12" x14ac:dyDescent="0.25">
      <c r="A37" s="86">
        <v>10</v>
      </c>
      <c r="B37" s="101">
        <v>2.1999999999999999E-2</v>
      </c>
      <c r="C37" s="101">
        <v>2.1999999999999999E-2</v>
      </c>
      <c r="D37" s="101">
        <v>2.3E-2</v>
      </c>
      <c r="E37" s="101">
        <v>2.4E-2</v>
      </c>
      <c r="F37" s="101">
        <v>2.5000000000000001E-2</v>
      </c>
      <c r="G37" s="101">
        <v>2.7E-2</v>
      </c>
      <c r="H37" s="101">
        <v>2.8000000000000001E-2</v>
      </c>
      <c r="I37" s="101">
        <v>2.9000000000000001E-2</v>
      </c>
      <c r="J37" s="101">
        <v>3.1E-2</v>
      </c>
      <c r="K37" s="101">
        <v>3.2000000000000001E-2</v>
      </c>
      <c r="L37" s="101">
        <v>3.4000000000000002E-2</v>
      </c>
    </row>
    <row r="38" spans="1:12" x14ac:dyDescent="0.25">
      <c r="A38" s="86">
        <v>11</v>
      </c>
      <c r="B38" s="101">
        <v>2.4E-2</v>
      </c>
      <c r="C38" s="101">
        <v>2.4E-2</v>
      </c>
      <c r="D38" s="101">
        <v>2.5000000000000001E-2</v>
      </c>
      <c r="E38" s="101">
        <v>2.7E-2</v>
      </c>
      <c r="F38" s="101">
        <v>2.8000000000000001E-2</v>
      </c>
      <c r="G38" s="101">
        <v>2.9000000000000001E-2</v>
      </c>
      <c r="H38" s="101">
        <v>3.1E-2</v>
      </c>
      <c r="I38" s="101">
        <v>3.2000000000000001E-2</v>
      </c>
      <c r="J38" s="101">
        <v>3.4000000000000002E-2</v>
      </c>
      <c r="K38" s="101">
        <v>3.5000000000000003E-2</v>
      </c>
      <c r="L38" s="101">
        <v>3.7999999999999999E-2</v>
      </c>
    </row>
    <row r="44" spans="1:12" ht="39.6" customHeight="1" x14ac:dyDescent="0.25"/>
    <row r="46" spans="1:12" ht="27.6" customHeight="1" x14ac:dyDescent="0.25"/>
  </sheetData>
  <sheetProtection algorithmName="SHA-512" hashValue="6wEPNSOomyGYFTmT/Zgi2MHbUru+7frgW0tsrViv0dxJgJHiwyGh6yqJnw4VOr6wcg2l8wiIoZy5o4ZNBxwetg==" saltValue="YEytj89b0fEPSqoUgVgDHg==" spinCount="100000" sheet="1" objects="1" scenarios="1"/>
  <conditionalFormatting sqref="A6:A21">
    <cfRule type="expression" dxfId="337" priority="1" stopIfTrue="1">
      <formula>MOD(ROW(),2)=0</formula>
    </cfRule>
    <cfRule type="expression" dxfId="336" priority="2" stopIfTrue="1">
      <formula>MOD(ROW(),2)&lt;&gt;0</formula>
    </cfRule>
  </conditionalFormatting>
  <conditionalFormatting sqref="A26:A38">
    <cfRule type="expression" dxfId="335" priority="3" stopIfTrue="1">
      <formula>MOD(ROW(),2)=0</formula>
    </cfRule>
    <cfRule type="expression" dxfId="334" priority="4" stopIfTrue="1">
      <formula>MOD(ROW(),2)&lt;&gt;0</formula>
    </cfRule>
  </conditionalFormatting>
  <conditionalFormatting sqref="B16:B21">
    <cfRule type="expression" dxfId="333" priority="7" stopIfTrue="1">
      <formula>MOD(ROW(),2)=0</formula>
    </cfRule>
    <cfRule type="expression" dxfId="332" priority="8" stopIfTrue="1">
      <formula>MOD(ROW(),2)&lt;&gt;0</formula>
    </cfRule>
  </conditionalFormatting>
  <conditionalFormatting sqref="B6:L21">
    <cfRule type="expression" dxfId="331" priority="31" stopIfTrue="1">
      <formula>MOD(ROW(),2)=0</formula>
    </cfRule>
    <cfRule type="expression" dxfId="330" priority="32" stopIfTrue="1">
      <formula>MOD(ROW(),2)&lt;&gt;0</formula>
    </cfRule>
  </conditionalFormatting>
  <conditionalFormatting sqref="B26:L38">
    <cfRule type="expression" dxfId="329" priority="5" stopIfTrue="1">
      <formula>MOD(ROW(),2)=0</formula>
    </cfRule>
    <cfRule type="expression" dxfId="328" priority="6" stopIfTrue="1">
      <formula>MOD(ROW(),2)&lt;&gt;0</formula>
    </cfRule>
  </conditionalFormatting>
  <hyperlinks>
    <hyperlink ref="B24" location="Assumptions!A1" display="Assumptions" xr:uid="{E38A0E25-25F3-4313-90B3-A8CE7432CA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4"/>
  <dimension ref="A1:L46"/>
  <sheetViews>
    <sheetView showGridLines="0" topLeftCell="A3" zoomScale="84" zoomScaleNormal="84" workbookViewId="0">
      <selection activeCell="B6" sqref="B6:L21"/>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row>
    <row r="2" spans="1:12" ht="15.6" x14ac:dyDescent="0.3">
      <c r="A2" s="41" t="str">
        <f>IF(title="&gt; Enter workbook title here","Enter workbook title in Cover sheet",title)</f>
        <v>Fire England - Consolidated Factor Spreadsheet</v>
      </c>
      <c r="B2" s="42"/>
      <c r="C2" s="42"/>
      <c r="D2" s="42"/>
      <c r="E2" s="42"/>
      <c r="F2" s="42"/>
      <c r="G2" s="42"/>
      <c r="H2" s="42"/>
      <c r="I2" s="42"/>
    </row>
    <row r="3" spans="1:12" ht="15.6" x14ac:dyDescent="0.3">
      <c r="A3" s="43" t="str">
        <f>TABLE_FACTOR_TYPE_1&amp;" - x-"&amp;TABLE_SERIES_NUMBER_1</f>
        <v>LRF - x-407</v>
      </c>
      <c r="B3" s="42"/>
      <c r="C3" s="42"/>
      <c r="D3" s="42"/>
      <c r="E3" s="42"/>
      <c r="F3" s="42"/>
      <c r="G3" s="42"/>
      <c r="H3" s="42"/>
      <c r="I3" s="42"/>
    </row>
    <row r="4" spans="1:12" x14ac:dyDescent="0.25">
      <c r="A4" s="44"/>
    </row>
    <row r="6" spans="1:12" x14ac:dyDescent="0.25">
      <c r="A6" s="74" t="s">
        <v>334</v>
      </c>
      <c r="B6" s="148" t="s">
        <v>335</v>
      </c>
      <c r="C6" s="148"/>
      <c r="D6" s="148"/>
      <c r="E6" s="148"/>
      <c r="F6" s="148"/>
      <c r="G6" s="148"/>
      <c r="H6" s="148"/>
      <c r="I6" s="148"/>
      <c r="J6" s="148"/>
      <c r="K6" s="148"/>
      <c r="L6" s="148"/>
    </row>
    <row r="7" spans="1:12" x14ac:dyDescent="0.25">
      <c r="A7" s="76" t="s">
        <v>78</v>
      </c>
      <c r="B7" s="148" t="s">
        <v>67</v>
      </c>
      <c r="C7" s="148"/>
      <c r="D7" s="148"/>
      <c r="E7" s="148"/>
      <c r="F7" s="148"/>
      <c r="G7" s="148"/>
      <c r="H7" s="148"/>
      <c r="I7" s="148"/>
      <c r="J7" s="148"/>
      <c r="K7" s="148"/>
      <c r="L7" s="148"/>
    </row>
    <row r="8" spans="1:12" x14ac:dyDescent="0.25">
      <c r="A8" s="76" t="s">
        <v>79</v>
      </c>
      <c r="B8" s="148">
        <v>2015</v>
      </c>
      <c r="C8" s="148"/>
      <c r="D8" s="148"/>
      <c r="E8" s="148"/>
      <c r="F8" s="148"/>
      <c r="G8" s="148"/>
      <c r="H8" s="148"/>
      <c r="I8" s="148"/>
      <c r="J8" s="148"/>
      <c r="K8" s="148"/>
      <c r="L8" s="148"/>
    </row>
    <row r="9" spans="1:12" x14ac:dyDescent="0.25">
      <c r="A9" s="76" t="s">
        <v>80</v>
      </c>
      <c r="B9" s="148" t="s">
        <v>220</v>
      </c>
      <c r="C9" s="148"/>
      <c r="D9" s="148"/>
      <c r="E9" s="148"/>
      <c r="F9" s="148"/>
      <c r="G9" s="148"/>
      <c r="H9" s="148"/>
      <c r="I9" s="148"/>
      <c r="J9" s="148"/>
      <c r="K9" s="148"/>
      <c r="L9" s="148"/>
    </row>
    <row r="10" spans="1:12" x14ac:dyDescent="0.25">
      <c r="A10" s="76" t="s">
        <v>6</v>
      </c>
      <c r="B10" s="148" t="s">
        <v>233</v>
      </c>
      <c r="C10" s="148"/>
      <c r="D10" s="148"/>
      <c r="E10" s="148"/>
      <c r="F10" s="148"/>
      <c r="G10" s="148"/>
      <c r="H10" s="148"/>
      <c r="I10" s="148"/>
      <c r="J10" s="148"/>
      <c r="K10" s="148"/>
      <c r="L10" s="148"/>
    </row>
    <row r="11" spans="1:12" x14ac:dyDescent="0.25">
      <c r="A11" s="76" t="s">
        <v>81</v>
      </c>
      <c r="B11" s="148" t="s">
        <v>176</v>
      </c>
      <c r="C11" s="148"/>
      <c r="D11" s="148"/>
      <c r="E11" s="148"/>
      <c r="F11" s="148"/>
      <c r="G11" s="148"/>
      <c r="H11" s="148"/>
      <c r="I11" s="148"/>
      <c r="J11" s="148"/>
      <c r="K11" s="148"/>
      <c r="L11" s="148"/>
    </row>
    <row r="12" spans="1:12" x14ac:dyDescent="0.25">
      <c r="A12" s="151" t="s">
        <v>82</v>
      </c>
      <c r="B12" s="148" t="s">
        <v>230</v>
      </c>
      <c r="C12" s="148"/>
      <c r="D12" s="148"/>
      <c r="E12" s="148"/>
      <c r="F12" s="148"/>
      <c r="G12" s="148"/>
      <c r="H12" s="148"/>
      <c r="I12" s="148"/>
      <c r="J12" s="148"/>
      <c r="K12" s="148"/>
      <c r="L12" s="148"/>
    </row>
    <row r="13" spans="1:12" x14ac:dyDescent="0.25">
      <c r="A13" s="76" t="s">
        <v>342</v>
      </c>
      <c r="B13" s="148">
        <v>0</v>
      </c>
      <c r="C13" s="148"/>
      <c r="D13" s="148"/>
      <c r="E13" s="148"/>
      <c r="F13" s="148"/>
      <c r="G13" s="148"/>
      <c r="H13" s="148"/>
      <c r="I13" s="148"/>
      <c r="J13" s="148"/>
      <c r="K13" s="148"/>
      <c r="L13" s="148"/>
    </row>
    <row r="14" spans="1:12" x14ac:dyDescent="0.25">
      <c r="A14" s="76" t="s">
        <v>84</v>
      </c>
      <c r="B14" s="148">
        <v>407</v>
      </c>
      <c r="C14" s="148"/>
      <c r="D14" s="148"/>
      <c r="E14" s="148"/>
      <c r="F14" s="148"/>
      <c r="G14" s="148"/>
      <c r="H14" s="148"/>
      <c r="I14" s="148"/>
      <c r="J14" s="148"/>
      <c r="K14" s="148"/>
      <c r="L14" s="148"/>
    </row>
    <row r="15" spans="1:12" x14ac:dyDescent="0.25">
      <c r="A15" s="76" t="s">
        <v>345</v>
      </c>
      <c r="B15" s="148" t="s">
        <v>234</v>
      </c>
      <c r="C15" s="148"/>
      <c r="D15" s="148"/>
      <c r="E15" s="148"/>
      <c r="F15" s="148"/>
      <c r="G15" s="148"/>
      <c r="H15" s="148"/>
      <c r="I15" s="148"/>
      <c r="J15" s="148"/>
      <c r="K15" s="148"/>
      <c r="L15" s="148"/>
    </row>
    <row r="16" spans="1:12" x14ac:dyDescent="0.25">
      <c r="A16" s="76" t="s">
        <v>86</v>
      </c>
      <c r="B16" s="148" t="s">
        <v>235</v>
      </c>
      <c r="C16" s="148"/>
      <c r="D16" s="148"/>
      <c r="E16" s="148"/>
      <c r="F16" s="148"/>
      <c r="G16" s="148"/>
      <c r="H16" s="148"/>
      <c r="I16" s="148"/>
      <c r="J16" s="148"/>
      <c r="K16" s="148"/>
      <c r="L16" s="148"/>
    </row>
    <row r="17" spans="1:12" x14ac:dyDescent="0.25">
      <c r="A17" s="151" t="s">
        <v>414</v>
      </c>
      <c r="B17" s="148"/>
      <c r="C17" s="148"/>
      <c r="D17" s="148"/>
      <c r="E17" s="148"/>
      <c r="F17" s="148"/>
      <c r="G17" s="148"/>
      <c r="H17" s="148"/>
      <c r="I17" s="148"/>
      <c r="J17" s="148"/>
      <c r="K17" s="148"/>
      <c r="L17" s="148"/>
    </row>
    <row r="18" spans="1:12" x14ac:dyDescent="0.25">
      <c r="A18" s="151" t="s">
        <v>88</v>
      </c>
      <c r="B18" s="152">
        <v>45106</v>
      </c>
      <c r="C18" s="148"/>
      <c r="D18" s="148"/>
      <c r="E18" s="148"/>
      <c r="F18" s="148"/>
      <c r="G18" s="148"/>
      <c r="H18" s="148"/>
      <c r="I18" s="148"/>
      <c r="J18" s="148"/>
      <c r="K18" s="148"/>
      <c r="L18" s="148"/>
    </row>
    <row r="19" spans="1:12" x14ac:dyDescent="0.25">
      <c r="A19" s="151" t="s">
        <v>89</v>
      </c>
      <c r="B19" s="152">
        <v>45110</v>
      </c>
      <c r="C19" s="148"/>
      <c r="D19" s="148"/>
      <c r="E19" s="148"/>
      <c r="F19" s="148"/>
      <c r="G19" s="148"/>
      <c r="H19" s="148"/>
      <c r="I19" s="148"/>
      <c r="J19" s="148"/>
      <c r="K19" s="148"/>
      <c r="L19" s="148"/>
    </row>
    <row r="20" spans="1:12" x14ac:dyDescent="0.25">
      <c r="A20" s="151" t="s">
        <v>90</v>
      </c>
      <c r="B20" s="148" t="s">
        <v>98</v>
      </c>
      <c r="C20" s="148"/>
      <c r="D20" s="148"/>
      <c r="E20" s="148"/>
      <c r="F20" s="148"/>
      <c r="G20" s="148"/>
      <c r="H20" s="148"/>
      <c r="I20" s="148"/>
      <c r="J20" s="148"/>
      <c r="K20" s="148"/>
      <c r="L20" s="148"/>
    </row>
    <row r="21" spans="1:12" x14ac:dyDescent="0.25">
      <c r="A21" s="72" t="s">
        <v>91</v>
      </c>
      <c r="B21" s="148" t="s">
        <v>99</v>
      </c>
      <c r="C21" s="148"/>
      <c r="D21" s="148"/>
      <c r="E21" s="148"/>
      <c r="F21" s="148"/>
      <c r="G21" s="148"/>
      <c r="H21" s="148"/>
      <c r="I21" s="148"/>
      <c r="J21" s="148"/>
      <c r="K21" s="148"/>
      <c r="L21" s="148"/>
    </row>
    <row r="23" spans="1:12" x14ac:dyDescent="0.25">
      <c r="B23" s="89" t="str">
        <f>HYPERLINK("#'Factor List'!A1","Back to Factor List")</f>
        <v>Back to Factor List</v>
      </c>
    </row>
    <row r="24" spans="1:12" x14ac:dyDescent="0.25">
      <c r="B24" s="89" t="s">
        <v>13</v>
      </c>
    </row>
    <row r="26" spans="1:12" x14ac:dyDescent="0.25">
      <c r="A26" s="85" t="s">
        <v>439</v>
      </c>
      <c r="B26" s="85">
        <v>59</v>
      </c>
      <c r="C26" s="85">
        <v>60</v>
      </c>
      <c r="D26" s="85">
        <v>61</v>
      </c>
      <c r="E26" s="85">
        <v>62</v>
      </c>
      <c r="F26" s="85">
        <v>63</v>
      </c>
      <c r="G26" s="85">
        <v>64</v>
      </c>
      <c r="H26" s="85">
        <v>65</v>
      </c>
      <c r="I26" s="85">
        <v>66</v>
      </c>
      <c r="J26" s="85">
        <v>67</v>
      </c>
      <c r="K26" s="85">
        <v>68</v>
      </c>
      <c r="L26" s="85">
        <v>69</v>
      </c>
    </row>
    <row r="27" spans="1:12" x14ac:dyDescent="0.25">
      <c r="A27" s="86">
        <v>0</v>
      </c>
      <c r="B27" s="101">
        <v>0</v>
      </c>
      <c r="C27" s="101">
        <v>0</v>
      </c>
      <c r="D27" s="101">
        <v>0</v>
      </c>
      <c r="E27" s="101">
        <v>0</v>
      </c>
      <c r="F27" s="101">
        <v>0</v>
      </c>
      <c r="G27" s="101">
        <v>0</v>
      </c>
      <c r="H27" s="101">
        <v>0</v>
      </c>
      <c r="I27" s="101">
        <v>0</v>
      </c>
      <c r="J27" s="101">
        <v>0</v>
      </c>
      <c r="K27" s="101">
        <v>0</v>
      </c>
      <c r="L27" s="101">
        <v>0</v>
      </c>
    </row>
    <row r="28" spans="1:12" x14ac:dyDescent="0.25">
      <c r="A28" s="86">
        <v>1</v>
      </c>
      <c r="B28" s="101">
        <v>4.0000000000000001E-3</v>
      </c>
      <c r="C28" s="101">
        <v>4.0000000000000001E-3</v>
      </c>
      <c r="D28" s="101">
        <v>4.0000000000000001E-3</v>
      </c>
      <c r="E28" s="101">
        <v>4.0000000000000001E-3</v>
      </c>
      <c r="F28" s="101">
        <v>4.0000000000000001E-3</v>
      </c>
      <c r="G28" s="101">
        <v>4.0000000000000001E-3</v>
      </c>
      <c r="H28" s="101">
        <v>4.0000000000000001E-3</v>
      </c>
      <c r="I28" s="101">
        <v>4.0000000000000001E-3</v>
      </c>
      <c r="J28" s="101">
        <v>5.0000000000000001E-3</v>
      </c>
      <c r="K28" s="101">
        <v>5.0000000000000001E-3</v>
      </c>
      <c r="L28" s="101">
        <v>5.0000000000000001E-3</v>
      </c>
    </row>
    <row r="29" spans="1:12" x14ac:dyDescent="0.25">
      <c r="A29" s="86">
        <v>2</v>
      </c>
      <c r="B29" s="101">
        <v>7.0000000000000001E-3</v>
      </c>
      <c r="C29" s="101">
        <v>7.0000000000000001E-3</v>
      </c>
      <c r="D29" s="101">
        <v>8.0000000000000002E-3</v>
      </c>
      <c r="E29" s="101">
        <v>8.0000000000000002E-3</v>
      </c>
      <c r="F29" s="101">
        <v>8.0000000000000002E-3</v>
      </c>
      <c r="G29" s="101">
        <v>8.0000000000000002E-3</v>
      </c>
      <c r="H29" s="101">
        <v>8.9999999999999993E-3</v>
      </c>
      <c r="I29" s="101">
        <v>8.9999999999999993E-3</v>
      </c>
      <c r="J29" s="101">
        <v>8.9999999999999993E-3</v>
      </c>
      <c r="K29" s="101">
        <v>8.9999999999999993E-3</v>
      </c>
      <c r="L29" s="101">
        <v>0.01</v>
      </c>
    </row>
    <row r="30" spans="1:12" x14ac:dyDescent="0.25">
      <c r="A30" s="86">
        <v>3</v>
      </c>
      <c r="B30" s="101">
        <v>1.0999999999999999E-2</v>
      </c>
      <c r="C30" s="101">
        <v>1.0999999999999999E-2</v>
      </c>
      <c r="D30" s="101">
        <v>1.0999999999999999E-2</v>
      </c>
      <c r="E30" s="101">
        <v>1.2E-2</v>
      </c>
      <c r="F30" s="101">
        <v>1.2E-2</v>
      </c>
      <c r="G30" s="101">
        <v>1.2999999999999999E-2</v>
      </c>
      <c r="H30" s="101">
        <v>1.2999999999999999E-2</v>
      </c>
      <c r="I30" s="101">
        <v>1.2999999999999999E-2</v>
      </c>
      <c r="J30" s="101">
        <v>1.4E-2</v>
      </c>
      <c r="K30" s="101">
        <v>1.4E-2</v>
      </c>
      <c r="L30" s="101">
        <v>1.4999999999999999E-2</v>
      </c>
    </row>
    <row r="31" spans="1:12" x14ac:dyDescent="0.25">
      <c r="A31" s="86">
        <v>4</v>
      </c>
      <c r="B31" s="101">
        <v>1.4999999999999999E-2</v>
      </c>
      <c r="C31" s="101">
        <v>1.4999999999999999E-2</v>
      </c>
      <c r="D31" s="101">
        <v>1.4999999999999999E-2</v>
      </c>
      <c r="E31" s="101">
        <v>1.6E-2</v>
      </c>
      <c r="F31" s="101">
        <v>1.6E-2</v>
      </c>
      <c r="G31" s="101">
        <v>1.7000000000000001E-2</v>
      </c>
      <c r="H31" s="101">
        <v>1.7000000000000001E-2</v>
      </c>
      <c r="I31" s="101">
        <v>1.7999999999999999E-2</v>
      </c>
      <c r="J31" s="101">
        <v>1.7999999999999999E-2</v>
      </c>
      <c r="K31" s="101">
        <v>1.9E-2</v>
      </c>
      <c r="L31" s="101">
        <v>0.02</v>
      </c>
    </row>
    <row r="32" spans="1:12" x14ac:dyDescent="0.25">
      <c r="A32" s="86">
        <v>5</v>
      </c>
      <c r="B32" s="101">
        <v>1.9E-2</v>
      </c>
      <c r="C32" s="101">
        <v>1.9E-2</v>
      </c>
      <c r="D32" s="101">
        <v>1.9E-2</v>
      </c>
      <c r="E32" s="101">
        <v>0.02</v>
      </c>
      <c r="F32" s="101">
        <v>0.02</v>
      </c>
      <c r="G32" s="101">
        <v>2.1000000000000001E-2</v>
      </c>
      <c r="H32" s="101">
        <v>2.1999999999999999E-2</v>
      </c>
      <c r="I32" s="101">
        <v>2.1999999999999999E-2</v>
      </c>
      <c r="J32" s="101">
        <v>2.3E-2</v>
      </c>
      <c r="K32" s="101">
        <v>2.4E-2</v>
      </c>
      <c r="L32" s="101">
        <v>2.5000000000000001E-2</v>
      </c>
    </row>
    <row r="33" spans="1:12" x14ac:dyDescent="0.25">
      <c r="A33" s="86">
        <v>6</v>
      </c>
      <c r="B33" s="101">
        <v>2.1999999999999999E-2</v>
      </c>
      <c r="C33" s="101">
        <v>2.1999999999999999E-2</v>
      </c>
      <c r="D33" s="101">
        <v>2.3E-2</v>
      </c>
      <c r="E33" s="101">
        <v>2.4E-2</v>
      </c>
      <c r="F33" s="101">
        <v>2.4E-2</v>
      </c>
      <c r="G33" s="101">
        <v>2.5000000000000001E-2</v>
      </c>
      <c r="H33" s="101">
        <v>2.5999999999999999E-2</v>
      </c>
      <c r="I33" s="101">
        <v>2.7E-2</v>
      </c>
      <c r="J33" s="101">
        <v>2.7E-2</v>
      </c>
      <c r="K33" s="101">
        <v>2.8000000000000001E-2</v>
      </c>
      <c r="L33" s="101">
        <v>0.03</v>
      </c>
    </row>
    <row r="34" spans="1:12" x14ac:dyDescent="0.25">
      <c r="A34" s="86">
        <v>7</v>
      </c>
      <c r="B34" s="101">
        <v>2.5999999999999999E-2</v>
      </c>
      <c r="C34" s="101">
        <v>2.5999999999999999E-2</v>
      </c>
      <c r="D34" s="101">
        <v>2.7E-2</v>
      </c>
      <c r="E34" s="101">
        <v>2.8000000000000001E-2</v>
      </c>
      <c r="F34" s="101">
        <v>2.8000000000000001E-2</v>
      </c>
      <c r="G34" s="101">
        <v>2.9000000000000001E-2</v>
      </c>
      <c r="H34" s="101">
        <v>0.03</v>
      </c>
      <c r="I34" s="101">
        <v>3.1E-2</v>
      </c>
      <c r="J34" s="101">
        <v>3.2000000000000001E-2</v>
      </c>
      <c r="K34" s="101">
        <v>3.3000000000000002E-2</v>
      </c>
      <c r="L34" s="101">
        <v>3.5000000000000003E-2</v>
      </c>
    </row>
    <row r="35" spans="1:12" x14ac:dyDescent="0.25">
      <c r="A35" s="86">
        <v>8</v>
      </c>
      <c r="B35" s="101">
        <v>0.03</v>
      </c>
      <c r="C35" s="101">
        <v>0.03</v>
      </c>
      <c r="D35" s="101">
        <v>0.03</v>
      </c>
      <c r="E35" s="101">
        <v>3.1E-2</v>
      </c>
      <c r="F35" s="101">
        <v>3.2000000000000001E-2</v>
      </c>
      <c r="G35" s="101">
        <v>3.4000000000000002E-2</v>
      </c>
      <c r="H35" s="101">
        <v>3.5000000000000003E-2</v>
      </c>
      <c r="I35" s="101">
        <v>3.5999999999999997E-2</v>
      </c>
      <c r="J35" s="101">
        <v>3.6999999999999998E-2</v>
      </c>
      <c r="K35" s="101">
        <v>3.7999999999999999E-2</v>
      </c>
      <c r="L35" s="101">
        <v>0.04</v>
      </c>
    </row>
    <row r="36" spans="1:12" x14ac:dyDescent="0.25">
      <c r="A36" s="86">
        <v>9</v>
      </c>
      <c r="B36" s="101">
        <v>3.3000000000000002E-2</v>
      </c>
      <c r="C36" s="101">
        <v>3.3000000000000002E-2</v>
      </c>
      <c r="D36" s="101">
        <v>3.4000000000000002E-2</v>
      </c>
      <c r="E36" s="101">
        <v>3.5000000000000003E-2</v>
      </c>
      <c r="F36" s="101">
        <v>3.6999999999999998E-2</v>
      </c>
      <c r="G36" s="101">
        <v>3.7999999999999999E-2</v>
      </c>
      <c r="H36" s="101">
        <v>3.9E-2</v>
      </c>
      <c r="I36" s="101">
        <v>0.04</v>
      </c>
      <c r="J36" s="101">
        <v>4.1000000000000002E-2</v>
      </c>
      <c r="K36" s="101">
        <v>4.2000000000000003E-2</v>
      </c>
      <c r="L36" s="101">
        <v>4.4999999999999998E-2</v>
      </c>
    </row>
    <row r="37" spans="1:12" x14ac:dyDescent="0.25">
      <c r="A37" s="86">
        <v>10</v>
      </c>
      <c r="B37" s="101">
        <v>3.6999999999999998E-2</v>
      </c>
      <c r="C37" s="101">
        <v>3.6999999999999998E-2</v>
      </c>
      <c r="D37" s="101">
        <v>3.7999999999999999E-2</v>
      </c>
      <c r="E37" s="101">
        <v>3.9E-2</v>
      </c>
      <c r="F37" s="101">
        <v>4.1000000000000002E-2</v>
      </c>
      <c r="G37" s="101">
        <v>4.2000000000000003E-2</v>
      </c>
      <c r="H37" s="101">
        <v>4.2999999999999997E-2</v>
      </c>
      <c r="I37" s="101">
        <v>4.4999999999999998E-2</v>
      </c>
      <c r="J37" s="101">
        <v>4.5999999999999999E-2</v>
      </c>
      <c r="K37" s="101">
        <v>4.7E-2</v>
      </c>
      <c r="L37" s="101">
        <v>0.05</v>
      </c>
    </row>
    <row r="38" spans="1:12" x14ac:dyDescent="0.25">
      <c r="A38" s="86">
        <v>11</v>
      </c>
      <c r="B38" s="101">
        <v>4.1000000000000002E-2</v>
      </c>
      <c r="C38" s="101">
        <v>4.1000000000000002E-2</v>
      </c>
      <c r="D38" s="101">
        <v>4.2000000000000003E-2</v>
      </c>
      <c r="E38" s="101">
        <v>4.2999999999999997E-2</v>
      </c>
      <c r="F38" s="101">
        <v>4.4999999999999998E-2</v>
      </c>
      <c r="G38" s="101">
        <v>4.5999999999999999E-2</v>
      </c>
      <c r="H38" s="101">
        <v>4.8000000000000001E-2</v>
      </c>
      <c r="I38" s="101">
        <v>4.9000000000000002E-2</v>
      </c>
      <c r="J38" s="101">
        <v>0.05</v>
      </c>
      <c r="K38" s="101">
        <v>5.1999999999999998E-2</v>
      </c>
      <c r="L38" s="101">
        <v>5.5E-2</v>
      </c>
    </row>
    <row r="44" spans="1:12" ht="39.6" customHeight="1" x14ac:dyDescent="0.25"/>
    <row r="46" spans="1:12" ht="27.6" customHeight="1" x14ac:dyDescent="0.25"/>
  </sheetData>
  <sheetProtection algorithmName="SHA-512" hashValue="QStTCoaXe1ULpysdTLCZL5XoWaJLVPXlgjAe4aDfM6FXvBvGzIv06Hg6xRe3stfCqZrkE+NTtDH1sb9z9cKOSg==" saltValue="biZ2OmgLW0ERoQ+JU8CtbA==" spinCount="100000" sheet="1" objects="1" scenarios="1"/>
  <conditionalFormatting sqref="A6:A21">
    <cfRule type="expression" dxfId="327" priority="1" stopIfTrue="1">
      <formula>MOD(ROW(),2)=0</formula>
    </cfRule>
    <cfRule type="expression" dxfId="326" priority="2" stopIfTrue="1">
      <formula>MOD(ROW(),2)&lt;&gt;0</formula>
    </cfRule>
  </conditionalFormatting>
  <conditionalFormatting sqref="A26:A38">
    <cfRule type="expression" dxfId="325" priority="3" stopIfTrue="1">
      <formula>MOD(ROW(),2)=0</formula>
    </cfRule>
    <cfRule type="expression" dxfId="324" priority="4" stopIfTrue="1">
      <formula>MOD(ROW(),2)&lt;&gt;0</formula>
    </cfRule>
  </conditionalFormatting>
  <conditionalFormatting sqref="B12">
    <cfRule type="expression" dxfId="323" priority="15" stopIfTrue="1">
      <formula>MOD(ROW(),2)=0</formula>
    </cfRule>
    <cfRule type="expression" dxfId="322" priority="16" stopIfTrue="1">
      <formula>MOD(ROW(),2)&lt;&gt;0</formula>
    </cfRule>
  </conditionalFormatting>
  <conditionalFormatting sqref="B16:B21">
    <cfRule type="expression" dxfId="321" priority="7" stopIfTrue="1">
      <formula>MOD(ROW(),2)=0</formula>
    </cfRule>
    <cfRule type="expression" dxfId="320" priority="8" stopIfTrue="1">
      <formula>MOD(ROW(),2)&lt;&gt;0</formula>
    </cfRule>
  </conditionalFormatting>
  <conditionalFormatting sqref="B6:L21">
    <cfRule type="expression" dxfId="319" priority="35" stopIfTrue="1">
      <formula>MOD(ROW(),2)=0</formula>
    </cfRule>
    <cfRule type="expression" dxfId="318" priority="36" stopIfTrue="1">
      <formula>MOD(ROW(),2)&lt;&gt;0</formula>
    </cfRule>
  </conditionalFormatting>
  <conditionalFormatting sqref="B26:L38">
    <cfRule type="expression" dxfId="317" priority="5" stopIfTrue="1">
      <formula>MOD(ROW(),2)=0</formula>
    </cfRule>
    <cfRule type="expression" dxfId="316" priority="6" stopIfTrue="1">
      <formula>MOD(ROW(),2)&lt;&gt;0</formula>
    </cfRule>
  </conditionalFormatting>
  <hyperlinks>
    <hyperlink ref="B24" location="Assumptions!A1" display="Assumptions" xr:uid="{D856B63C-AB3F-411F-8676-D78C8CDC25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dimension ref="A1:I64"/>
  <sheetViews>
    <sheetView showGridLines="0" workbookViewId="0">
      <selection activeCell="B19" sqref="B19"/>
    </sheetView>
  </sheetViews>
  <sheetFormatPr defaultColWidth="10" defaultRowHeight="13.2" x14ac:dyDescent="0.25"/>
  <cols>
    <col min="1" max="1" width="31.5546875" style="27" customWidth="1"/>
    <col min="2" max="2" width="40.4414062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2"/>
      <c r="C3" s="42"/>
      <c r="D3" s="42"/>
      <c r="E3" s="42"/>
      <c r="F3" s="42"/>
      <c r="G3" s="42"/>
      <c r="H3" s="42"/>
      <c r="I3" s="42"/>
    </row>
    <row r="4" spans="1:9" x14ac:dyDescent="0.25">
      <c r="A4" s="44" t="str">
        <f ca="1">CELL("filename",A1)</f>
        <v>https://tris42.sharepoint.com/sites/gad_wrkgrp_actuarial/pspsactuarialwork/Central/Factors &amp; Guidance/2024 Guidance Review/4. Online portal/3. Import data/3. Factor tables/0_client_friendly/Ready to be uploaded/2025-03/[Fire E Consolidated Factors 2025-02.xlsx]x-Series Number</v>
      </c>
    </row>
    <row r="6" spans="1:9" x14ac:dyDescent="0.25">
      <c r="A6" s="45" t="s">
        <v>334</v>
      </c>
      <c r="B6" s="46" t="s">
        <v>335</v>
      </c>
    </row>
    <row r="7" spans="1:9" x14ac:dyDescent="0.25">
      <c r="A7" s="47" t="s">
        <v>78</v>
      </c>
      <c r="B7" s="49" t="s">
        <v>336</v>
      </c>
    </row>
    <row r="8" spans="1:9" x14ac:dyDescent="0.25">
      <c r="A8" s="47" t="s">
        <v>79</v>
      </c>
      <c r="B8" s="49" t="s">
        <v>337</v>
      </c>
    </row>
    <row r="9" spans="1:9" ht="12.75" customHeight="1" x14ac:dyDescent="0.25">
      <c r="A9" s="47" t="s">
        <v>80</v>
      </c>
      <c r="B9" s="50" t="s">
        <v>338</v>
      </c>
    </row>
    <row r="10" spans="1:9" ht="12.75" customHeight="1" x14ac:dyDescent="0.25">
      <c r="A10" s="47" t="s">
        <v>6</v>
      </c>
      <c r="B10" s="50" t="s">
        <v>339</v>
      </c>
    </row>
    <row r="11" spans="1:9" x14ac:dyDescent="0.25">
      <c r="A11" s="47" t="s">
        <v>81</v>
      </c>
      <c r="B11" s="50" t="s">
        <v>340</v>
      </c>
    </row>
    <row r="12" spans="1:9" x14ac:dyDescent="0.25">
      <c r="A12" s="47" t="s">
        <v>82</v>
      </c>
      <c r="B12" s="48" t="s">
        <v>341</v>
      </c>
    </row>
    <row r="13" spans="1:9" ht="12.75" customHeight="1" x14ac:dyDescent="0.25">
      <c r="A13" s="47" t="s">
        <v>342</v>
      </c>
      <c r="B13" s="48" t="s">
        <v>343</v>
      </c>
    </row>
    <row r="14" spans="1:9" ht="12.75" customHeight="1" x14ac:dyDescent="0.25">
      <c r="A14" s="47" t="s">
        <v>84</v>
      </c>
      <c r="B14" s="48" t="s">
        <v>344</v>
      </c>
    </row>
    <row r="15" spans="1:9" ht="79.2" x14ac:dyDescent="0.25">
      <c r="A15" s="51" t="s">
        <v>345</v>
      </c>
      <c r="B15" s="52" t="s">
        <v>346</v>
      </c>
    </row>
    <row r="16" spans="1:9" ht="26.4" x14ac:dyDescent="0.25">
      <c r="A16" s="53" t="s">
        <v>86</v>
      </c>
      <c r="B16" s="52" t="s">
        <v>347</v>
      </c>
    </row>
    <row r="17" spans="1:2" ht="52.5" customHeight="1" x14ac:dyDescent="0.25">
      <c r="A17" s="54" t="s">
        <v>87</v>
      </c>
      <c r="B17" s="52" t="s">
        <v>348</v>
      </c>
    </row>
    <row r="18" spans="1:2" ht="26.4" x14ac:dyDescent="0.25">
      <c r="A18" s="51" t="s">
        <v>88</v>
      </c>
      <c r="B18" s="55" t="s">
        <v>349</v>
      </c>
    </row>
    <row r="19" spans="1:2" x14ac:dyDescent="0.25">
      <c r="A19" s="53" t="s">
        <v>89</v>
      </c>
      <c r="B19" s="55" t="s">
        <v>350</v>
      </c>
    </row>
    <row r="20" spans="1:2" ht="26.4" x14ac:dyDescent="0.25">
      <c r="A20" s="53" t="s">
        <v>90</v>
      </c>
      <c r="B20" s="55" t="s">
        <v>351</v>
      </c>
    </row>
    <row r="22" spans="1:2" x14ac:dyDescent="0.25">
      <c r="B22" s="89" t="str">
        <f>HYPERLINK("#'Factor List'!A1","Back to Factor List")</f>
        <v>Back to Factor List</v>
      </c>
    </row>
    <row r="25" spans="1:2" x14ac:dyDescent="0.25">
      <c r="A25" s="56" t="s">
        <v>352</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dzhOz61WsGQ7QQQiLE6CC2Lx7hvDIQ6cRwgyts+LLe5K6JKoebyDXMk7NTbHLq+ixLW7Kpotrpv3jxW/fGoNxg==" saltValue="lZx5HdtB6BeNfcW0jYaO5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5"/>
  <dimension ref="A1:I46"/>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2" width="22.5546875" style="27" customWidth="1"/>
    <col min="3" max="3" width="28.4414062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Triv Comm - x-501</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t="s">
        <v>236</v>
      </c>
      <c r="C8" s="148"/>
    </row>
    <row r="9" spans="1:9" x14ac:dyDescent="0.25">
      <c r="A9" s="76" t="s">
        <v>80</v>
      </c>
      <c r="B9" s="148" t="s">
        <v>237</v>
      </c>
      <c r="C9" s="148"/>
    </row>
    <row r="10" spans="1:9" x14ac:dyDescent="0.25">
      <c r="A10" s="76" t="s">
        <v>6</v>
      </c>
      <c r="B10" s="148" t="s">
        <v>238</v>
      </c>
      <c r="C10" s="148"/>
    </row>
    <row r="11" spans="1:9" x14ac:dyDescent="0.25">
      <c r="A11" s="76" t="s">
        <v>81</v>
      </c>
      <c r="B11" s="148" t="s">
        <v>176</v>
      </c>
      <c r="C11" s="148"/>
    </row>
    <row r="12" spans="1:9" x14ac:dyDescent="0.25">
      <c r="A12" s="76" t="s">
        <v>82</v>
      </c>
      <c r="B12" s="148" t="s">
        <v>239</v>
      </c>
      <c r="C12" s="148"/>
    </row>
    <row r="13" spans="1:9" x14ac:dyDescent="0.25">
      <c r="A13" s="76" t="s">
        <v>342</v>
      </c>
      <c r="B13" s="148">
        <v>1</v>
      </c>
      <c r="C13" s="148"/>
    </row>
    <row r="14" spans="1:9" x14ac:dyDescent="0.25">
      <c r="A14" s="76" t="s">
        <v>84</v>
      </c>
      <c r="B14" s="148">
        <v>501</v>
      </c>
      <c r="C14" s="148"/>
    </row>
    <row r="15" spans="1:9" x14ac:dyDescent="0.25">
      <c r="A15" s="76" t="s">
        <v>345</v>
      </c>
      <c r="B15" s="148" t="s">
        <v>240</v>
      </c>
      <c r="C15" s="148"/>
    </row>
    <row r="16" spans="1:9" x14ac:dyDescent="0.25">
      <c r="A16" s="76" t="s">
        <v>86</v>
      </c>
      <c r="B16" s="148" t="s">
        <v>241</v>
      </c>
      <c r="C16" s="148"/>
    </row>
    <row r="17" spans="1:4" x14ac:dyDescent="0.25">
      <c r="A17" s="76" t="s">
        <v>414</v>
      </c>
      <c r="B17" s="148"/>
      <c r="C17" s="148"/>
    </row>
    <row r="18" spans="1:4" x14ac:dyDescent="0.25">
      <c r="A18" s="76" t="s">
        <v>88</v>
      </c>
      <c r="B18" s="152">
        <v>45135</v>
      </c>
      <c r="C18" s="148"/>
    </row>
    <row r="19" spans="1:4" x14ac:dyDescent="0.25">
      <c r="A19" s="76" t="s">
        <v>89</v>
      </c>
      <c r="B19" s="152">
        <v>45135</v>
      </c>
      <c r="C19" s="148"/>
    </row>
    <row r="20" spans="1:4" x14ac:dyDescent="0.25">
      <c r="A20" s="76" t="s">
        <v>90</v>
      </c>
      <c r="B20" s="148" t="s">
        <v>98</v>
      </c>
      <c r="C20" s="148"/>
    </row>
    <row r="21" spans="1:4" x14ac:dyDescent="0.25">
      <c r="A21" s="72" t="s">
        <v>91</v>
      </c>
      <c r="B21" s="148" t="s">
        <v>99</v>
      </c>
      <c r="C21" s="148"/>
    </row>
    <row r="23" spans="1:4" x14ac:dyDescent="0.25">
      <c r="B23" s="89" t="str">
        <f>HYPERLINK("#'Factor List'!A1","Back to Factor List")</f>
        <v>Back to Factor List</v>
      </c>
    </row>
    <row r="24" spans="1:4" x14ac:dyDescent="0.25">
      <c r="B24" s="89" t="s">
        <v>13</v>
      </c>
    </row>
    <row r="26" spans="1:4" ht="45" customHeight="1" x14ac:dyDescent="0.25">
      <c r="A26" s="85" t="s">
        <v>415</v>
      </c>
      <c r="B26" s="85" t="s">
        <v>444</v>
      </c>
      <c r="C26" s="85" t="s">
        <v>445</v>
      </c>
    </row>
    <row r="27" spans="1:4" x14ac:dyDescent="0.25">
      <c r="A27" s="86">
        <v>60</v>
      </c>
      <c r="B27" s="88">
        <v>20.321000000000002</v>
      </c>
      <c r="C27" s="88">
        <v>3.8380000000000001</v>
      </c>
      <c r="D27" s="82"/>
    </row>
    <row r="28" spans="1:4" x14ac:dyDescent="0.25">
      <c r="A28" s="86">
        <v>61</v>
      </c>
      <c r="B28" s="88">
        <v>19.702999999999999</v>
      </c>
      <c r="C28" s="88">
        <v>3.8559999999999999</v>
      </c>
    </row>
    <row r="29" spans="1:4" x14ac:dyDescent="0.25">
      <c r="A29" s="86">
        <v>62</v>
      </c>
      <c r="B29" s="88">
        <v>19.081</v>
      </c>
      <c r="C29" s="88">
        <v>3.87</v>
      </c>
    </row>
    <row r="30" spans="1:4" x14ac:dyDescent="0.25">
      <c r="A30" s="86">
        <v>63</v>
      </c>
      <c r="B30" s="88">
        <v>18.456</v>
      </c>
      <c r="C30" s="88">
        <v>3.8820000000000001</v>
      </c>
    </row>
    <row r="31" spans="1:4" x14ac:dyDescent="0.25">
      <c r="A31" s="86">
        <v>64</v>
      </c>
      <c r="B31" s="88">
        <v>17.829000000000001</v>
      </c>
      <c r="C31" s="88">
        <v>3.8889999999999998</v>
      </c>
    </row>
    <row r="32" spans="1:4" x14ac:dyDescent="0.25">
      <c r="A32" s="86">
        <v>65</v>
      </c>
      <c r="B32" s="88">
        <v>17.2</v>
      </c>
      <c r="C32" s="88">
        <v>3.8919999999999999</v>
      </c>
    </row>
    <row r="33" spans="1:3" x14ac:dyDescent="0.25">
      <c r="A33" s="86">
        <v>66</v>
      </c>
      <c r="B33" s="88">
        <v>16.568999999999999</v>
      </c>
      <c r="C33" s="88">
        <v>3.8919999999999999</v>
      </c>
    </row>
    <row r="34" spans="1:3" x14ac:dyDescent="0.25">
      <c r="A34" s="86">
        <v>67</v>
      </c>
      <c r="B34" s="88">
        <v>15.938000000000001</v>
      </c>
      <c r="C34" s="88">
        <v>3.8860000000000001</v>
      </c>
    </row>
    <row r="35" spans="1:3" x14ac:dyDescent="0.25">
      <c r="A35" s="86">
        <v>68</v>
      </c>
      <c r="B35" s="88">
        <v>15.305999999999999</v>
      </c>
      <c r="C35" s="88">
        <v>3.8769999999999998</v>
      </c>
    </row>
    <row r="36" spans="1:3" x14ac:dyDescent="0.25">
      <c r="A36" s="86">
        <v>69</v>
      </c>
      <c r="B36" s="88">
        <v>14.675000000000001</v>
      </c>
      <c r="C36" s="88">
        <v>3.8620000000000001</v>
      </c>
    </row>
    <row r="37" spans="1:3" x14ac:dyDescent="0.25">
      <c r="A37" s="86">
        <v>70</v>
      </c>
      <c r="B37" s="88">
        <v>14.044</v>
      </c>
      <c r="C37" s="88">
        <v>3.843</v>
      </c>
    </row>
    <row r="38" spans="1:3" x14ac:dyDescent="0.25">
      <c r="A38" s="86">
        <v>71</v>
      </c>
      <c r="B38" s="88">
        <v>13.416</v>
      </c>
      <c r="C38" s="88">
        <v>3.819</v>
      </c>
    </row>
    <row r="39" spans="1:3" x14ac:dyDescent="0.25">
      <c r="A39" s="86">
        <v>72</v>
      </c>
      <c r="B39" s="88">
        <v>12.792</v>
      </c>
      <c r="C39" s="88">
        <v>3.7890000000000001</v>
      </c>
    </row>
    <row r="40" spans="1:3" x14ac:dyDescent="0.25">
      <c r="A40" s="86">
        <v>73</v>
      </c>
      <c r="B40" s="88">
        <v>12.173</v>
      </c>
      <c r="C40" s="88">
        <v>3.7519999999999998</v>
      </c>
    </row>
    <row r="41" spans="1:3" x14ac:dyDescent="0.25">
      <c r="A41" s="86">
        <v>74</v>
      </c>
      <c r="B41" s="88">
        <v>11.56</v>
      </c>
      <c r="C41" s="88">
        <v>3.6120000000000001</v>
      </c>
    </row>
    <row r="44" spans="1:3" ht="39.6" customHeight="1" x14ac:dyDescent="0.25"/>
    <row r="46" spans="1:3" ht="27.6" customHeight="1" x14ac:dyDescent="0.25"/>
  </sheetData>
  <sheetProtection algorithmName="SHA-512" hashValue="p1YSiYf8gKqscQ5tJPvZ24V1chdTVowXg0fOMXctw8BxS7VCmDnGNYkLwREUiTA6vdoB/9lK8NT3WchX7n/bJg==" saltValue="gibNJJnxqA0GF1BuUkmxsA==" spinCount="100000" sheet="1" objects="1" scenarios="1"/>
  <conditionalFormatting sqref="A6:A21">
    <cfRule type="expression" dxfId="315" priority="1" stopIfTrue="1">
      <formula>MOD(ROW(),2)=0</formula>
    </cfRule>
    <cfRule type="expression" dxfId="314" priority="2" stopIfTrue="1">
      <formula>MOD(ROW(),2)&lt;&gt;0</formula>
    </cfRule>
  </conditionalFormatting>
  <conditionalFormatting sqref="A26:A41">
    <cfRule type="expression" dxfId="313" priority="3" stopIfTrue="1">
      <formula>MOD(ROW(),2)=0</formula>
    </cfRule>
    <cfRule type="expression" dxfId="312" priority="4" stopIfTrue="1">
      <formula>MOD(ROW(),2)&lt;&gt;0</formula>
    </cfRule>
  </conditionalFormatting>
  <conditionalFormatting sqref="B17:B21">
    <cfRule type="expression" dxfId="311" priority="7" stopIfTrue="1">
      <formula>MOD(ROW(),2)=0</formula>
    </cfRule>
    <cfRule type="expression" dxfId="310" priority="8" stopIfTrue="1">
      <formula>MOD(ROW(),2)&lt;&gt;0</formula>
    </cfRule>
  </conditionalFormatting>
  <conditionalFormatting sqref="B6:C21">
    <cfRule type="expression" dxfId="309" priority="21" stopIfTrue="1">
      <formula>MOD(ROW(),2)=0</formula>
    </cfRule>
    <cfRule type="expression" dxfId="308" priority="22" stopIfTrue="1">
      <formula>MOD(ROW(),2)&lt;&gt;0</formula>
    </cfRule>
  </conditionalFormatting>
  <conditionalFormatting sqref="B26:C41">
    <cfRule type="expression" dxfId="307" priority="5" stopIfTrue="1">
      <formula>MOD(ROW(),2)=0</formula>
    </cfRule>
    <cfRule type="expression" dxfId="306" priority="6" stopIfTrue="1">
      <formula>MOD(ROW(),2)&lt;&gt;0</formula>
    </cfRule>
  </conditionalFormatting>
  <hyperlinks>
    <hyperlink ref="B24" location="Assumptions!A1" display="Assumptions" xr:uid="{84271C2F-9350-40E0-8FFF-ACC6AE85D6B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6"/>
  <dimension ref="A1:I101"/>
  <sheetViews>
    <sheetView showGridLines="0" zoomScale="84" zoomScaleNormal="84" workbookViewId="0">
      <selection activeCell="B6" sqref="B6:B21"/>
    </sheetView>
  </sheetViews>
  <sheetFormatPr defaultColWidth="10" defaultRowHeight="13.2" x14ac:dyDescent="0.25"/>
  <cols>
    <col min="1" max="1" width="31.5546875" style="27" customWidth="1"/>
    <col min="2" max="2" width="51.777343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Triv Comm - x-502</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t="s">
        <v>236</v>
      </c>
    </row>
    <row r="9" spans="1:9" x14ac:dyDescent="0.25">
      <c r="A9" s="76" t="s">
        <v>80</v>
      </c>
      <c r="B9" s="148" t="s">
        <v>237</v>
      </c>
    </row>
    <row r="10" spans="1:9" x14ac:dyDescent="0.25">
      <c r="A10" s="76" t="s">
        <v>6</v>
      </c>
      <c r="B10" s="148" t="s">
        <v>242</v>
      </c>
    </row>
    <row r="11" spans="1:9" x14ac:dyDescent="0.25">
      <c r="A11" s="76" t="s">
        <v>81</v>
      </c>
      <c r="B11" s="148" t="s">
        <v>176</v>
      </c>
    </row>
    <row r="12" spans="1:9" x14ac:dyDescent="0.25">
      <c r="A12" s="76" t="s">
        <v>82</v>
      </c>
      <c r="B12" s="148" t="s">
        <v>239</v>
      </c>
    </row>
    <row r="13" spans="1:9" x14ac:dyDescent="0.25">
      <c r="A13" s="76" t="s">
        <v>342</v>
      </c>
      <c r="B13" s="148">
        <v>1</v>
      </c>
    </row>
    <row r="14" spans="1:9" x14ac:dyDescent="0.25">
      <c r="A14" s="76" t="s">
        <v>84</v>
      </c>
      <c r="B14" s="148">
        <v>502</v>
      </c>
    </row>
    <row r="15" spans="1:9" x14ac:dyDescent="0.25">
      <c r="A15" s="76" t="s">
        <v>345</v>
      </c>
      <c r="B15" s="148" t="s">
        <v>243</v>
      </c>
    </row>
    <row r="16" spans="1:9" x14ac:dyDescent="0.25">
      <c r="A16" s="76" t="s">
        <v>86</v>
      </c>
      <c r="B16" s="148" t="s">
        <v>244</v>
      </c>
    </row>
    <row r="17" spans="1:2" ht="113.55" customHeight="1" x14ac:dyDescent="0.25">
      <c r="A17" s="76" t="s">
        <v>414</v>
      </c>
      <c r="B17" s="148"/>
    </row>
    <row r="18" spans="1:2" x14ac:dyDescent="0.25">
      <c r="A18" s="76" t="s">
        <v>88</v>
      </c>
      <c r="B18" s="152">
        <v>45135</v>
      </c>
    </row>
    <row r="19" spans="1:2" x14ac:dyDescent="0.25">
      <c r="A19" s="76" t="s">
        <v>89</v>
      </c>
      <c r="B19" s="152">
        <v>45135</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6" spans="1:2" x14ac:dyDescent="0.25">
      <c r="A26" s="85" t="s">
        <v>415</v>
      </c>
      <c r="B26" s="85" t="s">
        <v>446</v>
      </c>
    </row>
    <row r="27" spans="1:2" x14ac:dyDescent="0.25">
      <c r="A27" s="86">
        <v>25</v>
      </c>
      <c r="B27" s="88">
        <v>38.481999999999999</v>
      </c>
    </row>
    <row r="28" spans="1:2" x14ac:dyDescent="0.25">
      <c r="A28" s="86">
        <v>26</v>
      </c>
      <c r="B28" s="88">
        <v>38.1</v>
      </c>
    </row>
    <row r="29" spans="1:2" x14ac:dyDescent="0.25">
      <c r="A29" s="86">
        <v>27</v>
      </c>
      <c r="B29" s="88">
        <v>37.710999999999999</v>
      </c>
    </row>
    <row r="30" spans="1:2" x14ac:dyDescent="0.25">
      <c r="A30" s="86">
        <v>28</v>
      </c>
      <c r="B30" s="88">
        <v>37.314999999999998</v>
      </c>
    </row>
    <row r="31" spans="1:2" x14ac:dyDescent="0.25">
      <c r="A31" s="86">
        <v>29</v>
      </c>
      <c r="B31" s="88">
        <v>36.912999999999997</v>
      </c>
    </row>
    <row r="32" spans="1:2" x14ac:dyDescent="0.25">
      <c r="A32" s="86">
        <v>30</v>
      </c>
      <c r="B32" s="88">
        <v>36.505000000000003</v>
      </c>
    </row>
    <row r="33" spans="1:2" x14ac:dyDescent="0.25">
      <c r="A33" s="86">
        <v>31</v>
      </c>
      <c r="B33" s="88">
        <v>36.090000000000003</v>
      </c>
    </row>
    <row r="34" spans="1:2" x14ac:dyDescent="0.25">
      <c r="A34" s="86">
        <v>32</v>
      </c>
      <c r="B34" s="88">
        <v>35.667999999999999</v>
      </c>
    </row>
    <row r="35" spans="1:2" x14ac:dyDescent="0.25">
      <c r="A35" s="86">
        <v>33</v>
      </c>
      <c r="B35" s="88">
        <v>35.24</v>
      </c>
    </row>
    <row r="36" spans="1:2" x14ac:dyDescent="0.25">
      <c r="A36" s="86">
        <v>34</v>
      </c>
      <c r="B36" s="88">
        <v>34.805</v>
      </c>
    </row>
    <row r="37" spans="1:2" x14ac:dyDescent="0.25">
      <c r="A37" s="86">
        <v>35</v>
      </c>
      <c r="B37" s="88">
        <v>34.363999999999997</v>
      </c>
    </row>
    <row r="38" spans="1:2" x14ac:dyDescent="0.25">
      <c r="A38" s="86">
        <v>36</v>
      </c>
      <c r="B38" s="88">
        <v>33.917000000000002</v>
      </c>
    </row>
    <row r="39" spans="1:2" x14ac:dyDescent="0.25">
      <c r="A39" s="86">
        <v>37</v>
      </c>
      <c r="B39" s="88">
        <v>33.463000000000001</v>
      </c>
    </row>
    <row r="40" spans="1:2" x14ac:dyDescent="0.25">
      <c r="A40" s="86">
        <v>38</v>
      </c>
      <c r="B40" s="88">
        <v>33.003</v>
      </c>
    </row>
    <row r="41" spans="1:2" x14ac:dyDescent="0.25">
      <c r="A41" s="86">
        <v>39</v>
      </c>
      <c r="B41" s="88">
        <v>32.536999999999999</v>
      </c>
    </row>
    <row r="42" spans="1:2" x14ac:dyDescent="0.25">
      <c r="A42" s="86">
        <v>40</v>
      </c>
      <c r="B42" s="88">
        <v>32.064</v>
      </c>
    </row>
    <row r="43" spans="1:2" x14ac:dyDescent="0.25">
      <c r="A43" s="86">
        <v>41</v>
      </c>
      <c r="B43" s="88">
        <v>31.585000000000001</v>
      </c>
    </row>
    <row r="44" spans="1:2" x14ac:dyDescent="0.25">
      <c r="A44" s="86">
        <v>42</v>
      </c>
      <c r="B44" s="88">
        <v>31.1</v>
      </c>
    </row>
    <row r="45" spans="1:2" x14ac:dyDescent="0.25">
      <c r="A45" s="86">
        <v>43</v>
      </c>
      <c r="B45" s="88">
        <v>30.609000000000002</v>
      </c>
    </row>
    <row r="46" spans="1:2" x14ac:dyDescent="0.25">
      <c r="A46" s="86">
        <v>44</v>
      </c>
      <c r="B46" s="88">
        <v>30.113</v>
      </c>
    </row>
    <row r="47" spans="1:2" x14ac:dyDescent="0.25">
      <c r="A47" s="86">
        <v>45</v>
      </c>
      <c r="B47" s="88">
        <v>29.611999999999998</v>
      </c>
    </row>
    <row r="48" spans="1:2" x14ac:dyDescent="0.25">
      <c r="A48" s="86">
        <v>46</v>
      </c>
      <c r="B48" s="88">
        <v>29.106999999999999</v>
      </c>
    </row>
    <row r="49" spans="1:2" x14ac:dyDescent="0.25">
      <c r="A49" s="86">
        <v>47</v>
      </c>
      <c r="B49" s="88">
        <v>28.597000000000001</v>
      </c>
    </row>
    <row r="50" spans="1:2" x14ac:dyDescent="0.25">
      <c r="A50" s="86">
        <v>48</v>
      </c>
      <c r="B50" s="88">
        <v>28.082000000000001</v>
      </c>
    </row>
    <row r="51" spans="1:2" x14ac:dyDescent="0.25">
      <c r="A51" s="86">
        <v>49</v>
      </c>
      <c r="B51" s="88">
        <v>27.561</v>
      </c>
    </row>
    <row r="52" spans="1:2" x14ac:dyDescent="0.25">
      <c r="A52" s="86">
        <v>50</v>
      </c>
      <c r="B52" s="88">
        <v>27.035</v>
      </c>
    </row>
    <row r="53" spans="1:2" x14ac:dyDescent="0.25">
      <c r="A53" s="86">
        <v>51</v>
      </c>
      <c r="B53" s="88">
        <v>26.501999999999999</v>
      </c>
    </row>
    <row r="54" spans="1:2" x14ac:dyDescent="0.25">
      <c r="A54" s="86">
        <v>52</v>
      </c>
      <c r="B54" s="88">
        <v>25.963999999999999</v>
      </c>
    </row>
    <row r="55" spans="1:2" x14ac:dyDescent="0.25">
      <c r="A55" s="86">
        <v>53</v>
      </c>
      <c r="B55" s="88">
        <v>25.419</v>
      </c>
    </row>
    <row r="56" spans="1:2" x14ac:dyDescent="0.25">
      <c r="A56" s="86">
        <v>54</v>
      </c>
      <c r="B56" s="88">
        <v>24.869</v>
      </c>
    </row>
    <row r="57" spans="1:2" x14ac:dyDescent="0.25">
      <c r="A57" s="86">
        <v>55</v>
      </c>
      <c r="B57" s="88">
        <v>24.312000000000001</v>
      </c>
    </row>
    <row r="58" spans="1:2" x14ac:dyDescent="0.25">
      <c r="A58" s="86">
        <v>56</v>
      </c>
      <c r="B58" s="88">
        <v>23.748999999999999</v>
      </c>
    </row>
    <row r="59" spans="1:2" x14ac:dyDescent="0.25">
      <c r="A59" s="86">
        <v>57</v>
      </c>
      <c r="B59" s="88">
        <v>23.181000000000001</v>
      </c>
    </row>
    <row r="60" spans="1:2" x14ac:dyDescent="0.25">
      <c r="A60" s="86">
        <v>58</v>
      </c>
      <c r="B60" s="88">
        <v>22.606000000000002</v>
      </c>
    </row>
    <row r="61" spans="1:2" x14ac:dyDescent="0.25">
      <c r="A61" s="86">
        <v>59</v>
      </c>
      <c r="B61" s="88">
        <v>22.027000000000001</v>
      </c>
    </row>
    <row r="62" spans="1:2" x14ac:dyDescent="0.25">
      <c r="A62" s="86">
        <v>60</v>
      </c>
      <c r="B62" s="88">
        <v>21.440999999999999</v>
      </c>
    </row>
    <row r="63" spans="1:2" x14ac:dyDescent="0.25">
      <c r="A63" s="86">
        <v>61</v>
      </c>
      <c r="B63" s="88">
        <v>20.85</v>
      </c>
    </row>
    <row r="64" spans="1:2" x14ac:dyDescent="0.25">
      <c r="A64" s="86">
        <v>62</v>
      </c>
      <c r="B64" s="88">
        <v>20.254000000000001</v>
      </c>
    </row>
    <row r="65" spans="1:2" x14ac:dyDescent="0.25">
      <c r="A65" s="86">
        <v>63</v>
      </c>
      <c r="B65" s="88">
        <v>19.654</v>
      </c>
    </row>
    <row r="66" spans="1:2" x14ac:dyDescent="0.25">
      <c r="A66" s="86">
        <v>64</v>
      </c>
      <c r="B66" s="88">
        <v>19.048999999999999</v>
      </c>
    </row>
    <row r="67" spans="1:2" x14ac:dyDescent="0.25">
      <c r="A67" s="86">
        <v>65</v>
      </c>
      <c r="B67" s="88">
        <v>18.440999999999999</v>
      </c>
    </row>
    <row r="68" spans="1:2" x14ac:dyDescent="0.25">
      <c r="A68" s="86">
        <v>66</v>
      </c>
      <c r="B68" s="88">
        <v>17.829000000000001</v>
      </c>
    </row>
    <row r="69" spans="1:2" x14ac:dyDescent="0.25">
      <c r="A69" s="86">
        <v>67</v>
      </c>
      <c r="B69" s="88">
        <v>17.213999999999999</v>
      </c>
    </row>
    <row r="70" spans="1:2" x14ac:dyDescent="0.25">
      <c r="A70" s="86">
        <v>68</v>
      </c>
      <c r="B70" s="88">
        <v>16.596</v>
      </c>
    </row>
    <row r="71" spans="1:2" x14ac:dyDescent="0.25">
      <c r="A71" s="86">
        <v>69</v>
      </c>
      <c r="B71" s="88">
        <v>15.975</v>
      </c>
    </row>
    <row r="72" spans="1:2" x14ac:dyDescent="0.25">
      <c r="A72" s="86">
        <v>70</v>
      </c>
      <c r="B72" s="88">
        <v>15.349</v>
      </c>
    </row>
    <row r="73" spans="1:2" x14ac:dyDescent="0.25">
      <c r="A73" s="86">
        <v>71</v>
      </c>
      <c r="B73" s="88">
        <v>14.723000000000001</v>
      </c>
    </row>
    <row r="74" spans="1:2" x14ac:dyDescent="0.25">
      <c r="A74" s="86">
        <v>72</v>
      </c>
      <c r="B74" s="88">
        <v>14.101000000000001</v>
      </c>
    </row>
    <row r="75" spans="1:2" x14ac:dyDescent="0.25">
      <c r="A75" s="86">
        <v>73</v>
      </c>
      <c r="B75" s="88">
        <v>13.478999999999999</v>
      </c>
    </row>
    <row r="76" spans="1:2" x14ac:dyDescent="0.25">
      <c r="A76" s="86">
        <v>74</v>
      </c>
      <c r="B76" s="88">
        <v>12.859</v>
      </c>
    </row>
    <row r="77" spans="1:2" x14ac:dyDescent="0.25">
      <c r="A77" s="86">
        <v>75</v>
      </c>
      <c r="B77" s="88">
        <v>12.242000000000001</v>
      </c>
    </row>
    <row r="78" spans="1:2" x14ac:dyDescent="0.25">
      <c r="A78" s="86">
        <v>76</v>
      </c>
      <c r="B78" s="88">
        <v>11.629</v>
      </c>
    </row>
    <row r="79" spans="1:2" x14ac:dyDescent="0.25">
      <c r="A79" s="86">
        <v>77</v>
      </c>
      <c r="B79" s="88">
        <v>11.023</v>
      </c>
    </row>
    <row r="80" spans="1:2" x14ac:dyDescent="0.25">
      <c r="A80" s="86">
        <v>78</v>
      </c>
      <c r="B80" s="88">
        <v>10.423999999999999</v>
      </c>
    </row>
    <row r="81" spans="1:2" x14ac:dyDescent="0.25">
      <c r="A81" s="86">
        <v>79</v>
      </c>
      <c r="B81" s="88">
        <v>9.8350000000000009</v>
      </c>
    </row>
    <row r="82" spans="1:2" x14ac:dyDescent="0.25">
      <c r="A82" s="86">
        <v>80</v>
      </c>
      <c r="B82" s="88">
        <v>9.2569999999999997</v>
      </c>
    </row>
    <row r="83" spans="1:2" x14ac:dyDescent="0.25">
      <c r="A83" s="86">
        <v>81</v>
      </c>
      <c r="B83" s="88">
        <v>8.6920000000000002</v>
      </c>
    </row>
    <row r="84" spans="1:2" x14ac:dyDescent="0.25">
      <c r="A84" s="86">
        <v>82</v>
      </c>
      <c r="B84" s="88">
        <v>8.141</v>
      </c>
    </row>
    <row r="85" spans="1:2" x14ac:dyDescent="0.25">
      <c r="A85" s="86">
        <v>83</v>
      </c>
      <c r="B85" s="88">
        <v>7.6050000000000004</v>
      </c>
    </row>
    <row r="86" spans="1:2" x14ac:dyDescent="0.25">
      <c r="A86" s="86">
        <v>84</v>
      </c>
      <c r="B86" s="88">
        <v>7.085</v>
      </c>
    </row>
    <row r="87" spans="1:2" x14ac:dyDescent="0.25">
      <c r="A87" s="86">
        <v>85</v>
      </c>
      <c r="B87" s="88">
        <v>6.5830000000000002</v>
      </c>
    </row>
    <row r="88" spans="1:2" x14ac:dyDescent="0.25">
      <c r="A88" s="86">
        <v>86</v>
      </c>
      <c r="B88" s="88">
        <v>6.1040000000000001</v>
      </c>
    </row>
    <row r="89" spans="1:2" x14ac:dyDescent="0.25">
      <c r="A89" s="86">
        <v>87</v>
      </c>
      <c r="B89" s="88">
        <v>5.6509999999999998</v>
      </c>
    </row>
    <row r="90" spans="1:2" x14ac:dyDescent="0.25">
      <c r="A90" s="86">
        <v>88</v>
      </c>
      <c r="B90" s="88">
        <v>5.226</v>
      </c>
    </row>
    <row r="91" spans="1:2" x14ac:dyDescent="0.25">
      <c r="A91" s="86">
        <v>89</v>
      </c>
      <c r="B91" s="88">
        <v>4.827</v>
      </c>
    </row>
    <row r="92" spans="1:2" x14ac:dyDescent="0.25">
      <c r="A92" s="86">
        <v>90</v>
      </c>
      <c r="B92" s="88">
        <v>4.4530000000000003</v>
      </c>
    </row>
    <row r="93" spans="1:2" x14ac:dyDescent="0.25">
      <c r="A93" s="86">
        <v>91</v>
      </c>
      <c r="B93" s="88">
        <v>4.1079999999999997</v>
      </c>
    </row>
    <row r="94" spans="1:2" x14ac:dyDescent="0.25">
      <c r="A94" s="86">
        <v>92</v>
      </c>
      <c r="B94" s="88">
        <v>3.79</v>
      </c>
    </row>
    <row r="95" spans="1:2" x14ac:dyDescent="0.25">
      <c r="A95" s="86">
        <v>93</v>
      </c>
      <c r="B95" s="88">
        <v>3.5009999999999999</v>
      </c>
    </row>
    <row r="96" spans="1:2" x14ac:dyDescent="0.25">
      <c r="A96" s="86">
        <v>94</v>
      </c>
      <c r="B96" s="88">
        <v>3.2370000000000001</v>
      </c>
    </row>
    <row r="97" spans="1:2" x14ac:dyDescent="0.25">
      <c r="A97" s="86">
        <v>95</v>
      </c>
      <c r="B97" s="88">
        <v>2.9980000000000002</v>
      </c>
    </row>
    <row r="98" spans="1:2" x14ac:dyDescent="0.25">
      <c r="A98" s="86">
        <v>96</v>
      </c>
      <c r="B98" s="88">
        <v>2.7839999999999998</v>
      </c>
    </row>
    <row r="99" spans="1:2" x14ac:dyDescent="0.25">
      <c r="A99" s="86">
        <v>97</v>
      </c>
      <c r="B99" s="88">
        <v>2.5939999999999999</v>
      </c>
    </row>
    <row r="100" spans="1:2" x14ac:dyDescent="0.25">
      <c r="A100" s="86">
        <v>98</v>
      </c>
      <c r="B100" s="88">
        <v>2.4300000000000002</v>
      </c>
    </row>
    <row r="101" spans="1:2" x14ac:dyDescent="0.25">
      <c r="A101" s="86">
        <v>99</v>
      </c>
      <c r="B101" s="88">
        <v>2.2989999999999999</v>
      </c>
    </row>
  </sheetData>
  <sheetProtection algorithmName="SHA-512" hashValue="0zLzANrwiJBjD1Cx0pN5DoMc697Q3hVFyCQaeiuulWHbwL0W1ZM5X5G6zkeDvr4SEx/+isD0KuUXbiH4z4zl9g==" saltValue="3AT+FFIapEX2nIuDK5xDnA==" spinCount="100000" sheet="1" objects="1" scenarios="1"/>
  <conditionalFormatting sqref="A6:A21">
    <cfRule type="expression" dxfId="305" priority="1" stopIfTrue="1">
      <formula>MOD(ROW(),2)=0</formula>
    </cfRule>
    <cfRule type="expression" dxfId="304" priority="2" stopIfTrue="1">
      <formula>MOD(ROW(),2)&lt;&gt;0</formula>
    </cfRule>
  </conditionalFormatting>
  <conditionalFormatting sqref="A26:A101">
    <cfRule type="expression" dxfId="303" priority="5" stopIfTrue="1">
      <formula>MOD(ROW(),2)=0</formula>
    </cfRule>
    <cfRule type="expression" dxfId="302" priority="6" stopIfTrue="1">
      <formula>MOD(ROW(),2)&lt;&gt;0</formula>
    </cfRule>
  </conditionalFormatting>
  <conditionalFormatting sqref="B6:B21">
    <cfRule type="expression" dxfId="301" priority="21" stopIfTrue="1">
      <formula>MOD(ROW(),2)=0</formula>
    </cfRule>
    <cfRule type="expression" dxfId="300" priority="22" stopIfTrue="1">
      <formula>MOD(ROW(),2)&lt;&gt;0</formula>
    </cfRule>
  </conditionalFormatting>
  <conditionalFormatting sqref="B17:B21">
    <cfRule type="expression" dxfId="299" priority="3" stopIfTrue="1">
      <formula>MOD(ROW(),2)=0</formula>
    </cfRule>
    <cfRule type="expression" dxfId="298" priority="4" stopIfTrue="1">
      <formula>MOD(ROW(),2)&lt;&gt;0</formula>
    </cfRule>
  </conditionalFormatting>
  <conditionalFormatting sqref="B26:B101">
    <cfRule type="expression" dxfId="297" priority="7" stopIfTrue="1">
      <formula>MOD(ROW(),2)=0</formula>
    </cfRule>
    <cfRule type="expression" dxfId="296" priority="8" stopIfTrue="1">
      <formula>MOD(ROW(),2)&lt;&gt;0</formula>
    </cfRule>
  </conditionalFormatting>
  <hyperlinks>
    <hyperlink ref="B24" location="Assumptions!A1" display="Assumptions" xr:uid="{CE039A65-7734-4BB2-986B-7A5C11C6C60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7"/>
  <dimension ref="A1:I46"/>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Triv Comm - x-503</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2015</v>
      </c>
      <c r="C8" s="148"/>
    </row>
    <row r="9" spans="1:9" x14ac:dyDescent="0.25">
      <c r="A9" s="76" t="s">
        <v>80</v>
      </c>
      <c r="B9" s="148" t="s">
        <v>237</v>
      </c>
      <c r="C9" s="148"/>
    </row>
    <row r="10" spans="1:9" x14ac:dyDescent="0.25">
      <c r="A10" s="76" t="s">
        <v>6</v>
      </c>
      <c r="B10" s="148" t="s">
        <v>245</v>
      </c>
      <c r="C10" s="148"/>
    </row>
    <row r="11" spans="1:9" x14ac:dyDescent="0.25">
      <c r="A11" s="76" t="s">
        <v>81</v>
      </c>
      <c r="B11" s="148" t="s">
        <v>176</v>
      </c>
      <c r="C11" s="148"/>
    </row>
    <row r="12" spans="1:9" x14ac:dyDescent="0.25">
      <c r="A12" s="76" t="s">
        <v>82</v>
      </c>
      <c r="B12" s="148" t="s">
        <v>239</v>
      </c>
      <c r="C12" s="148"/>
    </row>
    <row r="13" spans="1:9" x14ac:dyDescent="0.25">
      <c r="A13" s="76" t="s">
        <v>342</v>
      </c>
      <c r="B13" s="148">
        <v>0</v>
      </c>
      <c r="C13" s="148"/>
    </row>
    <row r="14" spans="1:9" x14ac:dyDescent="0.25">
      <c r="A14" s="76" t="s">
        <v>84</v>
      </c>
      <c r="B14" s="148">
        <v>503</v>
      </c>
      <c r="C14" s="148"/>
    </row>
    <row r="15" spans="1:9" x14ac:dyDescent="0.25">
      <c r="A15" s="76" t="s">
        <v>345</v>
      </c>
      <c r="B15" s="148" t="s">
        <v>246</v>
      </c>
      <c r="C15" s="148"/>
    </row>
    <row r="16" spans="1:9" x14ac:dyDescent="0.25">
      <c r="A16" s="76" t="s">
        <v>86</v>
      </c>
      <c r="B16" s="148" t="s">
        <v>241</v>
      </c>
      <c r="C16" s="148"/>
    </row>
    <row r="17" spans="1:3" x14ac:dyDescent="0.25">
      <c r="A17" s="76" t="s">
        <v>414</v>
      </c>
      <c r="B17" s="148"/>
      <c r="C17" s="148"/>
    </row>
    <row r="18" spans="1:3" x14ac:dyDescent="0.25">
      <c r="A18" s="76" t="s">
        <v>88</v>
      </c>
      <c r="B18" s="152">
        <v>45135</v>
      </c>
      <c r="C18" s="148"/>
    </row>
    <row r="19" spans="1:3" x14ac:dyDescent="0.25">
      <c r="A19" s="76" t="s">
        <v>89</v>
      </c>
      <c r="B19" s="152">
        <v>45135</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6" spans="1:3" ht="39.6" x14ac:dyDescent="0.25">
      <c r="A26" s="85" t="s">
        <v>415</v>
      </c>
      <c r="B26" s="85" t="s">
        <v>447</v>
      </c>
      <c r="C26" s="85" t="s">
        <v>448</v>
      </c>
    </row>
    <row r="27" spans="1:3" x14ac:dyDescent="0.25">
      <c r="A27" s="86">
        <v>55</v>
      </c>
      <c r="B27" s="88">
        <v>23.369</v>
      </c>
      <c r="C27" s="88">
        <v>3.9689999999999999</v>
      </c>
    </row>
    <row r="28" spans="1:3" x14ac:dyDescent="0.25">
      <c r="A28" s="86">
        <v>56</v>
      </c>
      <c r="B28" s="88">
        <v>22.783999999999999</v>
      </c>
      <c r="C28" s="88">
        <v>3.9980000000000002</v>
      </c>
    </row>
    <row r="29" spans="1:3" x14ac:dyDescent="0.25">
      <c r="A29" s="86">
        <v>57</v>
      </c>
      <c r="B29" s="88">
        <v>22.193000000000001</v>
      </c>
      <c r="C29" s="88">
        <v>4.024</v>
      </c>
    </row>
    <row r="30" spans="1:3" x14ac:dyDescent="0.25">
      <c r="A30" s="86">
        <v>58</v>
      </c>
      <c r="B30" s="88">
        <v>21.596</v>
      </c>
      <c r="C30" s="88">
        <v>4.0490000000000004</v>
      </c>
    </row>
    <row r="31" spans="1:3" x14ac:dyDescent="0.25">
      <c r="A31" s="86">
        <v>59</v>
      </c>
      <c r="B31" s="88">
        <v>20.992999999999999</v>
      </c>
      <c r="C31" s="88">
        <v>4.0730000000000004</v>
      </c>
    </row>
    <row r="32" spans="1:3" x14ac:dyDescent="0.25">
      <c r="A32" s="86">
        <v>60</v>
      </c>
      <c r="B32" s="88">
        <v>20.385999999999999</v>
      </c>
      <c r="C32" s="88">
        <v>4.0940000000000003</v>
      </c>
    </row>
    <row r="33" spans="1:3" x14ac:dyDescent="0.25">
      <c r="A33" s="86">
        <v>61</v>
      </c>
      <c r="B33" s="88">
        <v>19.774999999999999</v>
      </c>
      <c r="C33" s="88">
        <v>4.1130000000000004</v>
      </c>
    </row>
    <row r="34" spans="1:3" x14ac:dyDescent="0.25">
      <c r="A34" s="86">
        <v>62</v>
      </c>
      <c r="B34" s="88">
        <v>19.16</v>
      </c>
      <c r="C34" s="88">
        <v>4.1280000000000001</v>
      </c>
    </row>
    <row r="35" spans="1:3" x14ac:dyDescent="0.25">
      <c r="A35" s="86">
        <v>63</v>
      </c>
      <c r="B35" s="88">
        <v>18.544</v>
      </c>
      <c r="C35" s="88">
        <v>4.1399999999999997</v>
      </c>
    </row>
    <row r="36" spans="1:3" x14ac:dyDescent="0.25">
      <c r="A36" s="86">
        <v>64</v>
      </c>
      <c r="B36" s="88">
        <v>17.925000000000001</v>
      </c>
      <c r="C36" s="88">
        <v>4.1479999999999997</v>
      </c>
    </row>
    <row r="37" spans="1:3" x14ac:dyDescent="0.25">
      <c r="A37" s="86">
        <v>65</v>
      </c>
      <c r="B37" s="88">
        <v>17.306000000000001</v>
      </c>
      <c r="C37" s="88">
        <v>4.1520000000000001</v>
      </c>
    </row>
    <row r="38" spans="1:3" x14ac:dyDescent="0.25">
      <c r="A38" s="86">
        <v>66</v>
      </c>
      <c r="B38" s="88">
        <v>16.687000000000001</v>
      </c>
      <c r="C38" s="88">
        <v>4.1509999999999998</v>
      </c>
    </row>
    <row r="39" spans="1:3" x14ac:dyDescent="0.25">
      <c r="A39" s="86">
        <v>67</v>
      </c>
      <c r="B39" s="88">
        <v>16.068000000000001</v>
      </c>
      <c r="C39" s="88">
        <v>4.1449999999999996</v>
      </c>
    </row>
    <row r="40" spans="1:3" x14ac:dyDescent="0.25">
      <c r="A40" s="86">
        <v>68</v>
      </c>
      <c r="B40" s="88">
        <v>15.45</v>
      </c>
      <c r="C40" s="88">
        <v>4.1349999999999998</v>
      </c>
    </row>
    <row r="41" spans="1:3" x14ac:dyDescent="0.25">
      <c r="A41" s="86">
        <v>69</v>
      </c>
      <c r="B41" s="88">
        <v>14.834</v>
      </c>
      <c r="C41" s="88">
        <v>4.0679999999999996</v>
      </c>
    </row>
    <row r="42" spans="1:3" x14ac:dyDescent="0.25">
      <c r="A42" s="86">
        <v>70</v>
      </c>
      <c r="B42" s="88">
        <v>14.222</v>
      </c>
      <c r="C42" s="88">
        <v>3.9969999999999999</v>
      </c>
    </row>
    <row r="43" spans="1:3" x14ac:dyDescent="0.25">
      <c r="A43" s="86">
        <v>71</v>
      </c>
      <c r="B43" s="88">
        <v>13.616</v>
      </c>
      <c r="C43" s="88">
        <v>3.972</v>
      </c>
    </row>
    <row r="44" spans="1:3" x14ac:dyDescent="0.25">
      <c r="A44" s="86">
        <v>72</v>
      </c>
      <c r="B44" s="88">
        <v>13.016999999999999</v>
      </c>
      <c r="C44" s="88">
        <v>3.9409999999999998</v>
      </c>
    </row>
    <row r="45" spans="1:3" x14ac:dyDescent="0.25">
      <c r="A45" s="86">
        <v>73</v>
      </c>
      <c r="B45" s="88">
        <v>12.428000000000001</v>
      </c>
      <c r="C45" s="88">
        <v>3.9020000000000001</v>
      </c>
    </row>
    <row r="46" spans="1:3" x14ac:dyDescent="0.25">
      <c r="A46" s="86">
        <v>74</v>
      </c>
      <c r="B46" s="88">
        <v>11.848000000000001</v>
      </c>
      <c r="C46" s="88">
        <v>3.7349999999999999</v>
      </c>
    </row>
  </sheetData>
  <sheetProtection algorithmName="SHA-512" hashValue="8fkLaeUcYF/8pG4TKgbzTDieusWyGAPTl3MU9hvbnfb70WS5UssT/wEd+Vo+NNmurCmNQA/6iD+RwwY1NuHvOA==" saltValue="phCqUXZi63Pmlhy/m1nbFQ==" spinCount="100000" sheet="1" objects="1" scenarios="1"/>
  <conditionalFormatting sqref="A6:A21">
    <cfRule type="expression" dxfId="295" priority="1" stopIfTrue="1">
      <formula>MOD(ROW(),2)=0</formula>
    </cfRule>
    <cfRule type="expression" dxfId="294" priority="2" stopIfTrue="1">
      <formula>MOD(ROW(),2)&lt;&gt;0</formula>
    </cfRule>
  </conditionalFormatting>
  <conditionalFormatting sqref="A26:A46">
    <cfRule type="expression" dxfId="293" priority="5" stopIfTrue="1">
      <formula>MOD(ROW(),2)=0</formula>
    </cfRule>
    <cfRule type="expression" dxfId="292" priority="6" stopIfTrue="1">
      <formula>MOD(ROW(),2)&lt;&gt;0</formula>
    </cfRule>
  </conditionalFormatting>
  <conditionalFormatting sqref="B17:B21">
    <cfRule type="expression" dxfId="291" priority="3" stopIfTrue="1">
      <formula>MOD(ROW(),2)=0</formula>
    </cfRule>
    <cfRule type="expression" dxfId="290" priority="4" stopIfTrue="1">
      <formula>MOD(ROW(),2)&lt;&gt;0</formula>
    </cfRule>
  </conditionalFormatting>
  <conditionalFormatting sqref="B6:C21">
    <cfRule type="expression" dxfId="289" priority="23" stopIfTrue="1">
      <formula>MOD(ROW(),2)=0</formula>
    </cfRule>
    <cfRule type="expression" dxfId="288" priority="24" stopIfTrue="1">
      <formula>MOD(ROW(),2)&lt;&gt;0</formula>
    </cfRule>
  </conditionalFormatting>
  <conditionalFormatting sqref="B26:C46">
    <cfRule type="expression" dxfId="287" priority="7" stopIfTrue="1">
      <formula>MOD(ROW(),2)=0</formula>
    </cfRule>
    <cfRule type="expression" dxfId="286" priority="8" stopIfTrue="1">
      <formula>MOD(ROW(),2)&lt;&gt;0</formula>
    </cfRule>
  </conditionalFormatting>
  <hyperlinks>
    <hyperlink ref="B24" location="Assumptions!A1" display="Assumptions" xr:uid="{8E76C030-A053-4035-901C-2AD49186E6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8"/>
  <dimension ref="A1:I101"/>
  <sheetViews>
    <sheetView showGridLines="0" topLeftCell="A3" zoomScale="84" zoomScaleNormal="84" workbookViewId="0">
      <selection activeCell="B6" sqref="B6:B21"/>
    </sheetView>
  </sheetViews>
  <sheetFormatPr defaultColWidth="10" defaultRowHeight="13.2" x14ac:dyDescent="0.25"/>
  <cols>
    <col min="1" max="1" width="31.5546875" style="27" customWidth="1"/>
    <col min="2" max="2" width="47.21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Triv Comm - x-504</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237</v>
      </c>
    </row>
    <row r="10" spans="1:9" x14ac:dyDescent="0.25">
      <c r="A10" s="76" t="s">
        <v>6</v>
      </c>
      <c r="B10" s="148" t="s">
        <v>247</v>
      </c>
    </row>
    <row r="11" spans="1:9" x14ac:dyDescent="0.25">
      <c r="A11" s="76" t="s">
        <v>81</v>
      </c>
      <c r="B11" s="148" t="s">
        <v>176</v>
      </c>
    </row>
    <row r="12" spans="1:9" x14ac:dyDescent="0.25">
      <c r="A12" s="76" t="s">
        <v>82</v>
      </c>
      <c r="B12" s="148" t="s">
        <v>239</v>
      </c>
    </row>
    <row r="13" spans="1:9" x14ac:dyDescent="0.25">
      <c r="A13" s="76" t="s">
        <v>342</v>
      </c>
      <c r="B13" s="148">
        <v>0</v>
      </c>
    </row>
    <row r="14" spans="1:9" x14ac:dyDescent="0.25">
      <c r="A14" s="76" t="s">
        <v>84</v>
      </c>
      <c r="B14" s="148">
        <v>504</v>
      </c>
    </row>
    <row r="15" spans="1:9" x14ac:dyDescent="0.25">
      <c r="A15" s="76" t="s">
        <v>345</v>
      </c>
      <c r="B15" s="148" t="s">
        <v>248</v>
      </c>
    </row>
    <row r="16" spans="1:9" x14ac:dyDescent="0.25">
      <c r="A16" s="76" t="s">
        <v>86</v>
      </c>
      <c r="B16" s="148" t="s">
        <v>244</v>
      </c>
    </row>
    <row r="17" spans="1:2" x14ac:dyDescent="0.25">
      <c r="A17" s="76" t="s">
        <v>414</v>
      </c>
      <c r="B17" s="148"/>
    </row>
    <row r="18" spans="1:2" x14ac:dyDescent="0.25">
      <c r="A18" s="76" t="s">
        <v>88</v>
      </c>
      <c r="B18" s="152">
        <v>45135</v>
      </c>
    </row>
    <row r="19" spans="1:2" x14ac:dyDescent="0.25">
      <c r="A19" s="76" t="s">
        <v>89</v>
      </c>
      <c r="B19" s="152">
        <v>45135</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6" spans="1:2" x14ac:dyDescent="0.25">
      <c r="A26" s="85" t="s">
        <v>415</v>
      </c>
      <c r="B26" s="85" t="s">
        <v>449</v>
      </c>
    </row>
    <row r="27" spans="1:2" x14ac:dyDescent="0.25">
      <c r="A27" s="86">
        <v>25</v>
      </c>
      <c r="B27" s="88">
        <v>38.481999999999999</v>
      </c>
    </row>
    <row r="28" spans="1:2" x14ac:dyDescent="0.25">
      <c r="A28" s="86">
        <v>26</v>
      </c>
      <c r="B28" s="88">
        <v>38.1</v>
      </c>
    </row>
    <row r="29" spans="1:2" x14ac:dyDescent="0.25">
      <c r="A29" s="86">
        <v>27</v>
      </c>
      <c r="B29" s="88">
        <v>37.710999999999999</v>
      </c>
    </row>
    <row r="30" spans="1:2" x14ac:dyDescent="0.25">
      <c r="A30" s="86">
        <v>28</v>
      </c>
      <c r="B30" s="88">
        <v>37.314999999999998</v>
      </c>
    </row>
    <row r="31" spans="1:2" x14ac:dyDescent="0.25">
      <c r="A31" s="86">
        <v>29</v>
      </c>
      <c r="B31" s="88">
        <v>36.912999999999997</v>
      </c>
    </row>
    <row r="32" spans="1:2" x14ac:dyDescent="0.25">
      <c r="A32" s="86">
        <v>30</v>
      </c>
      <c r="B32" s="88">
        <v>36.505000000000003</v>
      </c>
    </row>
    <row r="33" spans="1:2" x14ac:dyDescent="0.25">
      <c r="A33" s="86">
        <v>31</v>
      </c>
      <c r="B33" s="88">
        <v>36.090000000000003</v>
      </c>
    </row>
    <row r="34" spans="1:2" x14ac:dyDescent="0.25">
      <c r="A34" s="86">
        <v>32</v>
      </c>
      <c r="B34" s="88">
        <v>35.667999999999999</v>
      </c>
    </row>
    <row r="35" spans="1:2" x14ac:dyDescent="0.25">
      <c r="A35" s="86">
        <v>33</v>
      </c>
      <c r="B35" s="88">
        <v>35.24</v>
      </c>
    </row>
    <row r="36" spans="1:2" x14ac:dyDescent="0.25">
      <c r="A36" s="86">
        <v>34</v>
      </c>
      <c r="B36" s="88">
        <v>34.805</v>
      </c>
    </row>
    <row r="37" spans="1:2" x14ac:dyDescent="0.25">
      <c r="A37" s="86">
        <v>35</v>
      </c>
      <c r="B37" s="88">
        <v>34.363999999999997</v>
      </c>
    </row>
    <row r="38" spans="1:2" x14ac:dyDescent="0.25">
      <c r="A38" s="86">
        <v>36</v>
      </c>
      <c r="B38" s="88">
        <v>33.917000000000002</v>
      </c>
    </row>
    <row r="39" spans="1:2" x14ac:dyDescent="0.25">
      <c r="A39" s="86">
        <v>37</v>
      </c>
      <c r="B39" s="88">
        <v>33.463000000000001</v>
      </c>
    </row>
    <row r="40" spans="1:2" x14ac:dyDescent="0.25">
      <c r="A40" s="86">
        <v>38</v>
      </c>
      <c r="B40" s="88">
        <v>33.003</v>
      </c>
    </row>
    <row r="41" spans="1:2" x14ac:dyDescent="0.25">
      <c r="A41" s="86">
        <v>39</v>
      </c>
      <c r="B41" s="88">
        <v>32.536999999999999</v>
      </c>
    </row>
    <row r="42" spans="1:2" x14ac:dyDescent="0.25">
      <c r="A42" s="86">
        <v>40</v>
      </c>
      <c r="B42" s="88">
        <v>32.064</v>
      </c>
    </row>
    <row r="43" spans="1:2" x14ac:dyDescent="0.25">
      <c r="A43" s="86">
        <v>41</v>
      </c>
      <c r="B43" s="88">
        <v>31.585000000000001</v>
      </c>
    </row>
    <row r="44" spans="1:2" x14ac:dyDescent="0.25">
      <c r="A44" s="86">
        <v>42</v>
      </c>
      <c r="B44" s="88">
        <v>31.1</v>
      </c>
    </row>
    <row r="45" spans="1:2" x14ac:dyDescent="0.25">
      <c r="A45" s="86">
        <v>43</v>
      </c>
      <c r="B45" s="88">
        <v>30.609000000000002</v>
      </c>
    </row>
    <row r="46" spans="1:2" x14ac:dyDescent="0.25">
      <c r="A46" s="86">
        <v>44</v>
      </c>
      <c r="B46" s="88">
        <v>30.113</v>
      </c>
    </row>
    <row r="47" spans="1:2" x14ac:dyDescent="0.25">
      <c r="A47" s="86">
        <v>45</v>
      </c>
      <c r="B47" s="88">
        <v>29.611999999999998</v>
      </c>
    </row>
    <row r="48" spans="1:2" x14ac:dyDescent="0.25">
      <c r="A48" s="86">
        <v>46</v>
      </c>
      <c r="B48" s="88">
        <v>29.106999999999999</v>
      </c>
    </row>
    <row r="49" spans="1:2" x14ac:dyDescent="0.25">
      <c r="A49" s="86">
        <v>47</v>
      </c>
      <c r="B49" s="88">
        <v>28.597000000000001</v>
      </c>
    </row>
    <row r="50" spans="1:2" x14ac:dyDescent="0.25">
      <c r="A50" s="86">
        <v>48</v>
      </c>
      <c r="B50" s="88">
        <v>28.082000000000001</v>
      </c>
    </row>
    <row r="51" spans="1:2" x14ac:dyDescent="0.25">
      <c r="A51" s="86">
        <v>49</v>
      </c>
      <c r="B51" s="88">
        <v>27.561</v>
      </c>
    </row>
    <row r="52" spans="1:2" x14ac:dyDescent="0.25">
      <c r="A52" s="86">
        <v>50</v>
      </c>
      <c r="B52" s="88">
        <v>27.035</v>
      </c>
    </row>
    <row r="53" spans="1:2" x14ac:dyDescent="0.25">
      <c r="A53" s="86">
        <v>51</v>
      </c>
      <c r="B53" s="88">
        <v>26.501999999999999</v>
      </c>
    </row>
    <row r="54" spans="1:2" x14ac:dyDescent="0.25">
      <c r="A54" s="86">
        <v>52</v>
      </c>
      <c r="B54" s="88">
        <v>25.963999999999999</v>
      </c>
    </row>
    <row r="55" spans="1:2" x14ac:dyDescent="0.25">
      <c r="A55" s="86">
        <v>53</v>
      </c>
      <c r="B55" s="88">
        <v>25.419</v>
      </c>
    </row>
    <row r="56" spans="1:2" x14ac:dyDescent="0.25">
      <c r="A56" s="86">
        <v>54</v>
      </c>
      <c r="B56" s="88">
        <v>24.869</v>
      </c>
    </row>
    <row r="57" spans="1:2" x14ac:dyDescent="0.25">
      <c r="A57" s="86">
        <v>55</v>
      </c>
      <c r="B57" s="88">
        <v>24.312000000000001</v>
      </c>
    </row>
    <row r="58" spans="1:2" x14ac:dyDescent="0.25">
      <c r="A58" s="86">
        <v>56</v>
      </c>
      <c r="B58" s="88">
        <v>23.748999999999999</v>
      </c>
    </row>
    <row r="59" spans="1:2" x14ac:dyDescent="0.25">
      <c r="A59" s="86">
        <v>57</v>
      </c>
      <c r="B59" s="88">
        <v>23.181000000000001</v>
      </c>
    </row>
    <row r="60" spans="1:2" x14ac:dyDescent="0.25">
      <c r="A60" s="86">
        <v>58</v>
      </c>
      <c r="B60" s="88">
        <v>22.606000000000002</v>
      </c>
    </row>
    <row r="61" spans="1:2" x14ac:dyDescent="0.25">
      <c r="A61" s="86">
        <v>59</v>
      </c>
      <c r="B61" s="88">
        <v>22.027000000000001</v>
      </c>
    </row>
    <row r="62" spans="1:2" x14ac:dyDescent="0.25">
      <c r="A62" s="86">
        <v>60</v>
      </c>
      <c r="B62" s="88">
        <v>21.440999999999999</v>
      </c>
    </row>
    <row r="63" spans="1:2" x14ac:dyDescent="0.25">
      <c r="A63" s="86">
        <v>61</v>
      </c>
      <c r="B63" s="88">
        <v>20.85</v>
      </c>
    </row>
    <row r="64" spans="1:2" x14ac:dyDescent="0.25">
      <c r="A64" s="86">
        <v>62</v>
      </c>
      <c r="B64" s="88">
        <v>20.254000000000001</v>
      </c>
    </row>
    <row r="65" spans="1:2" x14ac:dyDescent="0.25">
      <c r="A65" s="86">
        <v>63</v>
      </c>
      <c r="B65" s="88">
        <v>19.654</v>
      </c>
    </row>
    <row r="66" spans="1:2" x14ac:dyDescent="0.25">
      <c r="A66" s="86">
        <v>64</v>
      </c>
      <c r="B66" s="88">
        <v>19.048999999999999</v>
      </c>
    </row>
    <row r="67" spans="1:2" x14ac:dyDescent="0.25">
      <c r="A67" s="86">
        <v>65</v>
      </c>
      <c r="B67" s="88">
        <v>18.440999999999999</v>
      </c>
    </row>
    <row r="68" spans="1:2" x14ac:dyDescent="0.25">
      <c r="A68" s="86">
        <v>66</v>
      </c>
      <c r="B68" s="88">
        <v>17.829000000000001</v>
      </c>
    </row>
    <row r="69" spans="1:2" x14ac:dyDescent="0.25">
      <c r="A69" s="86">
        <v>67</v>
      </c>
      <c r="B69" s="88">
        <v>17.213999999999999</v>
      </c>
    </row>
    <row r="70" spans="1:2" x14ac:dyDescent="0.25">
      <c r="A70" s="86">
        <v>68</v>
      </c>
      <c r="B70" s="88">
        <v>16.596</v>
      </c>
    </row>
    <row r="71" spans="1:2" x14ac:dyDescent="0.25">
      <c r="A71" s="86">
        <v>69</v>
      </c>
      <c r="B71" s="88">
        <v>15.975</v>
      </c>
    </row>
    <row r="72" spans="1:2" x14ac:dyDescent="0.25">
      <c r="A72" s="86">
        <v>70</v>
      </c>
      <c r="B72" s="88">
        <v>15.349</v>
      </c>
    </row>
    <row r="73" spans="1:2" x14ac:dyDescent="0.25">
      <c r="A73" s="86">
        <v>71</v>
      </c>
      <c r="B73" s="88">
        <v>14.723000000000001</v>
      </c>
    </row>
    <row r="74" spans="1:2" x14ac:dyDescent="0.25">
      <c r="A74" s="86">
        <v>72</v>
      </c>
      <c r="B74" s="88">
        <v>14.101000000000001</v>
      </c>
    </row>
    <row r="75" spans="1:2" x14ac:dyDescent="0.25">
      <c r="A75" s="86">
        <v>73</v>
      </c>
      <c r="B75" s="88">
        <v>13.478999999999999</v>
      </c>
    </row>
    <row r="76" spans="1:2" x14ac:dyDescent="0.25">
      <c r="A76" s="86">
        <v>74</v>
      </c>
      <c r="B76" s="88">
        <v>12.859</v>
      </c>
    </row>
    <row r="77" spans="1:2" x14ac:dyDescent="0.25">
      <c r="A77" s="86">
        <v>75</v>
      </c>
      <c r="B77" s="88">
        <v>12.242000000000001</v>
      </c>
    </row>
    <row r="78" spans="1:2" x14ac:dyDescent="0.25">
      <c r="A78" s="86">
        <v>76</v>
      </c>
      <c r="B78" s="88">
        <v>11.629</v>
      </c>
    </row>
    <row r="79" spans="1:2" x14ac:dyDescent="0.25">
      <c r="A79" s="86">
        <v>77</v>
      </c>
      <c r="B79" s="88">
        <v>11.023</v>
      </c>
    </row>
    <row r="80" spans="1:2" x14ac:dyDescent="0.25">
      <c r="A80" s="86">
        <v>78</v>
      </c>
      <c r="B80" s="88">
        <v>10.423999999999999</v>
      </c>
    </row>
    <row r="81" spans="1:2" x14ac:dyDescent="0.25">
      <c r="A81" s="86">
        <v>79</v>
      </c>
      <c r="B81" s="88">
        <v>9.8350000000000009</v>
      </c>
    </row>
    <row r="82" spans="1:2" x14ac:dyDescent="0.25">
      <c r="A82" s="86">
        <v>80</v>
      </c>
      <c r="B82" s="88">
        <v>9.2569999999999997</v>
      </c>
    </row>
    <row r="83" spans="1:2" x14ac:dyDescent="0.25">
      <c r="A83" s="86">
        <v>81</v>
      </c>
      <c r="B83" s="88">
        <v>8.6920000000000002</v>
      </c>
    </row>
    <row r="84" spans="1:2" x14ac:dyDescent="0.25">
      <c r="A84" s="86">
        <v>82</v>
      </c>
      <c r="B84" s="88">
        <v>8.141</v>
      </c>
    </row>
    <row r="85" spans="1:2" x14ac:dyDescent="0.25">
      <c r="A85" s="86">
        <v>83</v>
      </c>
      <c r="B85" s="88">
        <v>7.6050000000000004</v>
      </c>
    </row>
    <row r="86" spans="1:2" x14ac:dyDescent="0.25">
      <c r="A86" s="86">
        <v>84</v>
      </c>
      <c r="B86" s="88">
        <v>7.085</v>
      </c>
    </row>
    <row r="87" spans="1:2" x14ac:dyDescent="0.25">
      <c r="A87" s="86">
        <v>85</v>
      </c>
      <c r="B87" s="88">
        <v>6.5830000000000002</v>
      </c>
    </row>
    <row r="88" spans="1:2" x14ac:dyDescent="0.25">
      <c r="A88" s="86">
        <v>86</v>
      </c>
      <c r="B88" s="88">
        <v>6.1040000000000001</v>
      </c>
    </row>
    <row r="89" spans="1:2" x14ac:dyDescent="0.25">
      <c r="A89" s="86">
        <v>87</v>
      </c>
      <c r="B89" s="88">
        <v>5.6509999999999998</v>
      </c>
    </row>
    <row r="90" spans="1:2" x14ac:dyDescent="0.25">
      <c r="A90" s="86">
        <v>88</v>
      </c>
      <c r="B90" s="88">
        <v>5.226</v>
      </c>
    </row>
    <row r="91" spans="1:2" x14ac:dyDescent="0.25">
      <c r="A91" s="86">
        <v>89</v>
      </c>
      <c r="B91" s="88">
        <v>4.827</v>
      </c>
    </row>
    <row r="92" spans="1:2" x14ac:dyDescent="0.25">
      <c r="A92" s="86">
        <v>90</v>
      </c>
      <c r="B92" s="88">
        <v>4.4530000000000003</v>
      </c>
    </row>
    <row r="93" spans="1:2" x14ac:dyDescent="0.25">
      <c r="A93" s="86">
        <v>91</v>
      </c>
      <c r="B93" s="88">
        <v>4.1079999999999997</v>
      </c>
    </row>
    <row r="94" spans="1:2" x14ac:dyDescent="0.25">
      <c r="A94" s="86">
        <v>92</v>
      </c>
      <c r="B94" s="88">
        <v>3.79</v>
      </c>
    </row>
    <row r="95" spans="1:2" x14ac:dyDescent="0.25">
      <c r="A95" s="86">
        <v>93</v>
      </c>
      <c r="B95" s="88">
        <v>3.5009999999999999</v>
      </c>
    </row>
    <row r="96" spans="1:2" x14ac:dyDescent="0.25">
      <c r="A96" s="86">
        <v>94</v>
      </c>
      <c r="B96" s="88">
        <v>3.2370000000000001</v>
      </c>
    </row>
    <row r="97" spans="1:2" x14ac:dyDescent="0.25">
      <c r="A97" s="86">
        <v>95</v>
      </c>
      <c r="B97" s="88">
        <v>2.9980000000000002</v>
      </c>
    </row>
    <row r="98" spans="1:2" x14ac:dyDescent="0.25">
      <c r="A98" s="86">
        <v>96</v>
      </c>
      <c r="B98" s="88">
        <v>2.7839999999999998</v>
      </c>
    </row>
    <row r="99" spans="1:2" x14ac:dyDescent="0.25">
      <c r="A99" s="86">
        <v>97</v>
      </c>
      <c r="B99" s="88">
        <v>2.5939999999999999</v>
      </c>
    </row>
    <row r="100" spans="1:2" x14ac:dyDescent="0.25">
      <c r="A100" s="86">
        <v>98</v>
      </c>
      <c r="B100" s="88">
        <v>2.4300000000000002</v>
      </c>
    </row>
    <row r="101" spans="1:2" x14ac:dyDescent="0.25">
      <c r="A101" s="86">
        <v>99</v>
      </c>
      <c r="B101" s="88">
        <v>2.2989999999999999</v>
      </c>
    </row>
  </sheetData>
  <sheetProtection algorithmName="SHA-512" hashValue="8HQigrBxgbWnd1Y9F5EwfzqElfbFV9oNOvtXJCIjmDryr1yluIjjcH3kB5ih4CuuKwmSirEeqmjJksAfA70b9A==" saltValue="rP4rn/lLMZ8mdQwrrL8avg==" spinCount="100000" sheet="1" objects="1" scenarios="1"/>
  <conditionalFormatting sqref="A6:A21">
    <cfRule type="expression" dxfId="285" priority="1" stopIfTrue="1">
      <formula>MOD(ROW(),2)=0</formula>
    </cfRule>
    <cfRule type="expression" dxfId="284" priority="2" stopIfTrue="1">
      <formula>MOD(ROW(),2)&lt;&gt;0</formula>
    </cfRule>
  </conditionalFormatting>
  <conditionalFormatting sqref="A26:A101">
    <cfRule type="expression" dxfId="283" priority="5" stopIfTrue="1">
      <formula>MOD(ROW(),2)=0</formula>
    </cfRule>
    <cfRule type="expression" dxfId="282" priority="6" stopIfTrue="1">
      <formula>MOD(ROW(),2)&lt;&gt;0</formula>
    </cfRule>
  </conditionalFormatting>
  <conditionalFormatting sqref="B6:B21">
    <cfRule type="expression" dxfId="281" priority="21" stopIfTrue="1">
      <formula>MOD(ROW(),2)=0</formula>
    </cfRule>
    <cfRule type="expression" dxfId="280" priority="22" stopIfTrue="1">
      <formula>MOD(ROW(),2)&lt;&gt;0</formula>
    </cfRule>
  </conditionalFormatting>
  <conditionalFormatting sqref="B17:B21">
    <cfRule type="expression" dxfId="279" priority="3" stopIfTrue="1">
      <formula>MOD(ROW(),2)=0</formula>
    </cfRule>
    <cfRule type="expression" dxfId="278" priority="4" stopIfTrue="1">
      <formula>MOD(ROW(),2)&lt;&gt;0</formula>
    </cfRule>
  </conditionalFormatting>
  <conditionalFormatting sqref="B26:B101">
    <cfRule type="expression" dxfId="277" priority="7" stopIfTrue="1">
      <formula>MOD(ROW(),2)=0</formula>
    </cfRule>
    <cfRule type="expression" dxfId="276" priority="8" stopIfTrue="1">
      <formula>MOD(ROW(),2)&lt;&gt;0</formula>
    </cfRule>
  </conditionalFormatting>
  <hyperlinks>
    <hyperlink ref="B24" location="Assumptions!A1" display="Assumptions" xr:uid="{548ADA7E-125B-4587-9029-6C17DAF0F5B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15"/>
  <dimension ref="A1:M53"/>
  <sheetViews>
    <sheetView showGridLines="0" zoomScale="84" zoomScaleNormal="84" workbookViewId="0">
      <selection activeCell="B6" sqref="B6:M21"/>
    </sheetView>
  </sheetViews>
  <sheetFormatPr defaultColWidth="10" defaultRowHeight="13.2" x14ac:dyDescent="0.25"/>
  <cols>
    <col min="1" max="1" width="34" style="27" customWidth="1"/>
    <col min="2" max="2" width="27.44140625" style="27" customWidth="1"/>
    <col min="3" max="3" width="10.21875" style="27" customWidth="1"/>
    <col min="4" max="4" width="10" style="27" customWidth="1"/>
    <col min="5" max="16384" width="10" style="27"/>
  </cols>
  <sheetData>
    <row r="1" spans="1:13" ht="21" x14ac:dyDescent="0.4">
      <c r="A1" s="39" t="s">
        <v>0</v>
      </c>
      <c r="B1" s="40"/>
      <c r="C1" s="40"/>
      <c r="D1" s="40"/>
      <c r="E1" s="40"/>
      <c r="F1" s="40"/>
      <c r="G1" s="40"/>
      <c r="H1" s="40"/>
      <c r="I1" s="40"/>
    </row>
    <row r="2" spans="1:13" ht="15.6" x14ac:dyDescent="0.3">
      <c r="A2" s="41" t="str">
        <f>IF(title="&gt; Enter workbook title here","Enter workbook title in Cover sheet",title)</f>
        <v>Fire England - Consolidated Factor Spreadsheet</v>
      </c>
      <c r="B2" s="42"/>
      <c r="C2" s="42"/>
      <c r="D2" s="42"/>
      <c r="E2" s="42"/>
      <c r="F2" s="42"/>
      <c r="G2" s="42"/>
      <c r="H2" s="42"/>
      <c r="I2" s="42"/>
    </row>
    <row r="3" spans="1:13" ht="15.6" x14ac:dyDescent="0.3">
      <c r="A3" s="43" t="str">
        <f>TABLE_FACTOR_TYPE_1&amp;" - x-"&amp;TABLE_SERIES_NUMBER_1</f>
        <v>Commutation - x-505</v>
      </c>
      <c r="B3" s="42"/>
      <c r="C3" s="42"/>
      <c r="D3" s="42"/>
      <c r="E3" s="42"/>
      <c r="F3" s="42"/>
      <c r="G3" s="42"/>
      <c r="H3" s="42"/>
      <c r="I3" s="42"/>
    </row>
    <row r="4" spans="1:13" x14ac:dyDescent="0.25">
      <c r="A4" s="44"/>
    </row>
    <row r="6" spans="1:13" x14ac:dyDescent="0.25">
      <c r="A6" s="74" t="s">
        <v>334</v>
      </c>
      <c r="B6" s="148" t="s">
        <v>335</v>
      </c>
      <c r="C6" s="148"/>
      <c r="D6" s="148"/>
      <c r="E6" s="148"/>
      <c r="F6" s="148"/>
      <c r="G6" s="148"/>
      <c r="H6" s="148"/>
      <c r="I6" s="148"/>
      <c r="J6" s="148"/>
      <c r="K6" s="148"/>
      <c r="L6" s="148"/>
      <c r="M6" s="148"/>
    </row>
    <row r="7" spans="1:13" x14ac:dyDescent="0.25">
      <c r="A7" s="76" t="s">
        <v>78</v>
      </c>
      <c r="B7" s="148" t="s">
        <v>67</v>
      </c>
      <c r="C7" s="148"/>
      <c r="D7" s="148"/>
      <c r="E7" s="148"/>
      <c r="F7" s="148"/>
      <c r="G7" s="148"/>
      <c r="H7" s="148"/>
      <c r="I7" s="148"/>
      <c r="J7" s="148"/>
      <c r="K7" s="148"/>
      <c r="L7" s="148"/>
      <c r="M7" s="148"/>
    </row>
    <row r="8" spans="1:13" x14ac:dyDescent="0.25">
      <c r="A8" s="76" t="s">
        <v>79</v>
      </c>
      <c r="B8" s="148">
        <v>1992</v>
      </c>
      <c r="C8" s="148"/>
      <c r="D8" s="148"/>
      <c r="E8" s="148"/>
      <c r="F8" s="148"/>
      <c r="G8" s="148"/>
      <c r="H8" s="148"/>
      <c r="I8" s="148"/>
      <c r="J8" s="148"/>
      <c r="K8" s="148"/>
      <c r="L8" s="148"/>
      <c r="M8" s="148"/>
    </row>
    <row r="9" spans="1:13" x14ac:dyDescent="0.25">
      <c r="A9" s="76" t="s">
        <v>80</v>
      </c>
      <c r="B9" s="148" t="s">
        <v>249</v>
      </c>
      <c r="C9" s="148"/>
      <c r="D9" s="148"/>
      <c r="E9" s="148"/>
      <c r="F9" s="148"/>
      <c r="G9" s="148"/>
      <c r="H9" s="148"/>
      <c r="I9" s="148"/>
      <c r="J9" s="148"/>
      <c r="K9" s="148"/>
      <c r="L9" s="148"/>
      <c r="M9" s="148"/>
    </row>
    <row r="10" spans="1:13" ht="12.75" customHeight="1" x14ac:dyDescent="0.25">
      <c r="A10" s="76" t="s">
        <v>6</v>
      </c>
      <c r="B10" s="148" t="s">
        <v>250</v>
      </c>
      <c r="C10" s="148"/>
      <c r="D10" s="148"/>
      <c r="E10" s="148"/>
      <c r="F10" s="148"/>
      <c r="G10" s="148"/>
      <c r="H10" s="148"/>
      <c r="I10" s="148"/>
      <c r="J10" s="148"/>
      <c r="K10" s="148"/>
      <c r="L10" s="148"/>
      <c r="M10" s="148"/>
    </row>
    <row r="11" spans="1:13" x14ac:dyDescent="0.25">
      <c r="A11" s="76" t="s">
        <v>81</v>
      </c>
      <c r="B11" s="148" t="s">
        <v>176</v>
      </c>
      <c r="C11" s="148"/>
      <c r="D11" s="148"/>
      <c r="E11" s="148"/>
      <c r="F11" s="148"/>
      <c r="G11" s="148"/>
      <c r="H11" s="148"/>
      <c r="I11" s="148"/>
      <c r="J11" s="148"/>
      <c r="K11" s="148"/>
      <c r="L11" s="148"/>
      <c r="M11" s="148"/>
    </row>
    <row r="12" spans="1:13" ht="12.75" customHeight="1" x14ac:dyDescent="0.25">
      <c r="A12" s="76" t="s">
        <v>82</v>
      </c>
      <c r="B12" s="148" t="s">
        <v>251</v>
      </c>
      <c r="C12" s="148"/>
      <c r="D12" s="148"/>
      <c r="E12" s="148"/>
      <c r="F12" s="148"/>
      <c r="G12" s="148"/>
      <c r="H12" s="148"/>
      <c r="I12" s="148"/>
      <c r="J12" s="148"/>
      <c r="K12" s="148"/>
      <c r="L12" s="148"/>
      <c r="M12" s="148"/>
    </row>
    <row r="13" spans="1:13" ht="12.75" customHeight="1" x14ac:dyDescent="0.25">
      <c r="A13" s="76" t="s">
        <v>342</v>
      </c>
      <c r="B13" s="148">
        <v>0</v>
      </c>
      <c r="C13" s="148"/>
      <c r="D13" s="148"/>
      <c r="E13" s="148"/>
      <c r="F13" s="148"/>
      <c r="G13" s="148"/>
      <c r="H13" s="148"/>
      <c r="I13" s="148"/>
      <c r="J13" s="148"/>
      <c r="K13" s="148"/>
      <c r="L13" s="148"/>
      <c r="M13" s="148"/>
    </row>
    <row r="14" spans="1:13" ht="12.75" customHeight="1" x14ac:dyDescent="0.25">
      <c r="A14" s="76" t="s">
        <v>84</v>
      </c>
      <c r="B14" s="148">
        <v>505</v>
      </c>
      <c r="C14" s="148"/>
      <c r="D14" s="148"/>
      <c r="E14" s="148"/>
      <c r="F14" s="148"/>
      <c r="G14" s="148"/>
      <c r="H14" s="148"/>
      <c r="I14" s="148"/>
      <c r="J14" s="148"/>
      <c r="K14" s="148"/>
      <c r="L14" s="148"/>
      <c r="M14" s="148"/>
    </row>
    <row r="15" spans="1:13" x14ac:dyDescent="0.25">
      <c r="A15" s="76" t="s">
        <v>345</v>
      </c>
      <c r="B15" s="148" t="s">
        <v>252</v>
      </c>
      <c r="C15" s="148"/>
      <c r="D15" s="148"/>
      <c r="E15" s="148"/>
      <c r="F15" s="148"/>
      <c r="G15" s="148"/>
      <c r="H15" s="148"/>
      <c r="I15" s="148"/>
      <c r="J15" s="148"/>
      <c r="K15" s="148"/>
      <c r="L15" s="148"/>
      <c r="M15" s="148"/>
    </row>
    <row r="16" spans="1:13" x14ac:dyDescent="0.25">
      <c r="A16" s="76" t="s">
        <v>86</v>
      </c>
      <c r="B16" s="148" t="s">
        <v>241</v>
      </c>
      <c r="C16" s="148"/>
      <c r="D16" s="148"/>
      <c r="E16" s="148"/>
      <c r="F16" s="148"/>
      <c r="G16" s="148"/>
      <c r="H16" s="148"/>
      <c r="I16" s="148"/>
      <c r="J16" s="148"/>
      <c r="K16" s="148"/>
      <c r="L16" s="148"/>
      <c r="M16" s="148"/>
    </row>
    <row r="17" spans="1:13" ht="58.5" customHeight="1" x14ac:dyDescent="0.25">
      <c r="A17" s="76" t="s">
        <v>414</v>
      </c>
      <c r="B17" s="148"/>
      <c r="C17" s="148"/>
      <c r="D17" s="148"/>
      <c r="E17" s="148"/>
      <c r="F17" s="148"/>
      <c r="G17" s="148"/>
      <c r="H17" s="148"/>
      <c r="I17" s="148"/>
      <c r="J17" s="148"/>
      <c r="K17" s="148"/>
      <c r="L17" s="148"/>
      <c r="M17" s="148"/>
    </row>
    <row r="18" spans="1:13" x14ac:dyDescent="0.25">
      <c r="A18" s="76" t="s">
        <v>88</v>
      </c>
      <c r="B18" s="152">
        <v>45019</v>
      </c>
      <c r="C18" s="148"/>
      <c r="D18" s="148"/>
      <c r="E18" s="148"/>
      <c r="F18" s="148"/>
      <c r="G18" s="148"/>
      <c r="H18" s="148"/>
      <c r="I18" s="148"/>
      <c r="J18" s="148"/>
      <c r="K18" s="148"/>
      <c r="L18" s="148"/>
      <c r="M18" s="148"/>
    </row>
    <row r="19" spans="1:13" x14ac:dyDescent="0.25">
      <c r="A19" s="76" t="s">
        <v>89</v>
      </c>
      <c r="B19" s="152">
        <v>45019</v>
      </c>
      <c r="C19" s="148"/>
      <c r="D19" s="148"/>
      <c r="E19" s="148"/>
      <c r="F19" s="148"/>
      <c r="G19" s="148"/>
      <c r="H19" s="148"/>
      <c r="I19" s="148"/>
      <c r="J19" s="148"/>
      <c r="K19" s="148"/>
      <c r="L19" s="148"/>
      <c r="M19" s="148"/>
    </row>
    <row r="20" spans="1:13" x14ac:dyDescent="0.25">
      <c r="A20" s="76" t="s">
        <v>90</v>
      </c>
      <c r="B20" s="148" t="s">
        <v>98</v>
      </c>
      <c r="C20" s="148"/>
      <c r="D20" s="148"/>
      <c r="E20" s="148"/>
      <c r="F20" s="148"/>
      <c r="G20" s="148"/>
      <c r="H20" s="148"/>
      <c r="I20" s="148"/>
      <c r="J20" s="148"/>
      <c r="K20" s="148"/>
      <c r="L20" s="148"/>
      <c r="M20" s="148"/>
    </row>
    <row r="21" spans="1:13" x14ac:dyDescent="0.25">
      <c r="A21" s="72" t="s">
        <v>91</v>
      </c>
      <c r="B21" s="148" t="s">
        <v>99</v>
      </c>
      <c r="C21" s="148"/>
      <c r="D21" s="148"/>
      <c r="E21" s="148"/>
      <c r="F21" s="148"/>
      <c r="G21" s="148"/>
      <c r="H21" s="148"/>
      <c r="I21" s="148"/>
      <c r="J21" s="148"/>
      <c r="K21" s="148"/>
      <c r="L21" s="148"/>
      <c r="M21" s="148"/>
    </row>
    <row r="23" spans="1:13" x14ac:dyDescent="0.25">
      <c r="B23" s="89" t="str">
        <f>HYPERLINK("#'Factor List'!A1","Back to Factor List")</f>
        <v>Back to Factor List</v>
      </c>
    </row>
    <row r="24" spans="1:13" x14ac:dyDescent="0.25">
      <c r="B24" s="89" t="s">
        <v>13</v>
      </c>
    </row>
    <row r="25" spans="1:13" x14ac:dyDescent="0.25">
      <c r="B25" s="89"/>
    </row>
    <row r="26" spans="1:13" x14ac:dyDescent="0.25">
      <c r="A26" s="79" t="s">
        <v>442</v>
      </c>
      <c r="B26" s="100">
        <v>0</v>
      </c>
      <c r="C26" s="100">
        <v>1</v>
      </c>
      <c r="D26" s="100">
        <v>2</v>
      </c>
      <c r="E26" s="100">
        <v>3</v>
      </c>
      <c r="F26" s="100">
        <v>4</v>
      </c>
      <c r="G26" s="100">
        <v>5</v>
      </c>
      <c r="H26" s="100">
        <v>6</v>
      </c>
      <c r="I26" s="100">
        <v>7</v>
      </c>
      <c r="J26" s="100">
        <v>8</v>
      </c>
      <c r="K26" s="100">
        <v>9</v>
      </c>
      <c r="L26" s="100">
        <v>10</v>
      </c>
      <c r="M26" s="100">
        <v>11</v>
      </c>
    </row>
    <row r="27" spans="1:13" x14ac:dyDescent="0.25">
      <c r="A27" s="83" t="s">
        <v>450</v>
      </c>
      <c r="B27" s="81">
        <v>26.2</v>
      </c>
      <c r="C27" s="81"/>
      <c r="D27" s="81"/>
      <c r="E27" s="81"/>
      <c r="F27" s="81"/>
      <c r="G27" s="81"/>
      <c r="H27" s="81"/>
      <c r="I27" s="81"/>
      <c r="J27" s="81"/>
      <c r="K27" s="81"/>
      <c r="L27" s="81"/>
      <c r="M27" s="81"/>
    </row>
    <row r="28" spans="1:13" x14ac:dyDescent="0.25">
      <c r="A28" s="80">
        <v>50</v>
      </c>
      <c r="B28" s="81">
        <v>26.2</v>
      </c>
      <c r="C28" s="81">
        <v>26.2</v>
      </c>
      <c r="D28" s="81">
        <v>26.1</v>
      </c>
      <c r="E28" s="81">
        <v>26.1</v>
      </c>
      <c r="F28" s="81">
        <v>26.1</v>
      </c>
      <c r="G28" s="81">
        <v>26</v>
      </c>
      <c r="H28" s="81">
        <v>26</v>
      </c>
      <c r="I28" s="81">
        <v>25.9</v>
      </c>
      <c r="J28" s="81">
        <v>25.9</v>
      </c>
      <c r="K28" s="81">
        <v>25.9</v>
      </c>
      <c r="L28" s="81">
        <v>25.8</v>
      </c>
      <c r="M28" s="81">
        <v>25.8</v>
      </c>
    </row>
    <row r="29" spans="1:13" x14ac:dyDescent="0.25">
      <c r="A29" s="80">
        <v>51</v>
      </c>
      <c r="B29" s="81">
        <v>25.7</v>
      </c>
      <c r="C29" s="81">
        <v>25.7</v>
      </c>
      <c r="D29" s="81">
        <v>25.7</v>
      </c>
      <c r="E29" s="81">
        <v>25.6</v>
      </c>
      <c r="F29" s="81">
        <v>25.6</v>
      </c>
      <c r="G29" s="81">
        <v>25.5</v>
      </c>
      <c r="H29" s="81">
        <v>25.5</v>
      </c>
      <c r="I29" s="81">
        <v>25.5</v>
      </c>
      <c r="J29" s="81">
        <v>25.4</v>
      </c>
      <c r="K29" s="81">
        <v>25.4</v>
      </c>
      <c r="L29" s="81">
        <v>25.3</v>
      </c>
      <c r="M29" s="81">
        <v>25.3</v>
      </c>
    </row>
    <row r="30" spans="1:13" x14ac:dyDescent="0.25">
      <c r="A30" s="80">
        <v>52</v>
      </c>
      <c r="B30" s="81">
        <v>25.2</v>
      </c>
      <c r="C30" s="81">
        <v>25.2</v>
      </c>
      <c r="D30" s="81">
        <v>25.2</v>
      </c>
      <c r="E30" s="81">
        <v>25.1</v>
      </c>
      <c r="F30" s="81">
        <v>25.1</v>
      </c>
      <c r="G30" s="81">
        <v>25</v>
      </c>
      <c r="H30" s="81">
        <v>25</v>
      </c>
      <c r="I30" s="81">
        <v>24.9</v>
      </c>
      <c r="J30" s="81">
        <v>24.9</v>
      </c>
      <c r="K30" s="81">
        <v>24.9</v>
      </c>
      <c r="L30" s="81">
        <v>24.8</v>
      </c>
      <c r="M30" s="81">
        <v>24.8</v>
      </c>
    </row>
    <row r="31" spans="1:13" x14ac:dyDescent="0.25">
      <c r="A31" s="80">
        <v>53</v>
      </c>
      <c r="B31" s="81">
        <v>24.7</v>
      </c>
      <c r="C31" s="81">
        <v>24.7</v>
      </c>
      <c r="D31" s="81">
        <v>24.6</v>
      </c>
      <c r="E31" s="81">
        <v>24.6</v>
      </c>
      <c r="F31" s="81">
        <v>24.5</v>
      </c>
      <c r="G31" s="81">
        <v>24.5</v>
      </c>
      <c r="H31" s="81">
        <v>24.5</v>
      </c>
      <c r="I31" s="81">
        <v>24.4</v>
      </c>
      <c r="J31" s="81">
        <v>24.4</v>
      </c>
      <c r="K31" s="81">
        <v>24.3</v>
      </c>
      <c r="L31" s="81">
        <v>24.3</v>
      </c>
      <c r="M31" s="81">
        <v>24.2</v>
      </c>
    </row>
    <row r="32" spans="1:13" x14ac:dyDescent="0.25">
      <c r="A32" s="80">
        <v>54</v>
      </c>
      <c r="B32" s="81">
        <v>24.2</v>
      </c>
      <c r="C32" s="81">
        <v>24.1</v>
      </c>
      <c r="D32" s="81">
        <v>24.1</v>
      </c>
      <c r="E32" s="81">
        <v>24</v>
      </c>
      <c r="F32" s="81">
        <v>24</v>
      </c>
      <c r="G32" s="81">
        <v>24</v>
      </c>
      <c r="H32" s="81">
        <v>23.9</v>
      </c>
      <c r="I32" s="81">
        <v>23.9</v>
      </c>
      <c r="J32" s="81">
        <v>23.8</v>
      </c>
      <c r="K32" s="81">
        <v>23.8</v>
      </c>
      <c r="L32" s="81">
        <v>23.7</v>
      </c>
      <c r="M32" s="81">
        <v>23.7</v>
      </c>
    </row>
    <row r="33" spans="1:13" x14ac:dyDescent="0.25">
      <c r="A33" s="80">
        <v>55</v>
      </c>
      <c r="B33" s="81">
        <v>23.6</v>
      </c>
      <c r="C33" s="81">
        <v>23.6</v>
      </c>
      <c r="D33" s="81">
        <v>23.5</v>
      </c>
      <c r="E33" s="81">
        <v>23.5</v>
      </c>
      <c r="F33" s="81">
        <v>23.4</v>
      </c>
      <c r="G33" s="81">
        <v>23.4</v>
      </c>
      <c r="H33" s="81">
        <v>23.3</v>
      </c>
      <c r="I33" s="81">
        <v>23.3</v>
      </c>
      <c r="J33" s="81">
        <v>23.2</v>
      </c>
      <c r="K33" s="81">
        <v>23.2</v>
      </c>
      <c r="L33" s="81">
        <v>23.1</v>
      </c>
      <c r="M33" s="81">
        <v>23.1</v>
      </c>
    </row>
    <row r="34" spans="1:13" x14ac:dyDescent="0.25">
      <c r="A34" s="80">
        <v>56</v>
      </c>
      <c r="B34" s="81">
        <v>23</v>
      </c>
      <c r="C34" s="81">
        <v>23</v>
      </c>
      <c r="D34" s="81">
        <v>22.9</v>
      </c>
      <c r="E34" s="81">
        <v>22.9</v>
      </c>
      <c r="F34" s="81">
        <v>22.8</v>
      </c>
      <c r="G34" s="81">
        <v>22.8</v>
      </c>
      <c r="H34" s="81">
        <v>22.7</v>
      </c>
      <c r="I34" s="81">
        <v>22.7</v>
      </c>
      <c r="J34" s="81">
        <v>22.6</v>
      </c>
      <c r="K34" s="81">
        <v>22.6</v>
      </c>
      <c r="L34" s="81">
        <v>22.5</v>
      </c>
      <c r="M34" s="81">
        <v>22.5</v>
      </c>
    </row>
    <row r="35" spans="1:13" x14ac:dyDescent="0.25">
      <c r="A35" s="80">
        <v>57</v>
      </c>
      <c r="B35" s="81">
        <v>22.4</v>
      </c>
      <c r="C35" s="81">
        <v>22.4</v>
      </c>
      <c r="D35" s="81">
        <v>22.3</v>
      </c>
      <c r="E35" s="81">
        <v>22.3</v>
      </c>
      <c r="F35" s="81">
        <v>22.2</v>
      </c>
      <c r="G35" s="81">
        <v>22.2</v>
      </c>
      <c r="H35" s="81">
        <v>22.1</v>
      </c>
      <c r="I35" s="81">
        <v>22.1</v>
      </c>
      <c r="J35" s="81">
        <v>22</v>
      </c>
      <c r="K35" s="81">
        <v>22</v>
      </c>
      <c r="L35" s="81">
        <v>21.9</v>
      </c>
      <c r="M35" s="81">
        <v>21.9</v>
      </c>
    </row>
    <row r="36" spans="1:13" x14ac:dyDescent="0.25">
      <c r="A36" s="80">
        <v>58</v>
      </c>
      <c r="B36" s="81">
        <v>21.8</v>
      </c>
      <c r="C36" s="81">
        <v>21.8</v>
      </c>
      <c r="D36" s="81">
        <v>21.7</v>
      </c>
      <c r="E36" s="81">
        <v>21.7</v>
      </c>
      <c r="F36" s="81">
        <v>21.6</v>
      </c>
      <c r="G36" s="81">
        <v>21.6</v>
      </c>
      <c r="H36" s="81">
        <v>21.5</v>
      </c>
      <c r="I36" s="81">
        <v>21.5</v>
      </c>
      <c r="J36" s="81">
        <v>21.4</v>
      </c>
      <c r="K36" s="81">
        <v>21.4</v>
      </c>
      <c r="L36" s="81">
        <v>21.3</v>
      </c>
      <c r="M36" s="81">
        <v>21.3</v>
      </c>
    </row>
    <row r="37" spans="1:13" x14ac:dyDescent="0.25">
      <c r="A37" s="80">
        <v>59</v>
      </c>
      <c r="B37" s="81">
        <v>21.2</v>
      </c>
      <c r="C37" s="81">
        <v>21.2</v>
      </c>
      <c r="D37" s="81">
        <v>21.1</v>
      </c>
      <c r="E37" s="81">
        <v>21.1</v>
      </c>
      <c r="F37" s="81">
        <v>21</v>
      </c>
      <c r="G37" s="81">
        <v>21</v>
      </c>
      <c r="H37" s="81">
        <v>20.9</v>
      </c>
      <c r="I37" s="81">
        <v>20.9</v>
      </c>
      <c r="J37" s="81">
        <v>20.8</v>
      </c>
      <c r="K37" s="81">
        <v>20.8</v>
      </c>
      <c r="L37" s="81">
        <v>20.7</v>
      </c>
      <c r="M37" s="81">
        <v>20.7</v>
      </c>
    </row>
    <row r="38" spans="1:13" x14ac:dyDescent="0.25">
      <c r="A38" s="80">
        <v>60</v>
      </c>
      <c r="B38" s="81">
        <v>20.6</v>
      </c>
      <c r="C38" s="81">
        <v>20.6</v>
      </c>
      <c r="D38" s="81">
        <v>20.5</v>
      </c>
      <c r="E38" s="81">
        <v>20.5</v>
      </c>
      <c r="F38" s="81">
        <v>20.399999999999999</v>
      </c>
      <c r="G38" s="81">
        <v>20.399999999999999</v>
      </c>
      <c r="H38" s="81">
        <v>20.3</v>
      </c>
      <c r="I38" s="81">
        <v>20.3</v>
      </c>
      <c r="J38" s="81">
        <v>20.2</v>
      </c>
      <c r="K38" s="81">
        <v>20.2</v>
      </c>
      <c r="L38" s="81">
        <v>20.100000000000001</v>
      </c>
      <c r="M38" s="81">
        <v>20.100000000000001</v>
      </c>
    </row>
    <row r="39" spans="1:13" x14ac:dyDescent="0.25">
      <c r="A39" s="80">
        <v>61</v>
      </c>
      <c r="B39" s="81">
        <v>20</v>
      </c>
      <c r="C39" s="81">
        <v>20</v>
      </c>
      <c r="D39" s="81">
        <v>19.899999999999999</v>
      </c>
      <c r="E39" s="81">
        <v>19.899999999999999</v>
      </c>
      <c r="F39" s="81">
        <v>19.8</v>
      </c>
      <c r="G39" s="81">
        <v>19.8</v>
      </c>
      <c r="H39" s="81">
        <v>19.7</v>
      </c>
      <c r="I39" s="81">
        <v>19.7</v>
      </c>
      <c r="J39" s="81">
        <v>19.600000000000001</v>
      </c>
      <c r="K39" s="81">
        <v>19.5</v>
      </c>
      <c r="L39" s="81">
        <v>19.5</v>
      </c>
      <c r="M39" s="81">
        <v>19.399999999999999</v>
      </c>
    </row>
    <row r="40" spans="1:13" x14ac:dyDescent="0.25">
      <c r="A40" s="80">
        <v>62</v>
      </c>
      <c r="B40" s="81">
        <v>19.399999999999999</v>
      </c>
      <c r="C40" s="81">
        <v>19.3</v>
      </c>
      <c r="D40" s="81">
        <v>19.3</v>
      </c>
      <c r="E40" s="81">
        <v>19.2</v>
      </c>
      <c r="F40" s="81">
        <v>19.2</v>
      </c>
      <c r="G40" s="81">
        <v>19.100000000000001</v>
      </c>
      <c r="H40" s="81">
        <v>19.100000000000001</v>
      </c>
      <c r="I40" s="81">
        <v>19</v>
      </c>
      <c r="J40" s="81">
        <v>19</v>
      </c>
      <c r="K40" s="81">
        <v>18.899999999999999</v>
      </c>
      <c r="L40" s="81">
        <v>18.899999999999999</v>
      </c>
      <c r="M40" s="81">
        <v>18.8</v>
      </c>
    </row>
    <row r="41" spans="1:13" x14ac:dyDescent="0.25">
      <c r="A41" s="80">
        <v>63</v>
      </c>
      <c r="B41" s="81">
        <v>18.8</v>
      </c>
      <c r="C41" s="81">
        <v>18.7</v>
      </c>
      <c r="D41" s="81">
        <v>18.7</v>
      </c>
      <c r="E41" s="81">
        <v>18.600000000000001</v>
      </c>
      <c r="F41" s="81">
        <v>18.600000000000001</v>
      </c>
      <c r="G41" s="81">
        <v>18.5</v>
      </c>
      <c r="H41" s="81">
        <v>18.5</v>
      </c>
      <c r="I41" s="81">
        <v>18.399999999999999</v>
      </c>
      <c r="J41" s="81">
        <v>18.399999999999999</v>
      </c>
      <c r="K41" s="81">
        <v>18.3</v>
      </c>
      <c r="L41" s="81">
        <v>18.2</v>
      </c>
      <c r="M41" s="81">
        <v>18.2</v>
      </c>
    </row>
    <row r="42" spans="1:13" x14ac:dyDescent="0.25">
      <c r="A42" s="80">
        <v>64</v>
      </c>
      <c r="B42" s="81">
        <v>18.100000000000001</v>
      </c>
      <c r="C42" s="81">
        <v>18.100000000000001</v>
      </c>
      <c r="D42" s="81">
        <v>18</v>
      </c>
      <c r="E42" s="81">
        <v>18</v>
      </c>
      <c r="F42" s="81">
        <v>17.899999999999999</v>
      </c>
      <c r="G42" s="81">
        <v>17.899999999999999</v>
      </c>
      <c r="H42" s="81">
        <v>17.8</v>
      </c>
      <c r="I42" s="81">
        <v>17.8</v>
      </c>
      <c r="J42" s="81">
        <v>17.7</v>
      </c>
      <c r="K42" s="81">
        <v>17.7</v>
      </c>
      <c r="L42" s="81">
        <v>17.600000000000001</v>
      </c>
      <c r="M42" s="81">
        <v>17.600000000000001</v>
      </c>
    </row>
    <row r="43" spans="1:13" x14ac:dyDescent="0.25">
      <c r="A43" s="80">
        <v>65</v>
      </c>
      <c r="B43" s="81">
        <v>17.5</v>
      </c>
      <c r="C43" s="81">
        <v>17.5</v>
      </c>
      <c r="D43" s="81">
        <v>17.399999999999999</v>
      </c>
      <c r="E43" s="81">
        <v>17.399999999999999</v>
      </c>
      <c r="F43" s="81">
        <v>17.3</v>
      </c>
      <c r="G43" s="81">
        <v>17.3</v>
      </c>
      <c r="H43" s="81">
        <v>17.2</v>
      </c>
      <c r="I43" s="81">
        <v>17.100000000000001</v>
      </c>
      <c r="J43" s="81">
        <v>17.100000000000001</v>
      </c>
      <c r="K43" s="81">
        <v>17</v>
      </c>
      <c r="L43" s="81">
        <v>17</v>
      </c>
      <c r="M43" s="81">
        <v>16.899999999999999</v>
      </c>
    </row>
    <row r="44" spans="1:13" x14ac:dyDescent="0.25">
      <c r="A44" s="80">
        <v>66</v>
      </c>
      <c r="B44" s="81">
        <v>16.899999999999999</v>
      </c>
      <c r="C44" s="81">
        <v>16.8</v>
      </c>
      <c r="D44" s="81">
        <v>16.8</v>
      </c>
      <c r="E44" s="81">
        <v>16.7</v>
      </c>
      <c r="F44" s="81">
        <v>16.7</v>
      </c>
      <c r="G44" s="81">
        <v>16.600000000000001</v>
      </c>
      <c r="H44" s="81">
        <v>16.600000000000001</v>
      </c>
      <c r="I44" s="81">
        <v>16.5</v>
      </c>
      <c r="J44" s="81">
        <v>16.5</v>
      </c>
      <c r="K44" s="81">
        <v>16.399999999999999</v>
      </c>
      <c r="L44" s="81">
        <v>16.399999999999999</v>
      </c>
      <c r="M44" s="81">
        <v>16.3</v>
      </c>
    </row>
    <row r="45" spans="1:13" x14ac:dyDescent="0.25">
      <c r="A45" s="80">
        <v>67</v>
      </c>
      <c r="B45" s="81">
        <v>16.3</v>
      </c>
      <c r="C45" s="81">
        <v>16.2</v>
      </c>
      <c r="D45" s="81">
        <v>16.100000000000001</v>
      </c>
      <c r="E45" s="81">
        <v>16.100000000000001</v>
      </c>
      <c r="F45" s="81">
        <v>16</v>
      </c>
      <c r="G45" s="81">
        <v>16</v>
      </c>
      <c r="H45" s="81">
        <v>15.9</v>
      </c>
      <c r="I45" s="81">
        <v>15.9</v>
      </c>
      <c r="J45" s="81">
        <v>15.8</v>
      </c>
      <c r="K45" s="81">
        <v>15.8</v>
      </c>
      <c r="L45" s="81">
        <v>15.7</v>
      </c>
      <c r="M45" s="81">
        <v>15.7</v>
      </c>
    </row>
    <row r="46" spans="1:13" x14ac:dyDescent="0.25">
      <c r="A46" s="80">
        <v>68</v>
      </c>
      <c r="B46" s="81">
        <v>15.6</v>
      </c>
      <c r="C46" s="81">
        <v>15.6</v>
      </c>
      <c r="D46" s="81">
        <v>15.5</v>
      </c>
      <c r="E46" s="81">
        <v>15.5</v>
      </c>
      <c r="F46" s="81">
        <v>15.4</v>
      </c>
      <c r="G46" s="81">
        <v>15.4</v>
      </c>
      <c r="H46" s="81">
        <v>15.3</v>
      </c>
      <c r="I46" s="81">
        <v>15.3</v>
      </c>
      <c r="J46" s="81">
        <v>15.2</v>
      </c>
      <c r="K46" s="81">
        <v>15.1</v>
      </c>
      <c r="L46" s="81">
        <v>15.1</v>
      </c>
      <c r="M46" s="81">
        <v>15</v>
      </c>
    </row>
    <row r="47" spans="1:13" x14ac:dyDescent="0.25">
      <c r="A47" s="80">
        <v>69</v>
      </c>
      <c r="B47" s="81">
        <v>15</v>
      </c>
      <c r="C47" s="81">
        <v>14.9</v>
      </c>
      <c r="D47" s="81">
        <v>14.9</v>
      </c>
      <c r="E47" s="81">
        <v>14.8</v>
      </c>
      <c r="F47" s="81">
        <v>14.8</v>
      </c>
      <c r="G47" s="81">
        <v>14.7</v>
      </c>
      <c r="H47" s="81">
        <v>14.7</v>
      </c>
      <c r="I47" s="81">
        <v>14.6</v>
      </c>
      <c r="J47" s="81">
        <v>14.6</v>
      </c>
      <c r="K47" s="81">
        <v>14.5</v>
      </c>
      <c r="L47" s="81">
        <v>14.5</v>
      </c>
      <c r="M47" s="81">
        <v>14.4</v>
      </c>
    </row>
    <row r="48" spans="1:13" x14ac:dyDescent="0.25">
      <c r="A48" s="80">
        <v>70</v>
      </c>
      <c r="B48" s="81">
        <v>14.4</v>
      </c>
      <c r="C48" s="81">
        <v>14.3</v>
      </c>
      <c r="D48" s="81">
        <v>14.3</v>
      </c>
      <c r="E48" s="81">
        <v>14.2</v>
      </c>
      <c r="F48" s="81">
        <v>14.1</v>
      </c>
      <c r="G48" s="81">
        <v>14.1</v>
      </c>
      <c r="H48" s="81">
        <v>14</v>
      </c>
      <c r="I48" s="81">
        <v>14</v>
      </c>
      <c r="J48" s="81">
        <v>13.9</v>
      </c>
      <c r="K48" s="81">
        <v>13.9</v>
      </c>
      <c r="L48" s="81">
        <v>13.8</v>
      </c>
      <c r="M48" s="81">
        <v>13.8</v>
      </c>
    </row>
    <row r="49" spans="1:13" x14ac:dyDescent="0.25">
      <c r="A49" s="80">
        <v>71</v>
      </c>
      <c r="B49" s="81">
        <v>13.7</v>
      </c>
      <c r="C49" s="81">
        <v>13.7</v>
      </c>
      <c r="D49" s="81">
        <v>13.6</v>
      </c>
      <c r="E49" s="81">
        <v>13.6</v>
      </c>
      <c r="F49" s="81">
        <v>13.5</v>
      </c>
      <c r="G49" s="81">
        <v>13.5</v>
      </c>
      <c r="H49" s="81">
        <v>13.4</v>
      </c>
      <c r="I49" s="81">
        <v>13.4</v>
      </c>
      <c r="J49" s="81">
        <v>13.3</v>
      </c>
      <c r="K49" s="81">
        <v>13.3</v>
      </c>
      <c r="L49" s="81">
        <v>13.2</v>
      </c>
      <c r="M49" s="81">
        <v>13.2</v>
      </c>
    </row>
    <row r="50" spans="1:13" x14ac:dyDescent="0.25">
      <c r="A50" s="80">
        <v>72</v>
      </c>
      <c r="B50" s="81">
        <v>13.1</v>
      </c>
      <c r="C50" s="81">
        <v>13.1</v>
      </c>
      <c r="D50" s="81">
        <v>13</v>
      </c>
      <c r="E50" s="81">
        <v>12.9</v>
      </c>
      <c r="F50" s="81">
        <v>12.9</v>
      </c>
      <c r="G50" s="81">
        <v>12.8</v>
      </c>
      <c r="H50" s="81">
        <v>12.8</v>
      </c>
      <c r="I50" s="81">
        <v>12.7</v>
      </c>
      <c r="J50" s="81">
        <v>12.7</v>
      </c>
      <c r="K50" s="81">
        <v>12.6</v>
      </c>
      <c r="L50" s="81">
        <v>12.6</v>
      </c>
      <c r="M50" s="81">
        <v>12.5</v>
      </c>
    </row>
    <row r="51" spans="1:13" x14ac:dyDescent="0.25">
      <c r="A51" s="80">
        <v>73</v>
      </c>
      <c r="B51" s="81">
        <v>12.5</v>
      </c>
      <c r="C51" s="81">
        <v>12.4</v>
      </c>
      <c r="D51" s="81">
        <v>12.4</v>
      </c>
      <c r="E51" s="81">
        <v>12.3</v>
      </c>
      <c r="F51" s="81">
        <v>12.3</v>
      </c>
      <c r="G51" s="81">
        <v>12.2</v>
      </c>
      <c r="H51" s="81">
        <v>12.2</v>
      </c>
      <c r="I51" s="81">
        <v>12.1</v>
      </c>
      <c r="J51" s="81">
        <v>12.1</v>
      </c>
      <c r="K51" s="81">
        <v>12</v>
      </c>
      <c r="L51" s="81">
        <v>12</v>
      </c>
      <c r="M51" s="81">
        <v>11.9</v>
      </c>
    </row>
    <row r="52" spans="1:13" x14ac:dyDescent="0.25">
      <c r="A52" s="80">
        <v>74</v>
      </c>
      <c r="B52" s="81">
        <v>11.9</v>
      </c>
      <c r="C52" s="81">
        <v>11.8</v>
      </c>
      <c r="D52" s="81">
        <v>11.8</v>
      </c>
      <c r="E52" s="81">
        <v>11.7</v>
      </c>
      <c r="F52" s="81">
        <v>11.7</v>
      </c>
      <c r="G52" s="81">
        <v>11.6</v>
      </c>
      <c r="H52" s="81">
        <v>11.6</v>
      </c>
      <c r="I52" s="81">
        <v>11.5</v>
      </c>
      <c r="J52" s="81">
        <v>11.5</v>
      </c>
      <c r="K52" s="81">
        <v>11.4</v>
      </c>
      <c r="L52" s="81">
        <v>11.4</v>
      </c>
      <c r="M52" s="81">
        <v>11.3</v>
      </c>
    </row>
    <row r="53" spans="1:13" x14ac:dyDescent="0.25">
      <c r="A53" s="80">
        <v>75</v>
      </c>
      <c r="B53" s="81">
        <v>11.3</v>
      </c>
      <c r="C53" s="81"/>
      <c r="D53" s="81"/>
      <c r="E53" s="81"/>
      <c r="F53" s="81"/>
      <c r="G53" s="81"/>
      <c r="H53" s="81"/>
      <c r="I53" s="81"/>
      <c r="J53" s="81"/>
      <c r="K53" s="81"/>
      <c r="L53" s="81"/>
      <c r="M53" s="81"/>
    </row>
  </sheetData>
  <sheetProtection algorithmName="SHA-512" hashValue="lIyvOQPoBNwzTpazVqGyJW+f8QGjaet7TDpkxNnvYErwYzpqgCLN8QzgJ6dVXDoqLs1RWPdgbuOKnij5mWdyyA==" saltValue="Mct4qYrLHcKuUTb67Ywf4Q==" spinCount="100000" sheet="1" objects="1" scenarios="1"/>
  <conditionalFormatting sqref="A6:A21">
    <cfRule type="expression" dxfId="275" priority="1" stopIfTrue="1">
      <formula>MOD(ROW(),2)=0</formula>
    </cfRule>
    <cfRule type="expression" dxfId="274" priority="2" stopIfTrue="1">
      <formula>MOD(ROW(),2)&lt;&gt;0</formula>
    </cfRule>
  </conditionalFormatting>
  <conditionalFormatting sqref="A26:A53">
    <cfRule type="expression" dxfId="273" priority="9" stopIfTrue="1">
      <formula>MOD(ROW(),2)=0</formula>
    </cfRule>
    <cfRule type="expression" dxfId="272" priority="10" stopIfTrue="1">
      <formula>MOD(ROW(),2)&lt;&gt;0</formula>
    </cfRule>
  </conditionalFormatting>
  <conditionalFormatting sqref="B17:B21">
    <cfRule type="expression" dxfId="271" priority="13" stopIfTrue="1">
      <formula>MOD(ROW(),2)=0</formula>
    </cfRule>
    <cfRule type="expression" dxfId="270" priority="14" stopIfTrue="1">
      <formula>MOD(ROW(),2)&lt;&gt;0</formula>
    </cfRule>
  </conditionalFormatting>
  <conditionalFormatting sqref="B6:M21">
    <cfRule type="expression" dxfId="269" priority="33" stopIfTrue="1">
      <formula>MOD(ROW(),2)=0</formula>
    </cfRule>
    <cfRule type="expression" dxfId="268" priority="34" stopIfTrue="1">
      <formula>MOD(ROW(),2)&lt;&gt;0</formula>
    </cfRule>
  </conditionalFormatting>
  <conditionalFormatting sqref="B26:M53">
    <cfRule type="expression" dxfId="267" priority="11" stopIfTrue="1">
      <formula>MOD(ROW(),2)=0</formula>
    </cfRule>
    <cfRule type="expression" dxfId="266" priority="12" stopIfTrue="1">
      <formula>MOD(ROW(),2)&lt;&gt;0</formula>
    </cfRule>
  </conditionalFormatting>
  <conditionalFormatting sqref="C6:M21">
    <cfRule type="expression" dxfId="265" priority="3" stopIfTrue="1">
      <formula>MOD(ROW(),2)=0</formula>
    </cfRule>
    <cfRule type="expression" dxfId="264" priority="4" stopIfTrue="1">
      <formula>MOD(ROW(),2)&lt;&gt;0</formula>
    </cfRule>
  </conditionalFormatting>
  <hyperlinks>
    <hyperlink ref="B24" location="Assumptions!A1" display="Assumptions" xr:uid="{A18FAAD5-0B0B-4C14-8199-FA227F011C8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5681-03E6-4345-BED1-537E45FEED29}">
  <sheetPr codeName="Sheet116"/>
  <dimension ref="A1:M27"/>
  <sheetViews>
    <sheetView showGridLines="0" zoomScale="84" zoomScaleNormal="84" workbookViewId="0">
      <selection activeCell="B7" sqref="B7"/>
    </sheetView>
  </sheetViews>
  <sheetFormatPr defaultColWidth="10" defaultRowHeight="13.2" x14ac:dyDescent="0.25"/>
  <cols>
    <col min="1" max="1" width="34" style="27" customWidth="1"/>
    <col min="2" max="2" width="27.44140625" style="27" customWidth="1"/>
    <col min="3" max="3" width="10.21875" style="27" customWidth="1"/>
    <col min="4" max="4" width="10" style="27" customWidth="1"/>
    <col min="5" max="13" width="10" style="27"/>
    <col min="14" max="14" width="42.77734375" style="27" customWidth="1"/>
    <col min="15" max="16384" width="10" style="27"/>
  </cols>
  <sheetData>
    <row r="1" spans="1:13" ht="21" x14ac:dyDescent="0.4">
      <c r="A1" s="39" t="s">
        <v>0</v>
      </c>
      <c r="B1" s="40"/>
      <c r="C1" s="40"/>
      <c r="D1" s="40"/>
      <c r="E1" s="40"/>
      <c r="F1" s="40"/>
      <c r="G1" s="40"/>
      <c r="H1" s="40"/>
      <c r="I1" s="40"/>
    </row>
    <row r="2" spans="1:13" ht="15.6" x14ac:dyDescent="0.3">
      <c r="A2" s="41" t="s">
        <v>1</v>
      </c>
      <c r="B2" s="42"/>
      <c r="C2" s="42"/>
      <c r="D2" s="42"/>
      <c r="E2" s="42"/>
      <c r="F2" s="42"/>
      <c r="G2" s="42"/>
      <c r="H2" s="42"/>
      <c r="I2" s="42"/>
    </row>
    <row r="3" spans="1:13" ht="15.6" x14ac:dyDescent="0.3">
      <c r="A3" s="43" t="str">
        <f>TABLE_FACTOR_TYPE_1&amp;" - x-"&amp;TABLE_SERIES_NUMBER_1</f>
        <v>Triv Comm - x-506</v>
      </c>
      <c r="B3" s="42"/>
      <c r="C3" s="42"/>
      <c r="D3" s="42"/>
      <c r="E3" s="42"/>
      <c r="F3" s="42"/>
      <c r="G3" s="42"/>
      <c r="H3" s="42"/>
      <c r="I3" s="42"/>
    </row>
    <row r="4" spans="1:13" x14ac:dyDescent="0.25">
      <c r="A4" s="44"/>
    </row>
    <row r="6" spans="1:13" x14ac:dyDescent="0.25">
      <c r="A6" s="74" t="s">
        <v>334</v>
      </c>
      <c r="B6" s="148" t="s">
        <v>335</v>
      </c>
      <c r="C6" s="75"/>
      <c r="D6" s="75"/>
      <c r="E6" s="75"/>
      <c r="F6" s="75"/>
      <c r="G6" s="75"/>
      <c r="H6" s="75"/>
      <c r="I6" s="75"/>
      <c r="J6" s="75"/>
      <c r="K6" s="75"/>
      <c r="L6" s="75"/>
      <c r="M6" s="75"/>
    </row>
    <row r="7" spans="1:13" x14ac:dyDescent="0.25">
      <c r="A7" s="76" t="s">
        <v>78</v>
      </c>
      <c r="B7" s="148" t="s">
        <v>67</v>
      </c>
      <c r="C7" s="77"/>
      <c r="D7" s="77"/>
      <c r="E7" s="77"/>
      <c r="F7" s="77"/>
      <c r="G7" s="77"/>
      <c r="H7" s="77"/>
      <c r="I7" s="77"/>
      <c r="J7" s="77"/>
      <c r="K7" s="77"/>
      <c r="L7" s="77"/>
      <c r="M7" s="77"/>
    </row>
    <row r="8" spans="1:13" x14ac:dyDescent="0.25">
      <c r="A8" s="76" t="s">
        <v>79</v>
      </c>
      <c r="B8" s="148" t="s">
        <v>253</v>
      </c>
      <c r="C8" s="77"/>
      <c r="D8" s="77"/>
      <c r="E8" s="77"/>
      <c r="F8" s="77"/>
      <c r="G8" s="77"/>
      <c r="H8" s="77"/>
      <c r="I8" s="77"/>
      <c r="J8" s="77"/>
      <c r="K8" s="77"/>
      <c r="L8" s="77"/>
      <c r="M8" s="77"/>
    </row>
    <row r="9" spans="1:13" x14ac:dyDescent="0.25">
      <c r="A9" s="76" t="s">
        <v>80</v>
      </c>
      <c r="B9" s="148" t="s">
        <v>237</v>
      </c>
      <c r="C9" s="77"/>
      <c r="D9" s="77"/>
      <c r="E9" s="77"/>
      <c r="F9" s="77"/>
      <c r="G9" s="77"/>
      <c r="H9" s="77"/>
      <c r="I9" s="77"/>
      <c r="J9" s="77"/>
      <c r="K9" s="77"/>
      <c r="L9" s="77"/>
      <c r="M9" s="77"/>
    </row>
    <row r="10" spans="1:13" x14ac:dyDescent="0.25">
      <c r="A10" s="76" t="s">
        <v>6</v>
      </c>
      <c r="B10" s="148" t="s">
        <v>254</v>
      </c>
      <c r="C10" s="77"/>
      <c r="D10" s="77"/>
      <c r="E10" s="77"/>
      <c r="F10" s="77"/>
      <c r="G10" s="77"/>
      <c r="H10" s="77"/>
      <c r="I10" s="77"/>
      <c r="J10" s="77"/>
      <c r="K10" s="77"/>
      <c r="L10" s="77"/>
      <c r="M10" s="77"/>
    </row>
    <row r="11" spans="1:13" x14ac:dyDescent="0.25">
      <c r="A11" s="76" t="s">
        <v>81</v>
      </c>
      <c r="B11" s="148" t="s">
        <v>176</v>
      </c>
      <c r="C11" s="77"/>
      <c r="D11" s="77"/>
      <c r="E11" s="77"/>
      <c r="F11" s="77"/>
      <c r="G11" s="77"/>
      <c r="H11" s="77"/>
      <c r="I11" s="77"/>
      <c r="J11" s="77"/>
      <c r="K11" s="77"/>
      <c r="L11" s="77"/>
      <c r="M11" s="77"/>
    </row>
    <row r="12" spans="1:13" ht="12.75" customHeight="1" x14ac:dyDescent="0.25">
      <c r="A12" s="76" t="s">
        <v>82</v>
      </c>
      <c r="B12" s="148" t="s">
        <v>255</v>
      </c>
      <c r="C12" s="77"/>
      <c r="D12" s="77"/>
      <c r="E12" s="77"/>
      <c r="F12" s="77"/>
      <c r="G12" s="77"/>
      <c r="H12" s="77"/>
      <c r="I12" s="77"/>
      <c r="J12" s="77"/>
      <c r="K12" s="77"/>
      <c r="L12" s="77"/>
      <c r="M12" s="77"/>
    </row>
    <row r="13" spans="1:13" ht="12.75" customHeight="1" x14ac:dyDescent="0.25">
      <c r="A13" s="76" t="s">
        <v>342</v>
      </c>
      <c r="B13" s="148">
        <v>0</v>
      </c>
      <c r="C13" s="77"/>
      <c r="D13" s="77"/>
      <c r="E13" s="77"/>
      <c r="F13" s="77"/>
      <c r="G13" s="77"/>
      <c r="H13" s="77"/>
      <c r="I13" s="77"/>
      <c r="J13" s="77"/>
      <c r="K13" s="77"/>
      <c r="L13" s="77"/>
      <c r="M13" s="77"/>
    </row>
    <row r="14" spans="1:13" ht="12.75" customHeight="1" x14ac:dyDescent="0.25">
      <c r="A14" s="76" t="s">
        <v>84</v>
      </c>
      <c r="B14" s="148">
        <v>506</v>
      </c>
      <c r="C14" s="77"/>
      <c r="D14" s="77"/>
      <c r="E14" s="77"/>
      <c r="F14" s="77"/>
      <c r="G14" s="77"/>
      <c r="H14" s="77"/>
      <c r="I14" s="77"/>
      <c r="J14" s="77"/>
      <c r="K14" s="77"/>
      <c r="L14" s="77"/>
      <c r="M14" s="77"/>
    </row>
    <row r="15" spans="1:13" x14ac:dyDescent="0.25">
      <c r="A15" s="76" t="s">
        <v>345</v>
      </c>
      <c r="B15" s="148" t="s">
        <v>256</v>
      </c>
      <c r="C15" s="77"/>
      <c r="D15" s="77"/>
      <c r="E15" s="77"/>
      <c r="F15" s="77"/>
      <c r="G15" s="77"/>
      <c r="H15" s="77"/>
      <c r="I15" s="77"/>
      <c r="J15" s="77"/>
      <c r="K15" s="77"/>
      <c r="L15" s="77"/>
      <c r="M15" s="77"/>
    </row>
    <row r="16" spans="1:13" x14ac:dyDescent="0.25">
      <c r="A16" s="76" t="s">
        <v>86</v>
      </c>
      <c r="B16" s="148" t="s">
        <v>109</v>
      </c>
      <c r="C16" s="77"/>
      <c r="D16" s="77"/>
      <c r="E16" s="77"/>
      <c r="F16" s="77"/>
      <c r="G16" s="77"/>
      <c r="H16" s="77"/>
      <c r="I16" s="77"/>
      <c r="J16" s="77"/>
      <c r="K16" s="77"/>
      <c r="L16" s="77"/>
      <c r="M16" s="77"/>
    </row>
    <row r="17" spans="1:13" ht="56.55" customHeight="1" x14ac:dyDescent="0.25">
      <c r="A17" s="76" t="s">
        <v>414</v>
      </c>
      <c r="B17" s="148"/>
      <c r="C17" s="77"/>
      <c r="D17" s="77"/>
      <c r="E17" s="77"/>
      <c r="F17" s="77"/>
      <c r="G17" s="77"/>
      <c r="H17" s="77"/>
      <c r="I17" s="77"/>
      <c r="J17" s="77"/>
      <c r="K17" s="77"/>
      <c r="L17" s="77"/>
      <c r="M17" s="77"/>
    </row>
    <row r="18" spans="1:13" x14ac:dyDescent="0.25">
      <c r="A18" s="76" t="s">
        <v>88</v>
      </c>
      <c r="B18" s="152">
        <v>45135</v>
      </c>
      <c r="C18" s="78"/>
      <c r="D18" s="78"/>
      <c r="E18" s="78"/>
      <c r="F18" s="78"/>
      <c r="G18" s="78"/>
      <c r="H18" s="78"/>
      <c r="I18" s="78"/>
      <c r="J18" s="78"/>
      <c r="K18" s="78"/>
      <c r="L18" s="78"/>
      <c r="M18" s="78"/>
    </row>
    <row r="19" spans="1:13" x14ac:dyDescent="0.25">
      <c r="A19" s="76" t="s">
        <v>89</v>
      </c>
      <c r="B19" s="152">
        <v>45135</v>
      </c>
      <c r="C19" s="78"/>
      <c r="D19" s="78"/>
      <c r="E19" s="78"/>
      <c r="F19" s="78"/>
      <c r="G19" s="78"/>
      <c r="H19" s="78"/>
      <c r="I19" s="78"/>
      <c r="J19" s="78"/>
      <c r="K19" s="78"/>
      <c r="L19" s="78"/>
      <c r="M19" s="78"/>
    </row>
    <row r="20" spans="1:13" x14ac:dyDescent="0.25">
      <c r="A20" s="76" t="s">
        <v>90</v>
      </c>
      <c r="B20" s="148" t="s">
        <v>98</v>
      </c>
      <c r="C20" s="77"/>
      <c r="D20" s="77"/>
      <c r="E20" s="77"/>
      <c r="F20" s="77"/>
      <c r="G20" s="77"/>
      <c r="H20" s="77"/>
      <c r="I20" s="77"/>
      <c r="J20" s="77"/>
      <c r="K20" s="77"/>
      <c r="L20" s="77"/>
      <c r="M20" s="77"/>
    </row>
    <row r="21" spans="1:13" x14ac:dyDescent="0.25">
      <c r="A21" s="72" t="s">
        <v>91</v>
      </c>
      <c r="B21" s="148" t="s">
        <v>99</v>
      </c>
      <c r="C21" s="77"/>
      <c r="D21" s="77"/>
      <c r="E21" s="77"/>
      <c r="F21" s="77"/>
      <c r="G21" s="77"/>
      <c r="H21" s="77"/>
      <c r="I21" s="77"/>
      <c r="J21" s="77"/>
      <c r="K21" s="77"/>
      <c r="L21" s="77"/>
      <c r="M21" s="77"/>
    </row>
    <row r="23" spans="1:13" x14ac:dyDescent="0.25">
      <c r="B23" s="89" t="str">
        <f>HYPERLINK("#'Factor List'!A1","Back to Factor List")</f>
        <v>Back to Factor List</v>
      </c>
    </row>
    <row r="24" spans="1:13" x14ac:dyDescent="0.25">
      <c r="B24" s="89" t="s">
        <v>13</v>
      </c>
    </row>
    <row r="25" spans="1:13" x14ac:dyDescent="0.25">
      <c r="B25" s="89"/>
    </row>
    <row r="26" spans="1:13" x14ac:dyDescent="0.25">
      <c r="A26" s="79" t="s">
        <v>451</v>
      </c>
      <c r="B26" s="79" t="s">
        <v>452</v>
      </c>
    </row>
    <row r="27" spans="1:13" x14ac:dyDescent="0.25">
      <c r="A27" s="145" t="s">
        <v>453</v>
      </c>
      <c r="B27" s="145">
        <v>11</v>
      </c>
      <c r="C27" s="145"/>
      <c r="D27" s="145"/>
      <c r="E27" s="145"/>
      <c r="F27" s="145"/>
      <c r="G27" s="145"/>
      <c r="H27" s="145"/>
      <c r="I27" s="145"/>
      <c r="J27" s="145"/>
      <c r="K27" s="145"/>
      <c r="L27" s="145"/>
      <c r="M27" s="145"/>
    </row>
  </sheetData>
  <sheetProtection algorithmName="SHA-512" hashValue="uUaHKeeFpK0v1p9qnaPcixrYdrXMX5VA+QVwHJqsi+m/XT+wGCexR4xgjdqtlvTBkWyy4iQir1VHP4zg2yTqaA==" saltValue="TTQiMiFxkgCEl/2ewJvqkw==" spinCount="100000" sheet="1" objects="1" scenarios="1"/>
  <conditionalFormatting sqref="A6:A21">
    <cfRule type="expression" dxfId="263" priority="15" stopIfTrue="1">
      <formula>MOD(ROW(),2)=0</formula>
    </cfRule>
    <cfRule type="expression" dxfId="262" priority="16" stopIfTrue="1">
      <formula>MOD(ROW(),2)&lt;&gt;0</formula>
    </cfRule>
  </conditionalFormatting>
  <conditionalFormatting sqref="A26:A27">
    <cfRule type="expression" dxfId="261" priority="27" stopIfTrue="1">
      <formula>MOD(ROW(),2)=0</formula>
    </cfRule>
    <cfRule type="expression" dxfId="260" priority="28" stopIfTrue="1">
      <formula>MOD(ROW(),2)&lt;&gt;0</formula>
    </cfRule>
  </conditionalFormatting>
  <conditionalFormatting sqref="B6:B21">
    <cfRule type="expression" dxfId="259" priority="33" stopIfTrue="1">
      <formula>MOD(ROW(),2)=0</formula>
    </cfRule>
    <cfRule type="expression" dxfId="258" priority="34" stopIfTrue="1">
      <formula>MOD(ROW(),2)&lt;&gt;0</formula>
    </cfRule>
  </conditionalFormatting>
  <conditionalFormatting sqref="B8:B19">
    <cfRule type="expression" dxfId="257" priority="7" stopIfTrue="1">
      <formula>MOD(ROW(),2)=0</formula>
    </cfRule>
    <cfRule type="expression" dxfId="256" priority="8" stopIfTrue="1">
      <formula>MOD(ROW(),2)&lt;&gt;0</formula>
    </cfRule>
  </conditionalFormatting>
  <conditionalFormatting sqref="B26:B27">
    <cfRule type="expression" dxfId="255" priority="29" stopIfTrue="1">
      <formula>MOD(ROW(),2)=0</formula>
    </cfRule>
    <cfRule type="expression" dxfId="254" priority="30" stopIfTrue="1">
      <formula>MOD(ROW(),2)&lt;&gt;0</formula>
    </cfRule>
  </conditionalFormatting>
  <conditionalFormatting sqref="B20:M21">
    <cfRule type="expression" dxfId="253" priority="19" stopIfTrue="1">
      <formula>MOD(ROW(),2)=0</formula>
    </cfRule>
    <cfRule type="expression" dxfId="252" priority="20" stopIfTrue="1">
      <formula>MOD(ROW(),2)&lt;&gt;0</formula>
    </cfRule>
  </conditionalFormatting>
  <conditionalFormatting sqref="C6:M19">
    <cfRule type="expression" dxfId="251" priority="13" stopIfTrue="1">
      <formula>MOD(ROW(),2)=0</formula>
    </cfRule>
    <cfRule type="expression" dxfId="250" priority="14" stopIfTrue="1">
      <formula>MOD(ROW(),2)&lt;&gt;0</formula>
    </cfRule>
  </conditionalFormatting>
  <hyperlinks>
    <hyperlink ref="B24" location="Assumptions!A1" display="Assumptions" xr:uid="{0F06C468-62C4-46B0-9DCD-42D9AFB3BB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dimension ref="A1:I68"/>
  <sheetViews>
    <sheetView showGridLines="0"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x-603</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1992</v>
      </c>
      <c r="C8" s="148"/>
    </row>
    <row r="9" spans="1:9" x14ac:dyDescent="0.25">
      <c r="A9" s="76" t="s">
        <v>80</v>
      </c>
      <c r="B9" s="148" t="s">
        <v>257</v>
      </c>
      <c r="C9" s="148"/>
    </row>
    <row r="10" spans="1:9" x14ac:dyDescent="0.25">
      <c r="A10" s="76" t="s">
        <v>6</v>
      </c>
      <c r="B10" s="148" t="s">
        <v>258</v>
      </c>
      <c r="C10" s="148"/>
    </row>
    <row r="11" spans="1:9" x14ac:dyDescent="0.25">
      <c r="A11" s="76" t="s">
        <v>81</v>
      </c>
      <c r="B11" s="148" t="s">
        <v>259</v>
      </c>
      <c r="C11" s="148"/>
    </row>
    <row r="12" spans="1:9" x14ac:dyDescent="0.25">
      <c r="A12" s="76" t="s">
        <v>82</v>
      </c>
      <c r="B12" s="148" t="s">
        <v>260</v>
      </c>
      <c r="C12" s="148"/>
    </row>
    <row r="13" spans="1:9" x14ac:dyDescent="0.25">
      <c r="A13" s="76" t="s">
        <v>342</v>
      </c>
      <c r="B13" s="148">
        <v>2</v>
      </c>
      <c r="C13" s="148"/>
    </row>
    <row r="14" spans="1:9" x14ac:dyDescent="0.25">
      <c r="A14" s="76" t="s">
        <v>84</v>
      </c>
      <c r="B14" s="148">
        <v>603</v>
      </c>
      <c r="C14" s="148"/>
    </row>
    <row r="15" spans="1:9" x14ac:dyDescent="0.25">
      <c r="A15" s="76" t="s">
        <v>345</v>
      </c>
      <c r="B15" s="148" t="s">
        <v>261</v>
      </c>
      <c r="C15" s="148"/>
    </row>
    <row r="16" spans="1:9" x14ac:dyDescent="0.25">
      <c r="A16" s="76" t="s">
        <v>86</v>
      </c>
      <c r="B16" s="148" t="s">
        <v>97</v>
      </c>
      <c r="C16" s="148"/>
    </row>
    <row r="17" spans="1:3" ht="52.5" customHeight="1" x14ac:dyDescent="0.25">
      <c r="A17" s="76" t="s">
        <v>414</v>
      </c>
      <c r="B17" s="148"/>
      <c r="C17" s="148"/>
    </row>
    <row r="18" spans="1:3" x14ac:dyDescent="0.25">
      <c r="A18" s="76" t="s">
        <v>88</v>
      </c>
      <c r="B18" s="152">
        <v>45135</v>
      </c>
      <c r="C18" s="148"/>
    </row>
    <row r="19" spans="1:3" x14ac:dyDescent="0.25">
      <c r="A19" s="76" t="s">
        <v>89</v>
      </c>
      <c r="B19" s="152">
        <v>45135</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5" spans="1:3" x14ac:dyDescent="0.25">
      <c r="B25" s="89"/>
    </row>
    <row r="26" spans="1:3" ht="52.8" x14ac:dyDescent="0.25">
      <c r="A26" s="85" t="s">
        <v>415</v>
      </c>
      <c r="B26" s="85" t="s">
        <v>454</v>
      </c>
      <c r="C26" s="85" t="s">
        <v>455</v>
      </c>
    </row>
    <row r="27" spans="1:3" x14ac:dyDescent="0.25">
      <c r="A27" s="86">
        <v>18</v>
      </c>
      <c r="B27" s="87">
        <v>10.87</v>
      </c>
      <c r="C27" s="87">
        <v>10.87</v>
      </c>
    </row>
    <row r="28" spans="1:3" x14ac:dyDescent="0.25">
      <c r="A28" s="86">
        <v>19</v>
      </c>
      <c r="B28" s="87">
        <v>11.02</v>
      </c>
      <c r="C28" s="87">
        <v>11.02</v>
      </c>
    </row>
    <row r="29" spans="1:3" x14ac:dyDescent="0.25">
      <c r="A29" s="86">
        <v>20</v>
      </c>
      <c r="B29" s="87">
        <v>11.18</v>
      </c>
      <c r="C29" s="87">
        <v>11.18</v>
      </c>
    </row>
    <row r="30" spans="1:3" x14ac:dyDescent="0.25">
      <c r="A30" s="86">
        <v>21</v>
      </c>
      <c r="B30" s="87">
        <v>11.34</v>
      </c>
      <c r="C30" s="87">
        <v>11.34</v>
      </c>
    </row>
    <row r="31" spans="1:3" x14ac:dyDescent="0.25">
      <c r="A31" s="86">
        <v>22</v>
      </c>
      <c r="B31" s="87">
        <v>11.51</v>
      </c>
      <c r="C31" s="87">
        <v>11.51</v>
      </c>
    </row>
    <row r="32" spans="1:3" x14ac:dyDescent="0.25">
      <c r="A32" s="86">
        <v>23</v>
      </c>
      <c r="B32" s="87">
        <v>11.67</v>
      </c>
      <c r="C32" s="87">
        <v>11.67</v>
      </c>
    </row>
    <row r="33" spans="1:3" x14ac:dyDescent="0.25">
      <c r="A33" s="86">
        <v>24</v>
      </c>
      <c r="B33" s="87">
        <v>11.84</v>
      </c>
      <c r="C33" s="87">
        <v>11.84</v>
      </c>
    </row>
    <row r="34" spans="1:3" x14ac:dyDescent="0.25">
      <c r="A34" s="86">
        <v>25</v>
      </c>
      <c r="B34" s="87">
        <v>12.01</v>
      </c>
      <c r="C34" s="87">
        <v>12.01</v>
      </c>
    </row>
    <row r="35" spans="1:3" x14ac:dyDescent="0.25">
      <c r="A35" s="86">
        <v>26</v>
      </c>
      <c r="B35" s="87">
        <v>12.19</v>
      </c>
      <c r="C35" s="87">
        <v>12.19</v>
      </c>
    </row>
    <row r="36" spans="1:3" x14ac:dyDescent="0.25">
      <c r="A36" s="86">
        <v>27</v>
      </c>
      <c r="B36" s="87">
        <v>12.36</v>
      </c>
      <c r="C36" s="87">
        <v>12.36</v>
      </c>
    </row>
    <row r="37" spans="1:3" x14ac:dyDescent="0.25">
      <c r="A37" s="86">
        <v>28</v>
      </c>
      <c r="B37" s="87">
        <v>12.54</v>
      </c>
      <c r="C37" s="87">
        <v>12.54</v>
      </c>
    </row>
    <row r="38" spans="1:3" x14ac:dyDescent="0.25">
      <c r="A38" s="86">
        <v>29</v>
      </c>
      <c r="B38" s="87">
        <v>12.73</v>
      </c>
      <c r="C38" s="87">
        <v>12.73</v>
      </c>
    </row>
    <row r="39" spans="1:3" x14ac:dyDescent="0.25">
      <c r="A39" s="86">
        <v>30</v>
      </c>
      <c r="B39" s="87">
        <v>12.91</v>
      </c>
      <c r="C39" s="87">
        <v>12.91</v>
      </c>
    </row>
    <row r="40" spans="1:3" x14ac:dyDescent="0.25">
      <c r="A40" s="86">
        <v>31</v>
      </c>
      <c r="B40" s="87">
        <v>13.1</v>
      </c>
      <c r="C40" s="87">
        <v>13.1</v>
      </c>
    </row>
    <row r="41" spans="1:3" x14ac:dyDescent="0.25">
      <c r="A41" s="86">
        <v>32</v>
      </c>
      <c r="B41" s="87">
        <v>13.3</v>
      </c>
      <c r="C41" s="87">
        <v>13.3</v>
      </c>
    </row>
    <row r="42" spans="1:3" x14ac:dyDescent="0.25">
      <c r="A42" s="86">
        <v>33</v>
      </c>
      <c r="B42" s="87">
        <v>13.49</v>
      </c>
      <c r="C42" s="87">
        <v>13.49</v>
      </c>
    </row>
    <row r="43" spans="1:3" x14ac:dyDescent="0.25">
      <c r="A43" s="86">
        <v>34</v>
      </c>
      <c r="B43" s="87">
        <v>13.69</v>
      </c>
      <c r="C43" s="87">
        <v>13.69</v>
      </c>
    </row>
    <row r="44" spans="1:3" x14ac:dyDescent="0.25">
      <c r="A44" s="86">
        <v>35</v>
      </c>
      <c r="B44" s="87">
        <v>13.89</v>
      </c>
      <c r="C44" s="87">
        <v>13.89</v>
      </c>
    </row>
    <row r="45" spans="1:3" x14ac:dyDescent="0.25">
      <c r="A45" s="86">
        <v>36</v>
      </c>
      <c r="B45" s="87">
        <v>14.1</v>
      </c>
      <c r="C45" s="87">
        <v>14.1</v>
      </c>
    </row>
    <row r="46" spans="1:3" x14ac:dyDescent="0.25">
      <c r="A46" s="86">
        <v>37</v>
      </c>
      <c r="B46" s="87">
        <v>14.31</v>
      </c>
      <c r="C46" s="87">
        <v>14.31</v>
      </c>
    </row>
    <row r="47" spans="1:3" x14ac:dyDescent="0.25">
      <c r="A47" s="86">
        <v>38</v>
      </c>
      <c r="B47" s="87">
        <v>14.53</v>
      </c>
      <c r="C47" s="87">
        <v>14.53</v>
      </c>
    </row>
    <row r="48" spans="1:3" x14ac:dyDescent="0.25">
      <c r="A48" s="86">
        <v>39</v>
      </c>
      <c r="B48" s="87">
        <v>14.75</v>
      </c>
      <c r="C48" s="87">
        <v>14.75</v>
      </c>
    </row>
    <row r="49" spans="1:3" x14ac:dyDescent="0.25">
      <c r="A49" s="86">
        <v>40</v>
      </c>
      <c r="B49" s="87">
        <v>14.97</v>
      </c>
      <c r="C49" s="87">
        <v>14.97</v>
      </c>
    </row>
    <row r="50" spans="1:3" x14ac:dyDescent="0.25">
      <c r="A50" s="86">
        <v>41</v>
      </c>
      <c r="B50" s="87">
        <v>15.2</v>
      </c>
      <c r="C50" s="87">
        <v>15.2</v>
      </c>
    </row>
    <row r="51" spans="1:3" x14ac:dyDescent="0.25">
      <c r="A51" s="86">
        <v>42</v>
      </c>
      <c r="B51" s="87">
        <v>15.43</v>
      </c>
      <c r="C51" s="87">
        <v>15.43</v>
      </c>
    </row>
    <row r="52" spans="1:3" x14ac:dyDescent="0.25">
      <c r="A52" s="86">
        <v>43</v>
      </c>
      <c r="B52" s="87">
        <v>15.67</v>
      </c>
      <c r="C52" s="87">
        <v>15.67</v>
      </c>
    </row>
    <row r="53" spans="1:3" x14ac:dyDescent="0.25">
      <c r="A53" s="86">
        <v>44</v>
      </c>
      <c r="B53" s="87">
        <v>15.91</v>
      </c>
      <c r="C53" s="87">
        <v>15.91</v>
      </c>
    </row>
    <row r="54" spans="1:3" x14ac:dyDescent="0.25">
      <c r="A54" s="86">
        <v>45</v>
      </c>
      <c r="B54" s="87">
        <v>16.16</v>
      </c>
      <c r="C54" s="87">
        <v>16.16</v>
      </c>
    </row>
    <row r="55" spans="1:3" x14ac:dyDescent="0.25">
      <c r="A55" s="86">
        <v>46</v>
      </c>
      <c r="B55" s="87">
        <v>16.420000000000002</v>
      </c>
      <c r="C55" s="87">
        <v>16.420000000000002</v>
      </c>
    </row>
    <row r="56" spans="1:3" x14ac:dyDescent="0.25">
      <c r="A56" s="86">
        <v>47</v>
      </c>
      <c r="B56" s="87">
        <v>16.68</v>
      </c>
      <c r="C56" s="87">
        <v>16.68</v>
      </c>
    </row>
    <row r="57" spans="1:3" x14ac:dyDescent="0.25">
      <c r="A57" s="86">
        <v>48</v>
      </c>
      <c r="B57" s="87">
        <v>16.940000000000001</v>
      </c>
      <c r="C57" s="87">
        <v>16.940000000000001</v>
      </c>
    </row>
    <row r="58" spans="1:3" x14ac:dyDescent="0.25">
      <c r="A58" s="86">
        <v>49</v>
      </c>
      <c r="B58" s="87">
        <v>17.22</v>
      </c>
      <c r="C58" s="87">
        <v>17.22</v>
      </c>
    </row>
    <row r="59" spans="1:3" x14ac:dyDescent="0.25">
      <c r="A59" s="86">
        <v>50</v>
      </c>
      <c r="B59" s="87">
        <v>17.5</v>
      </c>
      <c r="C59" s="87">
        <v>17.5</v>
      </c>
    </row>
    <row r="60" spans="1:3" x14ac:dyDescent="0.25">
      <c r="A60" s="86">
        <v>51</v>
      </c>
      <c r="B60" s="87">
        <v>17.79</v>
      </c>
      <c r="C60" s="87">
        <v>17.79</v>
      </c>
    </row>
    <row r="61" spans="1:3" x14ac:dyDescent="0.25">
      <c r="A61" s="86">
        <v>52</v>
      </c>
      <c r="B61" s="87">
        <v>18.09</v>
      </c>
      <c r="C61" s="87">
        <v>18.09</v>
      </c>
    </row>
    <row r="62" spans="1:3" x14ac:dyDescent="0.25">
      <c r="A62" s="86">
        <v>53</v>
      </c>
      <c r="B62" s="87">
        <v>18.39</v>
      </c>
      <c r="C62" s="87">
        <v>18.39</v>
      </c>
    </row>
    <row r="63" spans="1:3" x14ac:dyDescent="0.25">
      <c r="A63" s="86">
        <v>54</v>
      </c>
      <c r="B63" s="87">
        <v>18.71</v>
      </c>
      <c r="C63" s="87">
        <v>18.71</v>
      </c>
    </row>
    <row r="64" spans="1:3" x14ac:dyDescent="0.25">
      <c r="A64" s="86">
        <v>55</v>
      </c>
      <c r="B64" s="87">
        <v>19.03</v>
      </c>
      <c r="C64" s="87">
        <v>19.03</v>
      </c>
    </row>
    <row r="65" spans="1:3" x14ac:dyDescent="0.25">
      <c r="A65" s="86">
        <v>56</v>
      </c>
      <c r="B65" s="87">
        <v>19.36</v>
      </c>
      <c r="C65" s="87">
        <v>19.36</v>
      </c>
    </row>
    <row r="66" spans="1:3" x14ac:dyDescent="0.25">
      <c r="A66" s="86">
        <v>57</v>
      </c>
      <c r="B66" s="87">
        <v>19.71</v>
      </c>
      <c r="C66" s="87">
        <v>19.71</v>
      </c>
    </row>
    <row r="67" spans="1:3" x14ac:dyDescent="0.25">
      <c r="A67" s="86">
        <v>58</v>
      </c>
      <c r="B67" s="87">
        <v>20.07</v>
      </c>
      <c r="C67" s="87">
        <v>20.07</v>
      </c>
    </row>
    <row r="68" spans="1:3" x14ac:dyDescent="0.25">
      <c r="A68" s="86">
        <v>59</v>
      </c>
      <c r="B68" s="87">
        <v>20.440000000000001</v>
      </c>
      <c r="C68" s="87">
        <v>20.440000000000001</v>
      </c>
    </row>
  </sheetData>
  <sheetProtection algorithmName="SHA-512" hashValue="5o6LDBIUP/nHnvcEhm/GiyINtHsbJtLh0CM5PvSeoY9RqnTm3yln27GqWV3j0PSUfsMgBbfhYWL11m4UELzfug==" saltValue="gyjdaexgohPjbLZuDGYgUQ==" spinCount="100000" sheet="1" objects="1" scenarios="1"/>
  <conditionalFormatting sqref="A6:A21">
    <cfRule type="expression" dxfId="249" priority="1" stopIfTrue="1">
      <formula>MOD(ROW(),2)=0</formula>
    </cfRule>
    <cfRule type="expression" dxfId="248" priority="2" stopIfTrue="1">
      <formula>MOD(ROW(),2)&lt;&gt;0</formula>
    </cfRule>
  </conditionalFormatting>
  <conditionalFormatting sqref="A26:A68">
    <cfRule type="expression" dxfId="247" priority="7" stopIfTrue="1">
      <formula>MOD(ROW(),2)=0</formula>
    </cfRule>
    <cfRule type="expression" dxfId="246" priority="8" stopIfTrue="1">
      <formula>MOD(ROW(),2)&lt;&gt;0</formula>
    </cfRule>
  </conditionalFormatting>
  <conditionalFormatting sqref="B19">
    <cfRule type="expression" dxfId="245" priority="11" stopIfTrue="1">
      <formula>MOD(ROW(),2)=0</formula>
    </cfRule>
    <cfRule type="expression" dxfId="244" priority="12" stopIfTrue="1">
      <formula>MOD(ROW(),2)&lt;&gt;0</formula>
    </cfRule>
  </conditionalFormatting>
  <conditionalFormatting sqref="B6:C21">
    <cfRule type="expression" dxfId="243" priority="19" stopIfTrue="1">
      <formula>MOD(ROW(),2)=0</formula>
    </cfRule>
    <cfRule type="expression" dxfId="242" priority="20" stopIfTrue="1">
      <formula>MOD(ROW(),2)&lt;&gt;0</formula>
    </cfRule>
  </conditionalFormatting>
  <conditionalFormatting sqref="B26:C68">
    <cfRule type="expression" dxfId="241" priority="9" stopIfTrue="1">
      <formula>MOD(ROW(),2)=0</formula>
    </cfRule>
    <cfRule type="expression" dxfId="240" priority="10" stopIfTrue="1">
      <formula>MOD(ROW(),2)&lt;&gt;0</formula>
    </cfRule>
  </conditionalFormatting>
  <hyperlinks>
    <hyperlink ref="B24" location="Assumptions!A1" display="Assumptions" xr:uid="{ABEE5909-DFBA-453D-A13D-9E8DABD2A6A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dimension ref="A1:I46"/>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x-604</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1992</v>
      </c>
      <c r="C8" s="148"/>
    </row>
    <row r="9" spans="1:9" x14ac:dyDescent="0.25">
      <c r="A9" s="76" t="s">
        <v>80</v>
      </c>
      <c r="B9" s="148" t="s">
        <v>257</v>
      </c>
      <c r="C9" s="148"/>
    </row>
    <row r="10" spans="1:9" x14ac:dyDescent="0.25">
      <c r="A10" s="76" t="s">
        <v>6</v>
      </c>
      <c r="B10" s="148" t="s">
        <v>262</v>
      </c>
      <c r="C10" s="148"/>
    </row>
    <row r="11" spans="1:9" x14ac:dyDescent="0.25">
      <c r="A11" s="76" t="s">
        <v>81</v>
      </c>
      <c r="B11" s="148" t="s">
        <v>259</v>
      </c>
      <c r="C11" s="148"/>
    </row>
    <row r="12" spans="1:9" x14ac:dyDescent="0.25">
      <c r="A12" s="76" t="s">
        <v>82</v>
      </c>
      <c r="B12" s="148" t="s">
        <v>260</v>
      </c>
      <c r="C12" s="148"/>
    </row>
    <row r="13" spans="1:9" x14ac:dyDescent="0.25">
      <c r="A13" s="76" t="s">
        <v>342</v>
      </c>
      <c r="B13" s="148">
        <v>2</v>
      </c>
      <c r="C13" s="148"/>
    </row>
    <row r="14" spans="1:9" x14ac:dyDescent="0.25">
      <c r="A14" s="76" t="s">
        <v>84</v>
      </c>
      <c r="B14" s="148">
        <v>604</v>
      </c>
      <c r="C14" s="148"/>
    </row>
    <row r="15" spans="1:9" x14ac:dyDescent="0.25">
      <c r="A15" s="76" t="s">
        <v>345</v>
      </c>
      <c r="B15" s="148" t="s">
        <v>263</v>
      </c>
      <c r="C15" s="148"/>
    </row>
    <row r="16" spans="1:9" x14ac:dyDescent="0.25">
      <c r="A16" s="76" t="s">
        <v>86</v>
      </c>
      <c r="B16" s="148" t="s">
        <v>102</v>
      </c>
      <c r="C16" s="148"/>
    </row>
    <row r="17" spans="1:3" x14ac:dyDescent="0.25">
      <c r="A17" s="76" t="s">
        <v>414</v>
      </c>
      <c r="B17" s="148"/>
      <c r="C17" s="148"/>
    </row>
    <row r="18" spans="1:3" x14ac:dyDescent="0.25">
      <c r="A18" s="76" t="s">
        <v>88</v>
      </c>
      <c r="B18" s="152">
        <v>45135</v>
      </c>
      <c r="C18" s="148"/>
    </row>
    <row r="19" spans="1:3" x14ac:dyDescent="0.25">
      <c r="A19" s="76" t="s">
        <v>89</v>
      </c>
      <c r="B19" s="152">
        <v>45135</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5" spans="1:3" x14ac:dyDescent="0.25">
      <c r="B25" s="89"/>
    </row>
    <row r="26" spans="1:3" ht="52.8" x14ac:dyDescent="0.25">
      <c r="A26" s="85" t="s">
        <v>415</v>
      </c>
      <c r="B26" s="85" t="s">
        <v>454</v>
      </c>
      <c r="C26" s="85" t="s">
        <v>455</v>
      </c>
    </row>
    <row r="27" spans="1:3" x14ac:dyDescent="0.25">
      <c r="A27" s="86">
        <v>60</v>
      </c>
      <c r="B27" s="87">
        <v>20.32</v>
      </c>
      <c r="C27" s="87">
        <v>20.32</v>
      </c>
    </row>
    <row r="28" spans="1:3" x14ac:dyDescent="0.25">
      <c r="A28" s="86">
        <v>61</v>
      </c>
      <c r="B28" s="87">
        <v>19.7</v>
      </c>
      <c r="C28" s="87">
        <v>19.7</v>
      </c>
    </row>
    <row r="29" spans="1:3" x14ac:dyDescent="0.25">
      <c r="A29" s="86">
        <v>62</v>
      </c>
      <c r="B29" s="87">
        <v>19.079999999999998</v>
      </c>
      <c r="C29" s="87">
        <v>19.079999999999998</v>
      </c>
    </row>
    <row r="30" spans="1:3" x14ac:dyDescent="0.25">
      <c r="A30" s="86">
        <v>63</v>
      </c>
      <c r="B30" s="87">
        <v>18.46</v>
      </c>
      <c r="C30" s="87">
        <v>18.46</v>
      </c>
    </row>
    <row r="31" spans="1:3" x14ac:dyDescent="0.25">
      <c r="A31" s="86">
        <v>64</v>
      </c>
      <c r="B31" s="87">
        <v>17.829999999999998</v>
      </c>
      <c r="C31" s="87">
        <v>17.829999999999998</v>
      </c>
    </row>
    <row r="32" spans="1:3" x14ac:dyDescent="0.25">
      <c r="A32" s="86">
        <v>65</v>
      </c>
      <c r="B32" s="87">
        <v>17.2</v>
      </c>
      <c r="C32" s="87">
        <v>17.2</v>
      </c>
    </row>
    <row r="33" spans="1:3" x14ac:dyDescent="0.25">
      <c r="A33" s="86">
        <v>66</v>
      </c>
      <c r="B33" s="87">
        <v>16.57</v>
      </c>
      <c r="C33" s="87">
        <v>16.57</v>
      </c>
    </row>
    <row r="34" spans="1:3" x14ac:dyDescent="0.25">
      <c r="A34" s="86">
        <v>67</v>
      </c>
      <c r="B34" s="87">
        <v>15.94</v>
      </c>
      <c r="C34" s="87">
        <v>15.94</v>
      </c>
    </row>
    <row r="35" spans="1:3" x14ac:dyDescent="0.25">
      <c r="A35" s="86">
        <v>68</v>
      </c>
      <c r="B35" s="87">
        <v>15.31</v>
      </c>
      <c r="C35" s="87">
        <v>15.31</v>
      </c>
    </row>
    <row r="36" spans="1:3" x14ac:dyDescent="0.25">
      <c r="A36" s="86">
        <v>69</v>
      </c>
      <c r="B36" s="87">
        <v>14.67</v>
      </c>
      <c r="C36" s="87">
        <v>14.67</v>
      </c>
    </row>
    <row r="37" spans="1:3" x14ac:dyDescent="0.25">
      <c r="A37" s="86">
        <v>70</v>
      </c>
      <c r="B37" s="87">
        <v>14.04</v>
      </c>
      <c r="C37" s="87">
        <v>14.04</v>
      </c>
    </row>
    <row r="38" spans="1:3" x14ac:dyDescent="0.25">
      <c r="A38" s="86">
        <v>71</v>
      </c>
      <c r="B38" s="87">
        <v>13.42</v>
      </c>
      <c r="C38" s="87">
        <v>13.42</v>
      </c>
    </row>
    <row r="39" spans="1:3" x14ac:dyDescent="0.25">
      <c r="A39" s="86">
        <v>72</v>
      </c>
      <c r="B39" s="87">
        <v>12.79</v>
      </c>
      <c r="C39" s="87">
        <v>12.79</v>
      </c>
    </row>
    <row r="40" spans="1:3" x14ac:dyDescent="0.25">
      <c r="A40" s="86">
        <v>73</v>
      </c>
      <c r="B40" s="87">
        <v>12.17</v>
      </c>
      <c r="C40" s="87">
        <v>12.17</v>
      </c>
    </row>
    <row r="41" spans="1:3" x14ac:dyDescent="0.25">
      <c r="A41" s="86">
        <v>74</v>
      </c>
      <c r="B41" s="87">
        <v>11.56</v>
      </c>
      <c r="C41" s="87">
        <v>11.56</v>
      </c>
    </row>
    <row r="44" spans="1:3" ht="39.6" customHeight="1" x14ac:dyDescent="0.25"/>
    <row r="46" spans="1:3" ht="27.6" customHeight="1" x14ac:dyDescent="0.25"/>
  </sheetData>
  <sheetProtection algorithmName="SHA-512" hashValue="YI2gb0Kd3dwQqyKIM1iir8PlXLZAs9+jSfh1LCdqjmaLUnU5IeLsOS8EXqBI1nhYCv+EAlqYH5RDAztjWYZFfQ==" saltValue="D9K1AlpgjCF9fnUsdn5aUw==" spinCount="100000" sheet="1" objects="1" scenarios="1"/>
  <conditionalFormatting sqref="A6:A21">
    <cfRule type="expression" dxfId="239" priority="1" stopIfTrue="1">
      <formula>MOD(ROW(),2)=0</formula>
    </cfRule>
    <cfRule type="expression" dxfId="238" priority="2" stopIfTrue="1">
      <formula>MOD(ROW(),2)&lt;&gt;0</formula>
    </cfRule>
  </conditionalFormatting>
  <conditionalFormatting sqref="A26:A41">
    <cfRule type="expression" dxfId="237" priority="7" stopIfTrue="1">
      <formula>MOD(ROW(),2)=0</formula>
    </cfRule>
    <cfRule type="expression" dxfId="236" priority="8" stopIfTrue="1">
      <formula>MOD(ROW(),2)&lt;&gt;0</formula>
    </cfRule>
  </conditionalFormatting>
  <conditionalFormatting sqref="B17:B21">
    <cfRule type="expression" dxfId="235" priority="11" stopIfTrue="1">
      <formula>MOD(ROW(),2)=0</formula>
    </cfRule>
    <cfRule type="expression" dxfId="234" priority="12" stopIfTrue="1">
      <formula>MOD(ROW(),2)&lt;&gt;0</formula>
    </cfRule>
  </conditionalFormatting>
  <conditionalFormatting sqref="B6:C21">
    <cfRule type="expression" dxfId="233" priority="25" stopIfTrue="1">
      <formula>MOD(ROW(),2)=0</formula>
    </cfRule>
    <cfRule type="expression" dxfId="232" priority="26" stopIfTrue="1">
      <formula>MOD(ROW(),2)&lt;&gt;0</formula>
    </cfRule>
  </conditionalFormatting>
  <conditionalFormatting sqref="B26:C41">
    <cfRule type="expression" dxfId="231" priority="9" stopIfTrue="1">
      <formula>MOD(ROW(),2)=0</formula>
    </cfRule>
    <cfRule type="expression" dxfId="230" priority="10" stopIfTrue="1">
      <formula>MOD(ROW(),2)&lt;&gt;0</formula>
    </cfRule>
  </conditionalFormatting>
  <hyperlinks>
    <hyperlink ref="B24" location="Assumptions!A1" display="Assumptions" xr:uid="{6D2A007A-FD48-4EC3-90A1-E9C10991AE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A1:I73"/>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x-605</v>
      </c>
      <c r="B3" s="42"/>
      <c r="C3" s="42"/>
      <c r="D3" s="42"/>
      <c r="E3" s="42"/>
      <c r="F3" s="42"/>
      <c r="G3" s="42"/>
      <c r="H3" s="42"/>
      <c r="I3" s="42"/>
    </row>
    <row r="4" spans="1:9" x14ac:dyDescent="0.25">
      <c r="A4" s="44"/>
    </row>
    <row r="6" spans="1:9" x14ac:dyDescent="0.25">
      <c r="A6" s="74" t="s">
        <v>334</v>
      </c>
      <c r="B6" s="148" t="s">
        <v>335</v>
      </c>
      <c r="C6" s="148"/>
      <c r="D6" s="148"/>
      <c r="E6" s="148"/>
    </row>
    <row r="7" spans="1:9" x14ac:dyDescent="0.25">
      <c r="A7" s="76" t="s">
        <v>78</v>
      </c>
      <c r="B7" s="148" t="s">
        <v>67</v>
      </c>
      <c r="C7" s="148"/>
      <c r="D7" s="148"/>
      <c r="E7" s="148"/>
    </row>
    <row r="8" spans="1:9" x14ac:dyDescent="0.25">
      <c r="A8" s="76" t="s">
        <v>79</v>
      </c>
      <c r="B8" s="148">
        <v>2006</v>
      </c>
      <c r="C8" s="148"/>
      <c r="D8" s="148"/>
      <c r="E8" s="148"/>
    </row>
    <row r="9" spans="1:9" x14ac:dyDescent="0.25">
      <c r="A9" s="76" t="s">
        <v>80</v>
      </c>
      <c r="B9" s="148" t="s">
        <v>257</v>
      </c>
      <c r="C9" s="148"/>
      <c r="D9" s="148"/>
      <c r="E9" s="148"/>
    </row>
    <row r="10" spans="1:9" x14ac:dyDescent="0.25">
      <c r="A10" s="76" t="s">
        <v>6</v>
      </c>
      <c r="B10" s="148" t="s">
        <v>264</v>
      </c>
      <c r="C10" s="148"/>
      <c r="D10" s="148"/>
      <c r="E10" s="148"/>
    </row>
    <row r="11" spans="1:9" x14ac:dyDescent="0.25">
      <c r="A11" s="76" t="s">
        <v>81</v>
      </c>
      <c r="B11" s="148" t="s">
        <v>259</v>
      </c>
      <c r="C11" s="148"/>
      <c r="D11" s="148"/>
      <c r="E11" s="148"/>
    </row>
    <row r="12" spans="1:9" x14ac:dyDescent="0.25">
      <c r="A12" s="76" t="s">
        <v>82</v>
      </c>
      <c r="B12" s="148" t="s">
        <v>260</v>
      </c>
      <c r="C12" s="148"/>
      <c r="D12" s="148"/>
      <c r="E12" s="148"/>
    </row>
    <row r="13" spans="1:9" x14ac:dyDescent="0.25">
      <c r="A13" s="76" t="s">
        <v>342</v>
      </c>
      <c r="B13" s="148">
        <v>1</v>
      </c>
      <c r="C13" s="148"/>
      <c r="D13" s="148"/>
      <c r="E13" s="148"/>
    </row>
    <row r="14" spans="1:9" x14ac:dyDescent="0.25">
      <c r="A14" s="76" t="s">
        <v>84</v>
      </c>
      <c r="B14" s="148">
        <v>605</v>
      </c>
      <c r="C14" s="148"/>
      <c r="D14" s="148"/>
      <c r="E14" s="148"/>
    </row>
    <row r="15" spans="1:9" x14ac:dyDescent="0.25">
      <c r="A15" s="76" t="s">
        <v>345</v>
      </c>
      <c r="B15" s="148" t="s">
        <v>265</v>
      </c>
      <c r="C15" s="148"/>
      <c r="D15" s="148"/>
      <c r="E15" s="148"/>
    </row>
    <row r="16" spans="1:9" x14ac:dyDescent="0.25">
      <c r="A16" s="76" t="s">
        <v>86</v>
      </c>
      <c r="B16" s="148" t="s">
        <v>97</v>
      </c>
      <c r="C16" s="148"/>
      <c r="D16" s="148"/>
      <c r="E16" s="148"/>
    </row>
    <row r="17" spans="1:5" x14ac:dyDescent="0.25">
      <c r="A17" s="76" t="s">
        <v>414</v>
      </c>
      <c r="B17" s="148"/>
      <c r="C17" s="148"/>
      <c r="D17" s="148"/>
      <c r="E17" s="148"/>
    </row>
    <row r="18" spans="1:5" x14ac:dyDescent="0.25">
      <c r="A18" s="76" t="s">
        <v>88</v>
      </c>
      <c r="B18" s="152">
        <v>45135</v>
      </c>
      <c r="C18" s="148"/>
      <c r="D18" s="148"/>
      <c r="E18" s="148"/>
    </row>
    <row r="19" spans="1:5" x14ac:dyDescent="0.25">
      <c r="A19" s="76" t="s">
        <v>89</v>
      </c>
      <c r="B19" s="152">
        <v>45135</v>
      </c>
      <c r="C19" s="148"/>
      <c r="D19" s="148"/>
      <c r="E19" s="148"/>
    </row>
    <row r="20" spans="1:5" x14ac:dyDescent="0.25">
      <c r="A20" s="76" t="s">
        <v>90</v>
      </c>
      <c r="B20" s="148" t="s">
        <v>98</v>
      </c>
      <c r="C20" s="148"/>
      <c r="D20" s="148"/>
      <c r="E20" s="148"/>
    </row>
    <row r="21" spans="1:5" x14ac:dyDescent="0.25">
      <c r="A21" s="72" t="s">
        <v>91</v>
      </c>
      <c r="B21" s="148" t="s">
        <v>99</v>
      </c>
      <c r="C21" s="148"/>
      <c r="D21" s="148"/>
      <c r="E21" s="148"/>
    </row>
    <row r="23" spans="1:5" x14ac:dyDescent="0.25">
      <c r="B23" s="89" t="str">
        <f>HYPERLINK("#'Factor List'!A1","Back to Factor List")</f>
        <v>Back to Factor List</v>
      </c>
    </row>
    <row r="24" spans="1:5" x14ac:dyDescent="0.25">
      <c r="B24" s="89" t="s">
        <v>13</v>
      </c>
    </row>
    <row r="25" spans="1:5" x14ac:dyDescent="0.25">
      <c r="B25" s="89"/>
    </row>
    <row r="26" spans="1:5" ht="39.6" x14ac:dyDescent="0.25">
      <c r="A26" s="85" t="s">
        <v>415</v>
      </c>
      <c r="B26" s="85" t="s">
        <v>456</v>
      </c>
      <c r="C26" s="85" t="s">
        <v>457</v>
      </c>
      <c r="D26" s="85" t="s">
        <v>458</v>
      </c>
      <c r="E26" s="85" t="s">
        <v>459</v>
      </c>
    </row>
    <row r="27" spans="1:5" x14ac:dyDescent="0.25">
      <c r="A27" s="86">
        <v>18</v>
      </c>
      <c r="B27" s="87">
        <v>8.64</v>
      </c>
      <c r="C27" s="87">
        <v>8.64</v>
      </c>
      <c r="D27" s="87">
        <v>10.88</v>
      </c>
      <c r="E27" s="87">
        <v>10.88</v>
      </c>
    </row>
    <row r="28" spans="1:5" x14ac:dyDescent="0.25">
      <c r="A28" s="86">
        <v>19</v>
      </c>
      <c r="B28" s="87">
        <v>8.76</v>
      </c>
      <c r="C28" s="87">
        <v>8.76</v>
      </c>
      <c r="D28" s="87">
        <v>11.04</v>
      </c>
      <c r="E28" s="87">
        <v>11.04</v>
      </c>
    </row>
    <row r="29" spans="1:5" x14ac:dyDescent="0.25">
      <c r="A29" s="86">
        <v>20</v>
      </c>
      <c r="B29" s="87">
        <v>8.8800000000000008</v>
      </c>
      <c r="C29" s="87">
        <v>8.8800000000000008</v>
      </c>
      <c r="D29" s="87">
        <v>11.2</v>
      </c>
      <c r="E29" s="87">
        <v>11.2</v>
      </c>
    </row>
    <row r="30" spans="1:5" x14ac:dyDescent="0.25">
      <c r="A30" s="86">
        <v>21</v>
      </c>
      <c r="B30" s="87">
        <v>9</v>
      </c>
      <c r="C30" s="87">
        <v>9</v>
      </c>
      <c r="D30" s="87">
        <v>11.36</v>
      </c>
      <c r="E30" s="87">
        <v>11.36</v>
      </c>
    </row>
    <row r="31" spans="1:5" x14ac:dyDescent="0.25">
      <c r="A31" s="86">
        <v>22</v>
      </c>
      <c r="B31" s="87">
        <v>9.1300000000000008</v>
      </c>
      <c r="C31" s="87">
        <v>9.1300000000000008</v>
      </c>
      <c r="D31" s="87">
        <v>11.53</v>
      </c>
      <c r="E31" s="87">
        <v>11.53</v>
      </c>
    </row>
    <row r="32" spans="1:5" x14ac:dyDescent="0.25">
      <c r="A32" s="86">
        <v>23</v>
      </c>
      <c r="B32" s="87">
        <v>9.25</v>
      </c>
      <c r="C32" s="87">
        <v>9.25</v>
      </c>
      <c r="D32" s="87">
        <v>11.69</v>
      </c>
      <c r="E32" s="87">
        <v>11.69</v>
      </c>
    </row>
    <row r="33" spans="1:5" x14ac:dyDescent="0.25">
      <c r="A33" s="86">
        <v>24</v>
      </c>
      <c r="B33" s="87">
        <v>9.3800000000000008</v>
      </c>
      <c r="C33" s="87">
        <v>9.3800000000000008</v>
      </c>
      <c r="D33" s="87">
        <v>11.86</v>
      </c>
      <c r="E33" s="87">
        <v>11.86</v>
      </c>
    </row>
    <row r="34" spans="1:5" x14ac:dyDescent="0.25">
      <c r="A34" s="86">
        <v>25</v>
      </c>
      <c r="B34" s="87">
        <v>9.51</v>
      </c>
      <c r="C34" s="87">
        <v>9.51</v>
      </c>
      <c r="D34" s="87">
        <v>12.04</v>
      </c>
      <c r="E34" s="87">
        <v>12.04</v>
      </c>
    </row>
    <row r="35" spans="1:5" x14ac:dyDescent="0.25">
      <c r="A35" s="86">
        <v>26</v>
      </c>
      <c r="B35" s="87">
        <v>9.65</v>
      </c>
      <c r="C35" s="87">
        <v>9.65</v>
      </c>
      <c r="D35" s="87">
        <v>12.21</v>
      </c>
      <c r="E35" s="87">
        <v>12.21</v>
      </c>
    </row>
    <row r="36" spans="1:5" x14ac:dyDescent="0.25">
      <c r="A36" s="86">
        <v>27</v>
      </c>
      <c r="B36" s="87">
        <v>9.7799999999999994</v>
      </c>
      <c r="C36" s="87">
        <v>9.7799999999999994</v>
      </c>
      <c r="D36" s="87">
        <v>12.39</v>
      </c>
      <c r="E36" s="87">
        <v>12.39</v>
      </c>
    </row>
    <row r="37" spans="1:5" x14ac:dyDescent="0.25">
      <c r="A37" s="86">
        <v>28</v>
      </c>
      <c r="B37" s="87">
        <v>9.92</v>
      </c>
      <c r="C37" s="87">
        <v>9.92</v>
      </c>
      <c r="D37" s="87">
        <v>12.57</v>
      </c>
      <c r="E37" s="87">
        <v>12.57</v>
      </c>
    </row>
    <row r="38" spans="1:5" x14ac:dyDescent="0.25">
      <c r="A38" s="86">
        <v>29</v>
      </c>
      <c r="B38" s="87">
        <v>10.050000000000001</v>
      </c>
      <c r="C38" s="87">
        <v>10.050000000000001</v>
      </c>
      <c r="D38" s="87">
        <v>12.75</v>
      </c>
      <c r="E38" s="87">
        <v>12.75</v>
      </c>
    </row>
    <row r="39" spans="1:5" x14ac:dyDescent="0.25">
      <c r="A39" s="86">
        <v>30</v>
      </c>
      <c r="B39" s="87">
        <v>10.199999999999999</v>
      </c>
      <c r="C39" s="87">
        <v>10.199999999999999</v>
      </c>
      <c r="D39" s="87">
        <v>12.94</v>
      </c>
      <c r="E39" s="87">
        <v>12.94</v>
      </c>
    </row>
    <row r="40" spans="1:5" x14ac:dyDescent="0.25">
      <c r="A40" s="86">
        <v>31</v>
      </c>
      <c r="B40" s="87">
        <v>10.34</v>
      </c>
      <c r="C40" s="87">
        <v>10.34</v>
      </c>
      <c r="D40" s="87">
        <v>13.13</v>
      </c>
      <c r="E40" s="87">
        <v>13.13</v>
      </c>
    </row>
    <row r="41" spans="1:5" x14ac:dyDescent="0.25">
      <c r="A41" s="86">
        <v>32</v>
      </c>
      <c r="B41" s="87">
        <v>10.49</v>
      </c>
      <c r="C41" s="87">
        <v>10.49</v>
      </c>
      <c r="D41" s="87">
        <v>13.32</v>
      </c>
      <c r="E41" s="87">
        <v>13.32</v>
      </c>
    </row>
    <row r="42" spans="1:5" x14ac:dyDescent="0.25">
      <c r="A42" s="86">
        <v>33</v>
      </c>
      <c r="B42" s="87">
        <v>10.63</v>
      </c>
      <c r="C42" s="87">
        <v>10.63</v>
      </c>
      <c r="D42" s="87">
        <v>13.52</v>
      </c>
      <c r="E42" s="87">
        <v>13.52</v>
      </c>
    </row>
    <row r="43" spans="1:5" x14ac:dyDescent="0.25">
      <c r="A43" s="86">
        <v>34</v>
      </c>
      <c r="B43" s="87">
        <v>10.78</v>
      </c>
      <c r="C43" s="87">
        <v>10.78</v>
      </c>
      <c r="D43" s="87">
        <v>13.72</v>
      </c>
      <c r="E43" s="87">
        <v>13.72</v>
      </c>
    </row>
    <row r="44" spans="1:5" x14ac:dyDescent="0.25">
      <c r="A44" s="86">
        <v>35</v>
      </c>
      <c r="B44" s="87">
        <v>10.94</v>
      </c>
      <c r="C44" s="87">
        <v>10.94</v>
      </c>
      <c r="D44" s="87">
        <v>13.92</v>
      </c>
      <c r="E44" s="87">
        <v>13.92</v>
      </c>
    </row>
    <row r="45" spans="1:5" x14ac:dyDescent="0.25">
      <c r="A45" s="86">
        <v>36</v>
      </c>
      <c r="B45" s="87">
        <v>11.09</v>
      </c>
      <c r="C45" s="87">
        <v>11.09</v>
      </c>
      <c r="D45" s="87">
        <v>14.13</v>
      </c>
      <c r="E45" s="87">
        <v>14.13</v>
      </c>
    </row>
    <row r="46" spans="1:5" x14ac:dyDescent="0.25">
      <c r="A46" s="86">
        <v>37</v>
      </c>
      <c r="B46" s="87">
        <v>11.25</v>
      </c>
      <c r="C46" s="87">
        <v>11.25</v>
      </c>
      <c r="D46" s="87">
        <v>14.34</v>
      </c>
      <c r="E46" s="87">
        <v>14.34</v>
      </c>
    </row>
    <row r="47" spans="1:5" x14ac:dyDescent="0.25">
      <c r="A47" s="86">
        <v>38</v>
      </c>
      <c r="B47" s="87">
        <v>11.42</v>
      </c>
      <c r="C47" s="87">
        <v>11.42</v>
      </c>
      <c r="D47" s="87">
        <v>14.56</v>
      </c>
      <c r="E47" s="87">
        <v>14.56</v>
      </c>
    </row>
    <row r="48" spans="1:5" x14ac:dyDescent="0.25">
      <c r="A48" s="86">
        <v>39</v>
      </c>
      <c r="B48" s="87">
        <v>11.58</v>
      </c>
      <c r="C48" s="87">
        <v>11.58</v>
      </c>
      <c r="D48" s="87">
        <v>14.78</v>
      </c>
      <c r="E48" s="87">
        <v>14.78</v>
      </c>
    </row>
    <row r="49" spans="1:5" x14ac:dyDescent="0.25">
      <c r="A49" s="86">
        <v>40</v>
      </c>
      <c r="B49" s="87">
        <v>11.75</v>
      </c>
      <c r="C49" s="87">
        <v>11.75</v>
      </c>
      <c r="D49" s="87">
        <v>15</v>
      </c>
      <c r="E49" s="87">
        <v>15</v>
      </c>
    </row>
    <row r="50" spans="1:5" x14ac:dyDescent="0.25">
      <c r="A50" s="86">
        <v>41</v>
      </c>
      <c r="B50" s="87">
        <v>11.92</v>
      </c>
      <c r="C50" s="87">
        <v>11.92</v>
      </c>
      <c r="D50" s="87">
        <v>15.23</v>
      </c>
      <c r="E50" s="87">
        <v>15.23</v>
      </c>
    </row>
    <row r="51" spans="1:5" x14ac:dyDescent="0.25">
      <c r="A51" s="86">
        <v>42</v>
      </c>
      <c r="B51" s="87">
        <v>12.09</v>
      </c>
      <c r="C51" s="87">
        <v>12.09</v>
      </c>
      <c r="D51" s="87">
        <v>15.47</v>
      </c>
      <c r="E51" s="87">
        <v>15.47</v>
      </c>
    </row>
    <row r="52" spans="1:5" x14ac:dyDescent="0.25">
      <c r="A52" s="86">
        <v>43</v>
      </c>
      <c r="B52" s="87">
        <v>12.27</v>
      </c>
      <c r="C52" s="87">
        <v>12.27</v>
      </c>
      <c r="D52" s="87">
        <v>15.71</v>
      </c>
      <c r="E52" s="87">
        <v>15.71</v>
      </c>
    </row>
    <row r="53" spans="1:5" x14ac:dyDescent="0.25">
      <c r="A53" s="86">
        <v>44</v>
      </c>
      <c r="B53" s="87">
        <v>12.46</v>
      </c>
      <c r="C53" s="87">
        <v>12.46</v>
      </c>
      <c r="D53" s="87">
        <v>15.95</v>
      </c>
      <c r="E53" s="87">
        <v>15.95</v>
      </c>
    </row>
    <row r="54" spans="1:5" x14ac:dyDescent="0.25">
      <c r="A54" s="86">
        <v>45</v>
      </c>
      <c r="B54" s="87">
        <v>12.64</v>
      </c>
      <c r="C54" s="87">
        <v>12.64</v>
      </c>
      <c r="D54" s="87">
        <v>16.2</v>
      </c>
      <c r="E54" s="87">
        <v>16.2</v>
      </c>
    </row>
    <row r="55" spans="1:5" x14ac:dyDescent="0.25">
      <c r="A55" s="86">
        <v>46</v>
      </c>
      <c r="B55" s="87">
        <v>12.83</v>
      </c>
      <c r="C55" s="87">
        <v>12.83</v>
      </c>
      <c r="D55" s="87">
        <v>16.46</v>
      </c>
      <c r="E55" s="87">
        <v>16.46</v>
      </c>
    </row>
    <row r="56" spans="1:5" x14ac:dyDescent="0.25">
      <c r="A56" s="86">
        <v>47</v>
      </c>
      <c r="B56" s="87">
        <v>13.03</v>
      </c>
      <c r="C56" s="87">
        <v>13.03</v>
      </c>
      <c r="D56" s="87">
        <v>16.72</v>
      </c>
      <c r="E56" s="87">
        <v>16.72</v>
      </c>
    </row>
    <row r="57" spans="1:5" x14ac:dyDescent="0.25">
      <c r="A57" s="86">
        <v>48</v>
      </c>
      <c r="B57" s="87">
        <v>13.23</v>
      </c>
      <c r="C57" s="87">
        <v>13.23</v>
      </c>
      <c r="D57" s="87">
        <v>16.989999999999998</v>
      </c>
      <c r="E57" s="87">
        <v>16.989999999999998</v>
      </c>
    </row>
    <row r="58" spans="1:5" x14ac:dyDescent="0.25">
      <c r="A58" s="86">
        <v>49</v>
      </c>
      <c r="B58" s="87">
        <v>13.44</v>
      </c>
      <c r="C58" s="87">
        <v>13.44</v>
      </c>
      <c r="D58" s="87">
        <v>17.260000000000002</v>
      </c>
      <c r="E58" s="87">
        <v>17.260000000000002</v>
      </c>
    </row>
    <row r="59" spans="1:5" x14ac:dyDescent="0.25">
      <c r="A59" s="86">
        <v>50</v>
      </c>
      <c r="B59" s="87">
        <v>13.65</v>
      </c>
      <c r="C59" s="87">
        <v>13.65</v>
      </c>
      <c r="D59" s="87">
        <v>17.55</v>
      </c>
      <c r="E59" s="87">
        <v>17.55</v>
      </c>
    </row>
    <row r="60" spans="1:5" x14ac:dyDescent="0.25">
      <c r="A60" s="86">
        <v>51</v>
      </c>
      <c r="B60" s="87">
        <v>13.86</v>
      </c>
      <c r="C60" s="87">
        <v>13.86</v>
      </c>
      <c r="D60" s="87">
        <v>17.84</v>
      </c>
      <c r="E60" s="87">
        <v>17.84</v>
      </c>
    </row>
    <row r="61" spans="1:5" x14ac:dyDescent="0.25">
      <c r="A61" s="86">
        <v>52</v>
      </c>
      <c r="B61" s="87">
        <v>14.08</v>
      </c>
      <c r="C61" s="87">
        <v>14.08</v>
      </c>
      <c r="D61" s="87">
        <v>18.14</v>
      </c>
      <c r="E61" s="87">
        <v>18.14</v>
      </c>
    </row>
    <row r="62" spans="1:5" x14ac:dyDescent="0.25">
      <c r="A62" s="86">
        <v>53</v>
      </c>
      <c r="B62" s="87">
        <v>14.31</v>
      </c>
      <c r="C62" s="87">
        <v>14.31</v>
      </c>
      <c r="D62" s="87">
        <v>18.440000000000001</v>
      </c>
      <c r="E62" s="87">
        <v>18.440000000000001</v>
      </c>
    </row>
    <row r="63" spans="1:5" x14ac:dyDescent="0.25">
      <c r="A63" s="86">
        <v>54</v>
      </c>
      <c r="B63" s="87">
        <v>14.55</v>
      </c>
      <c r="C63" s="87">
        <v>14.55</v>
      </c>
      <c r="D63" s="87">
        <v>18.760000000000002</v>
      </c>
      <c r="E63" s="87">
        <v>18.760000000000002</v>
      </c>
    </row>
    <row r="64" spans="1:5" x14ac:dyDescent="0.25">
      <c r="A64" s="86">
        <v>55</v>
      </c>
      <c r="B64" s="87">
        <v>14.79</v>
      </c>
      <c r="C64" s="87">
        <v>14.79</v>
      </c>
      <c r="D64" s="87">
        <v>19.079999999999998</v>
      </c>
      <c r="E64" s="87">
        <v>19.079999999999998</v>
      </c>
    </row>
    <row r="65" spans="1:5" x14ac:dyDescent="0.25">
      <c r="A65" s="86">
        <v>56</v>
      </c>
      <c r="B65" s="87">
        <v>15.04</v>
      </c>
      <c r="C65" s="87">
        <v>15.04</v>
      </c>
      <c r="D65" s="87">
        <v>19.420000000000002</v>
      </c>
      <c r="E65" s="87">
        <v>19.420000000000002</v>
      </c>
    </row>
    <row r="66" spans="1:5" x14ac:dyDescent="0.25">
      <c r="A66" s="86">
        <v>57</v>
      </c>
      <c r="B66" s="87">
        <v>15.3</v>
      </c>
      <c r="C66" s="87">
        <v>15.3</v>
      </c>
      <c r="D66" s="87">
        <v>19.77</v>
      </c>
      <c r="E66" s="87">
        <v>19.77</v>
      </c>
    </row>
    <row r="67" spans="1:5" x14ac:dyDescent="0.25">
      <c r="A67" s="86">
        <v>58</v>
      </c>
      <c r="B67" s="87">
        <v>15.56</v>
      </c>
      <c r="C67" s="87">
        <v>15.56</v>
      </c>
      <c r="D67" s="87">
        <v>20.13</v>
      </c>
      <c r="E67" s="87">
        <v>20.13</v>
      </c>
    </row>
    <row r="68" spans="1:5" x14ac:dyDescent="0.25">
      <c r="A68" s="86">
        <v>59</v>
      </c>
      <c r="B68" s="87">
        <v>15.84</v>
      </c>
      <c r="C68" s="87">
        <v>15.84</v>
      </c>
      <c r="D68" s="87">
        <v>20.5</v>
      </c>
      <c r="E68" s="87">
        <v>20.5</v>
      </c>
    </row>
    <row r="69" spans="1:5" x14ac:dyDescent="0.25">
      <c r="A69" s="86">
        <v>60</v>
      </c>
      <c r="B69" s="87">
        <v>16.13</v>
      </c>
      <c r="C69" s="87">
        <v>16.13</v>
      </c>
      <c r="D69" s="87"/>
      <c r="E69" s="87"/>
    </row>
    <row r="70" spans="1:5" x14ac:dyDescent="0.25">
      <c r="A70" s="86">
        <v>61</v>
      </c>
      <c r="B70" s="87">
        <v>16.43</v>
      </c>
      <c r="C70" s="87">
        <v>16.43</v>
      </c>
      <c r="D70" s="87"/>
      <c r="E70" s="87"/>
    </row>
    <row r="71" spans="1:5" x14ac:dyDescent="0.25">
      <c r="A71" s="86">
        <v>62</v>
      </c>
      <c r="B71" s="87">
        <v>16.75</v>
      </c>
      <c r="C71" s="87">
        <v>16.75</v>
      </c>
      <c r="D71" s="87"/>
      <c r="E71" s="87"/>
    </row>
    <row r="72" spans="1:5" x14ac:dyDescent="0.25">
      <c r="A72" s="86">
        <v>63</v>
      </c>
      <c r="B72" s="87">
        <v>17.079999999999998</v>
      </c>
      <c r="C72" s="87">
        <v>17.079999999999998</v>
      </c>
      <c r="D72" s="87"/>
      <c r="E72" s="87"/>
    </row>
    <row r="73" spans="1:5" x14ac:dyDescent="0.25">
      <c r="A73" s="86">
        <v>64</v>
      </c>
      <c r="B73" s="87">
        <v>17.43</v>
      </c>
      <c r="C73" s="87">
        <v>17.43</v>
      </c>
      <c r="D73" s="87"/>
      <c r="E73" s="87"/>
    </row>
  </sheetData>
  <sheetProtection algorithmName="SHA-512" hashValue="IlCCULZTk9vu9jC5oyHLswLIZawd0LgDDsTcCRDRVQZtIebB/xpFWb8vT7cuJemwsugNujznqoCGdyyLcsg4sw==" saltValue="yH/iPkpQj4SZDLrSVHXvRA==" spinCount="100000" sheet="1" objects="1" scenarios="1"/>
  <conditionalFormatting sqref="A6:A21">
    <cfRule type="expression" dxfId="229" priority="1" stopIfTrue="1">
      <formula>MOD(ROW(),2)=0</formula>
    </cfRule>
    <cfRule type="expression" dxfId="228" priority="2" stopIfTrue="1">
      <formula>MOD(ROW(),2)&lt;&gt;0</formula>
    </cfRule>
  </conditionalFormatting>
  <conditionalFormatting sqref="A26:A73">
    <cfRule type="expression" dxfId="227" priority="7" stopIfTrue="1">
      <formula>MOD(ROW(),2)=0</formula>
    </cfRule>
    <cfRule type="expression" dxfId="226" priority="8" stopIfTrue="1">
      <formula>MOD(ROW(),2)&lt;&gt;0</formula>
    </cfRule>
  </conditionalFormatting>
  <conditionalFormatting sqref="B17:B21">
    <cfRule type="expression" dxfId="225" priority="11" stopIfTrue="1">
      <formula>MOD(ROW(),2)=0</formula>
    </cfRule>
    <cfRule type="expression" dxfId="224" priority="12" stopIfTrue="1">
      <formula>MOD(ROW(),2)&lt;&gt;0</formula>
    </cfRule>
  </conditionalFormatting>
  <conditionalFormatting sqref="B6:E21 B26:E73">
    <cfRule type="expression" dxfId="223" priority="23" stopIfTrue="1">
      <formula>MOD(ROW(),2)=0</formula>
    </cfRule>
    <cfRule type="expression" dxfId="222" priority="24" stopIfTrue="1">
      <formula>MOD(ROW(),2)&lt;&gt;0</formula>
    </cfRule>
  </conditionalFormatting>
  <hyperlinks>
    <hyperlink ref="B24" location="Assumptions!A1" display="Assumptions" xr:uid="{07B6033A-EDE6-4A3E-8708-DC56F229B8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dimension ref="A1:I46"/>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x-606</v>
      </c>
      <c r="B3" s="42"/>
      <c r="C3" s="42"/>
      <c r="D3" s="42"/>
      <c r="E3" s="42"/>
      <c r="F3" s="42"/>
      <c r="G3" s="42"/>
      <c r="H3" s="42"/>
      <c r="I3" s="42"/>
    </row>
    <row r="4" spans="1:9" x14ac:dyDescent="0.25">
      <c r="A4" s="44"/>
    </row>
    <row r="6" spans="1:9" x14ac:dyDescent="0.25">
      <c r="A6" s="74" t="s">
        <v>334</v>
      </c>
      <c r="B6" s="148" t="s">
        <v>335</v>
      </c>
      <c r="C6" s="148"/>
      <c r="D6" s="148"/>
      <c r="E6" s="148"/>
    </row>
    <row r="7" spans="1:9" x14ac:dyDescent="0.25">
      <c r="A7" s="76" t="s">
        <v>78</v>
      </c>
      <c r="B7" s="148" t="s">
        <v>67</v>
      </c>
      <c r="C7" s="148"/>
      <c r="D7" s="148"/>
      <c r="E7" s="148"/>
    </row>
    <row r="8" spans="1:9" x14ac:dyDescent="0.25">
      <c r="A8" s="76" t="s">
        <v>79</v>
      </c>
      <c r="B8" s="148">
        <v>2006</v>
      </c>
      <c r="C8" s="148"/>
      <c r="D8" s="148"/>
      <c r="E8" s="148"/>
    </row>
    <row r="9" spans="1:9" x14ac:dyDescent="0.25">
      <c r="A9" s="76" t="s">
        <v>80</v>
      </c>
      <c r="B9" s="148" t="s">
        <v>257</v>
      </c>
      <c r="C9" s="148"/>
      <c r="D9" s="148"/>
      <c r="E9" s="148"/>
    </row>
    <row r="10" spans="1:9" x14ac:dyDescent="0.25">
      <c r="A10" s="76" t="s">
        <v>6</v>
      </c>
      <c r="B10" s="148" t="s">
        <v>266</v>
      </c>
      <c r="C10" s="148"/>
      <c r="D10" s="148"/>
      <c r="E10" s="148"/>
    </row>
    <row r="11" spans="1:9" x14ac:dyDescent="0.25">
      <c r="A11" s="76" t="s">
        <v>81</v>
      </c>
      <c r="B11" s="148" t="s">
        <v>259</v>
      </c>
      <c r="C11" s="148"/>
      <c r="D11" s="148"/>
      <c r="E11" s="148"/>
    </row>
    <row r="12" spans="1:9" x14ac:dyDescent="0.25">
      <c r="A12" s="76" t="s">
        <v>82</v>
      </c>
      <c r="B12" s="148" t="s">
        <v>260</v>
      </c>
      <c r="C12" s="148"/>
      <c r="D12" s="148"/>
      <c r="E12" s="148"/>
    </row>
    <row r="13" spans="1:9" x14ac:dyDescent="0.25">
      <c r="A13" s="76" t="s">
        <v>342</v>
      </c>
      <c r="B13" s="148">
        <v>1</v>
      </c>
      <c r="C13" s="148"/>
      <c r="D13" s="148"/>
      <c r="E13" s="148"/>
    </row>
    <row r="14" spans="1:9" x14ac:dyDescent="0.25">
      <c r="A14" s="76" t="s">
        <v>84</v>
      </c>
      <c r="B14" s="148">
        <v>606</v>
      </c>
      <c r="C14" s="148"/>
      <c r="D14" s="148"/>
      <c r="E14" s="148"/>
    </row>
    <row r="15" spans="1:9" x14ac:dyDescent="0.25">
      <c r="A15" s="76" t="s">
        <v>345</v>
      </c>
      <c r="B15" s="148" t="s">
        <v>267</v>
      </c>
      <c r="C15" s="148"/>
      <c r="D15" s="148"/>
      <c r="E15" s="148"/>
    </row>
    <row r="16" spans="1:9" x14ac:dyDescent="0.25">
      <c r="A16" s="76" t="s">
        <v>86</v>
      </c>
      <c r="B16" s="148" t="s">
        <v>102</v>
      </c>
      <c r="C16" s="148"/>
      <c r="D16" s="148"/>
      <c r="E16" s="148"/>
    </row>
    <row r="17" spans="1:5" x14ac:dyDescent="0.25">
      <c r="A17" s="76" t="s">
        <v>414</v>
      </c>
      <c r="B17" s="148"/>
      <c r="C17" s="148"/>
      <c r="D17" s="148"/>
      <c r="E17" s="148"/>
    </row>
    <row r="18" spans="1:5" x14ac:dyDescent="0.25">
      <c r="A18" s="76" t="s">
        <v>88</v>
      </c>
      <c r="B18" s="152">
        <v>45135</v>
      </c>
      <c r="C18" s="148"/>
      <c r="D18" s="148"/>
      <c r="E18" s="148"/>
    </row>
    <row r="19" spans="1:5" x14ac:dyDescent="0.25">
      <c r="A19" s="76" t="s">
        <v>89</v>
      </c>
      <c r="B19" s="152">
        <v>45135</v>
      </c>
      <c r="C19" s="148"/>
      <c r="D19" s="148"/>
      <c r="E19" s="148"/>
    </row>
    <row r="20" spans="1:5" x14ac:dyDescent="0.25">
      <c r="A20" s="76" t="s">
        <v>90</v>
      </c>
      <c r="B20" s="148" t="s">
        <v>98</v>
      </c>
      <c r="C20" s="148"/>
      <c r="D20" s="148"/>
      <c r="E20" s="148"/>
    </row>
    <row r="21" spans="1:5" x14ac:dyDescent="0.25">
      <c r="A21" s="72" t="s">
        <v>91</v>
      </c>
      <c r="B21" s="148" t="s">
        <v>99</v>
      </c>
      <c r="C21" s="148"/>
      <c r="D21" s="148"/>
      <c r="E21" s="148"/>
    </row>
    <row r="23" spans="1:5" x14ac:dyDescent="0.25">
      <c r="B23" s="89" t="str">
        <f>HYPERLINK("#'Factor List'!A1","Back to Factor List")</f>
        <v>Back to Factor List</v>
      </c>
    </row>
    <row r="24" spans="1:5" x14ac:dyDescent="0.25">
      <c r="B24" s="89" t="s">
        <v>13</v>
      </c>
    </row>
    <row r="25" spans="1:5" x14ac:dyDescent="0.25">
      <c r="B25" s="89"/>
    </row>
    <row r="26" spans="1:5" ht="39.6" x14ac:dyDescent="0.25">
      <c r="A26" s="85" t="s">
        <v>415</v>
      </c>
      <c r="B26" s="85" t="s">
        <v>460</v>
      </c>
      <c r="C26" s="85" t="s">
        <v>461</v>
      </c>
      <c r="D26" s="85" t="s">
        <v>462</v>
      </c>
      <c r="E26" s="85" t="s">
        <v>463</v>
      </c>
    </row>
    <row r="27" spans="1:5" x14ac:dyDescent="0.25">
      <c r="A27" s="86">
        <v>60</v>
      </c>
      <c r="B27" s="87"/>
      <c r="C27" s="87"/>
      <c r="D27" s="87">
        <v>20.37</v>
      </c>
      <c r="E27" s="87">
        <v>20.37</v>
      </c>
    </row>
    <row r="28" spans="1:5" x14ac:dyDescent="0.25">
      <c r="A28" s="86">
        <v>61</v>
      </c>
      <c r="B28" s="87"/>
      <c r="C28" s="87"/>
      <c r="D28" s="87">
        <v>19.739999999999998</v>
      </c>
      <c r="E28" s="87">
        <v>19.739999999999998</v>
      </c>
    </row>
    <row r="29" spans="1:5" x14ac:dyDescent="0.25">
      <c r="A29" s="86">
        <v>62</v>
      </c>
      <c r="B29" s="87"/>
      <c r="C29" s="87"/>
      <c r="D29" s="87">
        <v>19.100000000000001</v>
      </c>
      <c r="E29" s="87">
        <v>19.100000000000001</v>
      </c>
    </row>
    <row r="30" spans="1:5" x14ac:dyDescent="0.25">
      <c r="A30" s="86">
        <v>63</v>
      </c>
      <c r="B30" s="87"/>
      <c r="C30" s="87"/>
      <c r="D30" s="87">
        <v>18.46</v>
      </c>
      <c r="E30" s="87">
        <v>18.46</v>
      </c>
    </row>
    <row r="31" spans="1:5" x14ac:dyDescent="0.25">
      <c r="A31" s="86">
        <v>64</v>
      </c>
      <c r="B31" s="87"/>
      <c r="C31" s="87"/>
      <c r="D31" s="87">
        <v>17.829999999999998</v>
      </c>
      <c r="E31" s="87">
        <v>17.829999999999998</v>
      </c>
    </row>
    <row r="32" spans="1:5" x14ac:dyDescent="0.25">
      <c r="A32" s="86">
        <v>65</v>
      </c>
      <c r="B32" s="87">
        <v>17.29</v>
      </c>
      <c r="C32" s="87">
        <v>17.29</v>
      </c>
      <c r="D32" s="87">
        <v>17.2</v>
      </c>
      <c r="E32" s="87">
        <v>17.2</v>
      </c>
    </row>
    <row r="33" spans="1:5" x14ac:dyDescent="0.25">
      <c r="A33" s="86">
        <v>66</v>
      </c>
      <c r="B33" s="87">
        <v>16.63</v>
      </c>
      <c r="C33" s="87">
        <v>16.63</v>
      </c>
      <c r="D33" s="87">
        <v>16.57</v>
      </c>
      <c r="E33" s="87">
        <v>16.57</v>
      </c>
    </row>
    <row r="34" spans="1:5" x14ac:dyDescent="0.25">
      <c r="A34" s="86">
        <v>67</v>
      </c>
      <c r="B34" s="87">
        <v>15.97</v>
      </c>
      <c r="C34" s="87">
        <v>15.97</v>
      </c>
      <c r="D34" s="87">
        <v>15.94</v>
      </c>
      <c r="E34" s="87">
        <v>15.94</v>
      </c>
    </row>
    <row r="35" spans="1:5" x14ac:dyDescent="0.25">
      <c r="A35" s="86">
        <v>68</v>
      </c>
      <c r="B35" s="87">
        <v>15.32</v>
      </c>
      <c r="C35" s="87">
        <v>15.32</v>
      </c>
      <c r="D35" s="87">
        <v>15.31</v>
      </c>
      <c r="E35" s="87">
        <v>15.31</v>
      </c>
    </row>
    <row r="36" spans="1:5" x14ac:dyDescent="0.25">
      <c r="A36" s="86">
        <v>69</v>
      </c>
      <c r="B36" s="87">
        <v>14.68</v>
      </c>
      <c r="C36" s="87">
        <v>14.68</v>
      </c>
      <c r="D36" s="87">
        <v>14.67</v>
      </c>
      <c r="E36" s="87">
        <v>14.67</v>
      </c>
    </row>
    <row r="37" spans="1:5" x14ac:dyDescent="0.25">
      <c r="A37" s="86">
        <v>70</v>
      </c>
      <c r="B37" s="87">
        <v>14.04</v>
      </c>
      <c r="C37" s="87">
        <v>14.04</v>
      </c>
      <c r="D37" s="87">
        <v>14.04</v>
      </c>
      <c r="E37" s="87">
        <v>14.04</v>
      </c>
    </row>
    <row r="38" spans="1:5" x14ac:dyDescent="0.25">
      <c r="A38" s="86">
        <v>71</v>
      </c>
      <c r="B38" s="87">
        <v>13.42</v>
      </c>
      <c r="C38" s="87">
        <v>13.42</v>
      </c>
      <c r="D38" s="87">
        <v>13.42</v>
      </c>
      <c r="E38" s="87">
        <v>13.42</v>
      </c>
    </row>
    <row r="39" spans="1:5" x14ac:dyDescent="0.25">
      <c r="A39" s="86">
        <v>72</v>
      </c>
      <c r="B39" s="87">
        <v>12.79</v>
      </c>
      <c r="C39" s="87">
        <v>12.79</v>
      </c>
      <c r="D39" s="87">
        <v>12.79</v>
      </c>
      <c r="E39" s="87">
        <v>12.79</v>
      </c>
    </row>
    <row r="40" spans="1:5" x14ac:dyDescent="0.25">
      <c r="A40" s="86">
        <v>73</v>
      </c>
      <c r="B40" s="87">
        <v>12.17</v>
      </c>
      <c r="C40" s="87">
        <v>12.17</v>
      </c>
      <c r="D40" s="87">
        <v>12.17</v>
      </c>
      <c r="E40" s="87">
        <v>12.17</v>
      </c>
    </row>
    <row r="41" spans="1:5" x14ac:dyDescent="0.25">
      <c r="A41" s="86">
        <v>74</v>
      </c>
      <c r="B41" s="87">
        <v>11.56</v>
      </c>
      <c r="C41" s="87">
        <v>11.56</v>
      </c>
      <c r="D41" s="87">
        <v>11.56</v>
      </c>
      <c r="E41" s="87">
        <v>11.56</v>
      </c>
    </row>
    <row r="44" spans="1:5" ht="39.6" customHeight="1" x14ac:dyDescent="0.25"/>
    <row r="46" spans="1:5" ht="27.6" customHeight="1" x14ac:dyDescent="0.25"/>
  </sheetData>
  <sheetProtection algorithmName="SHA-512" hashValue="m8NvR0i95YkUt5tgPjzX63Ga5yN0j/8tSnk2f33NT103DFmfiEctPYG/AjqMF3l7zZ3gEswSmdiC02TbaPZyEQ==" saltValue="0Y/4XkWCWcmO0IEAb+cb/g==" spinCount="100000" sheet="1" objects="1" scenarios="1"/>
  <conditionalFormatting sqref="A6:A21">
    <cfRule type="expression" dxfId="221" priority="1" stopIfTrue="1">
      <formula>MOD(ROW(),2)=0</formula>
    </cfRule>
    <cfRule type="expression" dxfId="220" priority="2" stopIfTrue="1">
      <formula>MOD(ROW(),2)&lt;&gt;0</formula>
    </cfRule>
  </conditionalFormatting>
  <conditionalFormatting sqref="A26:A41">
    <cfRule type="expression" dxfId="219" priority="7" stopIfTrue="1">
      <formula>MOD(ROW(),2)=0</formula>
    </cfRule>
    <cfRule type="expression" dxfId="218" priority="8" stopIfTrue="1">
      <formula>MOD(ROW(),2)&lt;&gt;0</formula>
    </cfRule>
  </conditionalFormatting>
  <conditionalFormatting sqref="B17:B21">
    <cfRule type="expression" dxfId="217" priority="11" stopIfTrue="1">
      <formula>MOD(ROW(),2)=0</formula>
    </cfRule>
    <cfRule type="expression" dxfId="216" priority="12" stopIfTrue="1">
      <formula>MOD(ROW(),2)&lt;&gt;0</formula>
    </cfRule>
  </conditionalFormatting>
  <conditionalFormatting sqref="B6:E21 B26:E41">
    <cfRule type="expression" dxfId="215" priority="23" stopIfTrue="1">
      <formula>MOD(ROW(),2)=0</formula>
    </cfRule>
    <cfRule type="expression" dxfId="214" priority="24" stopIfTrue="1">
      <formula>MOD(ROW(),2)&lt;&gt;0</formula>
    </cfRule>
  </conditionalFormatting>
  <hyperlinks>
    <hyperlink ref="B24" location="Assumptions!A1" display="Assumptions" xr:uid="{F2315F70-0D4A-4065-ACF9-F4BF18E5C4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7FAF-B787-4F4A-9F3C-FA632169C7F8}">
  <sheetPr codeName="Sheet6">
    <tabColor rgb="FF00B0F0"/>
  </sheetPr>
  <dimension ref="A1:I55"/>
  <sheetViews>
    <sheetView showGridLines="0" zoomScale="70" zoomScaleNormal="70" workbookViewId="0">
      <selection activeCell="A3" sqref="A3"/>
    </sheetView>
  </sheetViews>
  <sheetFormatPr defaultColWidth="8.77734375" defaultRowHeight="13.2" x14ac:dyDescent="0.25"/>
  <cols>
    <col min="1" max="1" width="55.77734375" style="27" customWidth="1"/>
    <col min="2" max="2" width="61.21875" style="27" customWidth="1"/>
    <col min="3" max="16384" width="8.77734375" style="27"/>
  </cols>
  <sheetData>
    <row r="1" spans="1:9" ht="21" x14ac:dyDescent="0.4">
      <c r="A1" s="39" t="s">
        <v>0</v>
      </c>
      <c r="B1" s="40"/>
      <c r="C1" s="40"/>
      <c r="D1" s="40"/>
      <c r="E1" s="40"/>
      <c r="F1" s="40"/>
      <c r="G1" s="40"/>
      <c r="H1" s="40"/>
      <c r="I1" s="40"/>
    </row>
    <row r="2" spans="1:9" ht="15.6" x14ac:dyDescent="0.3">
      <c r="A2" s="5" t="s">
        <v>1</v>
      </c>
      <c r="B2" s="42"/>
      <c r="C2" s="42"/>
      <c r="D2" s="42"/>
      <c r="E2" s="42"/>
      <c r="F2" s="42"/>
      <c r="G2" s="42"/>
      <c r="H2" s="42"/>
      <c r="I2" s="42"/>
    </row>
    <row r="3" spans="1:9" ht="15.6" x14ac:dyDescent="0.3">
      <c r="A3" s="43" t="s">
        <v>13</v>
      </c>
      <c r="B3" s="42"/>
      <c r="C3" s="42"/>
      <c r="D3" s="42"/>
      <c r="E3" s="42"/>
      <c r="F3" s="42"/>
      <c r="G3" s="42"/>
      <c r="H3" s="42"/>
      <c r="I3" s="42"/>
    </row>
    <row r="4" spans="1:9" x14ac:dyDescent="0.25">
      <c r="A4" s="44"/>
    </row>
    <row r="5" spans="1:9" x14ac:dyDescent="0.25">
      <c r="A5" s="125"/>
      <c r="B5" s="125"/>
    </row>
    <row r="6" spans="1:9" x14ac:dyDescent="0.25">
      <c r="A6" s="126"/>
      <c r="B6" s="125"/>
    </row>
    <row r="8" spans="1:9" ht="15.6" x14ac:dyDescent="0.3">
      <c r="A8" s="127" t="s">
        <v>353</v>
      </c>
      <c r="B8" s="128" t="s">
        <v>99</v>
      </c>
    </row>
    <row r="9" spans="1:9" ht="15.6" x14ac:dyDescent="0.3">
      <c r="A9" s="129"/>
      <c r="B9" s="130"/>
    </row>
    <row r="10" spans="1:9" ht="15.6" x14ac:dyDescent="0.3">
      <c r="A10" s="128" t="s">
        <v>354</v>
      </c>
      <c r="B10" s="131"/>
    </row>
    <row r="11" spans="1:9" ht="15" x14ac:dyDescent="0.25">
      <c r="A11" s="132" t="s">
        <v>355</v>
      </c>
      <c r="B11" s="142">
        <v>3.7339999999999998E-2</v>
      </c>
    </row>
    <row r="12" spans="1:9" ht="15" x14ac:dyDescent="0.25">
      <c r="A12" s="131" t="s">
        <v>356</v>
      </c>
      <c r="B12" s="134">
        <v>0.02</v>
      </c>
    </row>
    <row r="13" spans="1:9" ht="15" x14ac:dyDescent="0.25">
      <c r="A13" s="135" t="s">
        <v>357</v>
      </c>
      <c r="B13" s="133" t="s">
        <v>255</v>
      </c>
    </row>
    <row r="14" spans="1:9" ht="15" x14ac:dyDescent="0.25">
      <c r="A14" s="131" t="s">
        <v>358</v>
      </c>
      <c r="B14" s="134" t="s">
        <v>255</v>
      </c>
    </row>
    <row r="15" spans="1:9" ht="15" x14ac:dyDescent="0.25">
      <c r="A15" s="132" t="s">
        <v>359</v>
      </c>
      <c r="B15" s="133">
        <v>1.4E-2</v>
      </c>
    </row>
    <row r="16" spans="1:9" ht="15" x14ac:dyDescent="0.25">
      <c r="A16" s="131" t="s">
        <v>360</v>
      </c>
      <c r="B16" s="134">
        <v>3.7999999999999999E-2</v>
      </c>
    </row>
    <row r="17" spans="1:2" ht="15" x14ac:dyDescent="0.25">
      <c r="A17" s="132" t="s">
        <v>361</v>
      </c>
      <c r="B17" s="133">
        <v>3.7999999999999999E-2</v>
      </c>
    </row>
    <row r="18" spans="1:2" ht="15" x14ac:dyDescent="0.25">
      <c r="A18" s="131" t="s">
        <v>362</v>
      </c>
      <c r="B18" s="134">
        <v>1.7000000000000001E-2</v>
      </c>
    </row>
    <row r="19" spans="1:2" ht="15" x14ac:dyDescent="0.25">
      <c r="A19" s="132" t="s">
        <v>363</v>
      </c>
      <c r="B19" s="142">
        <v>2.3019999999999999E-2</v>
      </c>
    </row>
    <row r="20" spans="1:2" ht="15" x14ac:dyDescent="0.25">
      <c r="A20" s="131" t="s">
        <v>364</v>
      </c>
      <c r="B20" s="131" t="s">
        <v>365</v>
      </c>
    </row>
    <row r="21" spans="1:2" ht="15" x14ac:dyDescent="0.25">
      <c r="A21" s="132" t="s">
        <v>366</v>
      </c>
      <c r="B21" s="136" t="s">
        <v>367</v>
      </c>
    </row>
    <row r="22" spans="1:2" ht="15" x14ac:dyDescent="0.25">
      <c r="A22" s="131"/>
      <c r="B22" s="137"/>
    </row>
    <row r="23" spans="1:2" ht="15.6" x14ac:dyDescent="0.3">
      <c r="A23" s="130" t="s">
        <v>368</v>
      </c>
      <c r="B23" s="132"/>
    </row>
    <row r="24" spans="1:2" ht="15" x14ac:dyDescent="0.25">
      <c r="A24" s="131" t="s">
        <v>369</v>
      </c>
      <c r="B24" s="131" t="s">
        <v>370</v>
      </c>
    </row>
    <row r="25" spans="1:2" ht="15" x14ac:dyDescent="0.25">
      <c r="A25" s="132" t="s">
        <v>371</v>
      </c>
      <c r="B25" s="132" t="s">
        <v>372</v>
      </c>
    </row>
    <row r="26" spans="1:2" ht="15" x14ac:dyDescent="0.25">
      <c r="A26" s="131" t="s">
        <v>373</v>
      </c>
      <c r="B26" s="131" t="s">
        <v>370</v>
      </c>
    </row>
    <row r="27" spans="1:2" ht="15" x14ac:dyDescent="0.25">
      <c r="A27" s="132" t="s">
        <v>374</v>
      </c>
      <c r="B27" s="132" t="s">
        <v>372</v>
      </c>
    </row>
    <row r="28" spans="1:2" ht="15" x14ac:dyDescent="0.25">
      <c r="A28" s="131" t="s">
        <v>375</v>
      </c>
      <c r="B28" s="131" t="s">
        <v>370</v>
      </c>
    </row>
    <row r="29" spans="1:2" ht="15" x14ac:dyDescent="0.25">
      <c r="A29" s="132" t="s">
        <v>376</v>
      </c>
      <c r="B29" s="132" t="s">
        <v>377</v>
      </c>
    </row>
    <row r="30" spans="1:2" ht="15" x14ac:dyDescent="0.25">
      <c r="A30" s="131" t="s">
        <v>378</v>
      </c>
      <c r="B30" s="131" t="s">
        <v>379</v>
      </c>
    </row>
    <row r="31" spans="1:2" ht="15" x14ac:dyDescent="0.25">
      <c r="A31" s="132" t="s">
        <v>380</v>
      </c>
      <c r="B31" s="132">
        <v>2024</v>
      </c>
    </row>
    <row r="32" spans="1:2" ht="15" x14ac:dyDescent="0.25">
      <c r="A32" s="131" t="s">
        <v>381</v>
      </c>
      <c r="B32" s="131" t="s">
        <v>255</v>
      </c>
    </row>
    <row r="33" spans="1:2" ht="15" x14ac:dyDescent="0.25">
      <c r="A33" s="132"/>
      <c r="B33" s="132"/>
    </row>
    <row r="34" spans="1:2" ht="15.6" x14ac:dyDescent="0.3">
      <c r="A34" s="128" t="s">
        <v>382</v>
      </c>
      <c r="B34" s="131"/>
    </row>
    <row r="35" spans="1:2" ht="15" x14ac:dyDescent="0.25">
      <c r="A35" s="132" t="s">
        <v>383</v>
      </c>
      <c r="B35" s="138">
        <v>0.95</v>
      </c>
    </row>
    <row r="36" spans="1:2" ht="15" x14ac:dyDescent="0.25">
      <c r="A36" s="131" t="s">
        <v>384</v>
      </c>
      <c r="B36" s="139">
        <v>0.05</v>
      </c>
    </row>
    <row r="37" spans="1:2" ht="30" x14ac:dyDescent="0.25">
      <c r="A37" s="132" t="s">
        <v>385</v>
      </c>
      <c r="B37" s="132" t="s">
        <v>386</v>
      </c>
    </row>
    <row r="38" spans="1:2" ht="30" x14ac:dyDescent="0.25">
      <c r="A38" s="131" t="s">
        <v>387</v>
      </c>
      <c r="B38" s="131" t="s">
        <v>388</v>
      </c>
    </row>
    <row r="39" spans="1:2" ht="75" x14ac:dyDescent="0.25">
      <c r="A39" s="136" t="s">
        <v>389</v>
      </c>
      <c r="B39" s="136" t="s">
        <v>390</v>
      </c>
    </row>
    <row r="40" spans="1:2" ht="15" x14ac:dyDescent="0.25">
      <c r="A40" s="137" t="s">
        <v>391</v>
      </c>
      <c r="B40" s="137" t="s">
        <v>365</v>
      </c>
    </row>
    <row r="41" spans="1:2" ht="15" x14ac:dyDescent="0.25">
      <c r="A41" s="136" t="s">
        <v>392</v>
      </c>
      <c r="B41" s="136" t="s">
        <v>365</v>
      </c>
    </row>
    <row r="42" spans="1:2" ht="15" x14ac:dyDescent="0.25">
      <c r="A42" s="137" t="s">
        <v>393</v>
      </c>
      <c r="B42" s="137" t="s">
        <v>365</v>
      </c>
    </row>
    <row r="43" spans="1:2" ht="15" x14ac:dyDescent="0.25">
      <c r="A43" s="136" t="s">
        <v>394</v>
      </c>
      <c r="B43" s="136" t="s">
        <v>395</v>
      </c>
    </row>
    <row r="44" spans="1:2" ht="15" x14ac:dyDescent="0.25">
      <c r="A44" s="137" t="s">
        <v>396</v>
      </c>
      <c r="B44" s="137" t="s">
        <v>397</v>
      </c>
    </row>
    <row r="45" spans="1:2" ht="15" x14ac:dyDescent="0.25">
      <c r="A45" s="136" t="s">
        <v>398</v>
      </c>
      <c r="B45" s="136" t="s">
        <v>365</v>
      </c>
    </row>
    <row r="46" spans="1:2" ht="15" x14ac:dyDescent="0.25">
      <c r="A46" s="137" t="s">
        <v>399</v>
      </c>
      <c r="B46" s="137" t="s">
        <v>397</v>
      </c>
    </row>
    <row r="47" spans="1:2" ht="15" x14ac:dyDescent="0.25">
      <c r="A47" s="136" t="s">
        <v>400</v>
      </c>
      <c r="B47" s="136" t="s">
        <v>365</v>
      </c>
    </row>
    <row r="48" spans="1:2" ht="60" x14ac:dyDescent="0.25">
      <c r="A48" s="137" t="s">
        <v>401</v>
      </c>
      <c r="B48" s="137" t="s">
        <v>402</v>
      </c>
    </row>
    <row r="49" spans="1:4" ht="15" x14ac:dyDescent="0.25">
      <c r="A49" s="136" t="s">
        <v>403</v>
      </c>
      <c r="B49" s="136" t="s">
        <v>404</v>
      </c>
    </row>
    <row r="50" spans="1:4" ht="90" x14ac:dyDescent="0.25">
      <c r="A50" s="131" t="s">
        <v>405</v>
      </c>
      <c r="B50" s="131" t="s">
        <v>406</v>
      </c>
    </row>
    <row r="51" spans="1:4" ht="15" x14ac:dyDescent="0.25">
      <c r="A51" s="132"/>
      <c r="B51" s="132"/>
    </row>
    <row r="52" spans="1:4" ht="15.6" x14ac:dyDescent="0.3">
      <c r="A52" s="128" t="s">
        <v>407</v>
      </c>
      <c r="B52" s="131"/>
      <c r="D52" s="140"/>
    </row>
    <row r="53" spans="1:4" ht="15" x14ac:dyDescent="0.25">
      <c r="A53" s="132" t="s">
        <v>408</v>
      </c>
      <c r="B53" s="132" t="s">
        <v>409</v>
      </c>
      <c r="D53" s="141"/>
    </row>
    <row r="54" spans="1:4" ht="30" x14ac:dyDescent="0.25">
      <c r="A54" s="132" t="s">
        <v>410</v>
      </c>
      <c r="B54" s="132" t="s">
        <v>411</v>
      </c>
    </row>
    <row r="55" spans="1:4" ht="30" x14ac:dyDescent="0.25">
      <c r="A55" s="132" t="s">
        <v>412</v>
      </c>
      <c r="B55" s="132" t="s">
        <v>413</v>
      </c>
    </row>
  </sheetData>
  <sheetProtection algorithmName="SHA-512" hashValue="DIZNTMh/TqJCpUsoytrkN9+59lh1+nrBp4yh3FzRdvp9ADV8Tx6J8DLFoXXbjhy7bHe24Ujt6WtNnKbYIIJ3Tg==" saltValue="WIkSlj3hZ8VNyFXzd+VOgg=="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dimension ref="A1:I76"/>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x-607</v>
      </c>
      <c r="B3" s="42"/>
      <c r="C3" s="42"/>
      <c r="D3" s="42"/>
      <c r="E3" s="42"/>
      <c r="F3" s="42"/>
      <c r="G3" s="42"/>
      <c r="H3" s="42"/>
      <c r="I3" s="42"/>
    </row>
    <row r="4" spans="1:9" x14ac:dyDescent="0.25">
      <c r="A4" s="44"/>
    </row>
    <row r="6" spans="1:9" x14ac:dyDescent="0.25">
      <c r="A6" s="74" t="s">
        <v>334</v>
      </c>
      <c r="B6" s="148" t="s">
        <v>335</v>
      </c>
      <c r="C6" s="148"/>
      <c r="D6" s="148"/>
      <c r="E6" s="148"/>
    </row>
    <row r="7" spans="1:9" x14ac:dyDescent="0.25">
      <c r="A7" s="76" t="s">
        <v>78</v>
      </c>
      <c r="B7" s="148" t="s">
        <v>67</v>
      </c>
      <c r="C7" s="148"/>
      <c r="D7" s="148"/>
      <c r="E7" s="148"/>
    </row>
    <row r="8" spans="1:9" x14ac:dyDescent="0.25">
      <c r="A8" s="76" t="s">
        <v>79</v>
      </c>
      <c r="B8" s="148">
        <v>2015</v>
      </c>
      <c r="C8" s="148"/>
      <c r="D8" s="148"/>
      <c r="E8" s="148"/>
    </row>
    <row r="9" spans="1:9" x14ac:dyDescent="0.25">
      <c r="A9" s="76" t="s">
        <v>80</v>
      </c>
      <c r="B9" s="148" t="s">
        <v>257</v>
      </c>
      <c r="C9" s="148"/>
      <c r="D9" s="148"/>
      <c r="E9" s="148"/>
    </row>
    <row r="10" spans="1:9" x14ac:dyDescent="0.25">
      <c r="A10" s="76" t="s">
        <v>6</v>
      </c>
      <c r="B10" s="148" t="s">
        <v>268</v>
      </c>
      <c r="C10" s="148"/>
      <c r="D10" s="148"/>
      <c r="E10" s="148"/>
    </row>
    <row r="11" spans="1:9" x14ac:dyDescent="0.25">
      <c r="A11" s="76" t="s">
        <v>81</v>
      </c>
      <c r="B11" s="148" t="s">
        <v>94</v>
      </c>
      <c r="C11" s="148"/>
      <c r="D11" s="148"/>
      <c r="E11" s="148"/>
    </row>
    <row r="12" spans="1:9" x14ac:dyDescent="0.25">
      <c r="A12" s="76" t="s">
        <v>82</v>
      </c>
      <c r="B12" s="148" t="s">
        <v>260</v>
      </c>
      <c r="C12" s="148"/>
      <c r="D12" s="148"/>
      <c r="E12" s="148"/>
    </row>
    <row r="13" spans="1:9" x14ac:dyDescent="0.25">
      <c r="A13" s="76" t="s">
        <v>342</v>
      </c>
      <c r="B13" s="148">
        <v>0</v>
      </c>
      <c r="C13" s="148"/>
      <c r="D13" s="148"/>
      <c r="E13" s="148"/>
    </row>
    <row r="14" spans="1:9" x14ac:dyDescent="0.25">
      <c r="A14" s="76" t="s">
        <v>84</v>
      </c>
      <c r="B14" s="148">
        <v>607</v>
      </c>
      <c r="C14" s="148"/>
      <c r="D14" s="148"/>
      <c r="E14" s="148"/>
    </row>
    <row r="15" spans="1:9" x14ac:dyDescent="0.25">
      <c r="A15" s="76" t="s">
        <v>345</v>
      </c>
      <c r="B15" s="148" t="s">
        <v>269</v>
      </c>
      <c r="C15" s="148"/>
      <c r="D15" s="148"/>
      <c r="E15" s="148"/>
    </row>
    <row r="16" spans="1:9" x14ac:dyDescent="0.25">
      <c r="A16" s="76" t="s">
        <v>86</v>
      </c>
      <c r="B16" s="148" t="s">
        <v>97</v>
      </c>
      <c r="C16" s="148"/>
      <c r="D16" s="148"/>
      <c r="E16" s="148"/>
    </row>
    <row r="17" spans="1:5" x14ac:dyDescent="0.25">
      <c r="A17" s="76" t="s">
        <v>414</v>
      </c>
      <c r="B17" s="148"/>
      <c r="C17" s="148"/>
      <c r="D17" s="148"/>
      <c r="E17" s="148"/>
    </row>
    <row r="18" spans="1:5" x14ac:dyDescent="0.25">
      <c r="A18" s="76" t="s">
        <v>88</v>
      </c>
      <c r="B18" s="152">
        <v>45135</v>
      </c>
      <c r="C18" s="148"/>
      <c r="D18" s="148"/>
      <c r="E18" s="148"/>
    </row>
    <row r="19" spans="1:5" x14ac:dyDescent="0.25">
      <c r="A19" s="76" t="s">
        <v>89</v>
      </c>
      <c r="B19" s="152">
        <v>45135</v>
      </c>
      <c r="C19" s="148"/>
      <c r="D19" s="148"/>
      <c r="E19" s="148"/>
    </row>
    <row r="20" spans="1:5" x14ac:dyDescent="0.25">
      <c r="A20" s="76" t="s">
        <v>90</v>
      </c>
      <c r="B20" s="148" t="s">
        <v>98</v>
      </c>
      <c r="C20" s="148"/>
      <c r="D20" s="148"/>
      <c r="E20" s="148"/>
    </row>
    <row r="21" spans="1:5" x14ac:dyDescent="0.25">
      <c r="A21" s="72" t="s">
        <v>91</v>
      </c>
      <c r="B21" s="148" t="s">
        <v>99</v>
      </c>
      <c r="C21" s="148"/>
      <c r="D21" s="148"/>
      <c r="E21" s="148"/>
    </row>
    <row r="23" spans="1:5" x14ac:dyDescent="0.25">
      <c r="B23" s="89" t="str">
        <f>HYPERLINK("#'Factor List'!A1","Back to Factor List")</f>
        <v>Back to Factor List</v>
      </c>
    </row>
    <row r="24" spans="1:5" x14ac:dyDescent="0.25">
      <c r="B24" s="89" t="s">
        <v>13</v>
      </c>
    </row>
    <row r="25" spans="1:5" x14ac:dyDescent="0.25">
      <c r="B25" s="89"/>
    </row>
    <row r="26" spans="1:5" x14ac:dyDescent="0.25">
      <c r="A26" s="85" t="s">
        <v>415</v>
      </c>
      <c r="B26" s="85" t="s">
        <v>435</v>
      </c>
      <c r="C26" s="85" t="s">
        <v>436</v>
      </c>
      <c r="D26" s="85" t="s">
        <v>437</v>
      </c>
      <c r="E26" s="85" t="s">
        <v>438</v>
      </c>
    </row>
    <row r="27" spans="1:5" x14ac:dyDescent="0.25">
      <c r="A27" s="86">
        <v>18</v>
      </c>
      <c r="B27" s="87">
        <v>8.64</v>
      </c>
      <c r="C27" s="87">
        <v>8.2100000000000009</v>
      </c>
      <c r="D27" s="87">
        <v>7.8</v>
      </c>
      <c r="E27" s="87">
        <v>7.4</v>
      </c>
    </row>
    <row r="28" spans="1:5" x14ac:dyDescent="0.25">
      <c r="A28" s="86">
        <v>19</v>
      </c>
      <c r="B28" s="87">
        <v>8.76</v>
      </c>
      <c r="C28" s="87">
        <v>8.33</v>
      </c>
      <c r="D28" s="87">
        <v>7.91</v>
      </c>
      <c r="E28" s="87">
        <v>7.5</v>
      </c>
    </row>
    <row r="29" spans="1:5" x14ac:dyDescent="0.25">
      <c r="A29" s="86">
        <v>20</v>
      </c>
      <c r="B29" s="87">
        <v>8.8800000000000008</v>
      </c>
      <c r="C29" s="87">
        <v>8.44</v>
      </c>
      <c r="D29" s="87">
        <v>8.02</v>
      </c>
      <c r="E29" s="87">
        <v>7.6</v>
      </c>
    </row>
    <row r="30" spans="1:5" x14ac:dyDescent="0.25">
      <c r="A30" s="86">
        <v>21</v>
      </c>
      <c r="B30" s="87">
        <v>9</v>
      </c>
      <c r="C30" s="87">
        <v>8.56</v>
      </c>
      <c r="D30" s="87">
        <v>8.1199999999999992</v>
      </c>
      <c r="E30" s="87">
        <v>7.7</v>
      </c>
    </row>
    <row r="31" spans="1:5" x14ac:dyDescent="0.25">
      <c r="A31" s="86">
        <v>22</v>
      </c>
      <c r="B31" s="87">
        <v>9.1300000000000008</v>
      </c>
      <c r="C31" s="87">
        <v>8.68</v>
      </c>
      <c r="D31" s="87">
        <v>8.24</v>
      </c>
      <c r="E31" s="87">
        <v>7.81</v>
      </c>
    </row>
    <row r="32" spans="1:5" x14ac:dyDescent="0.25">
      <c r="A32" s="86">
        <v>23</v>
      </c>
      <c r="B32" s="87">
        <v>9.25</v>
      </c>
      <c r="C32" s="87">
        <v>8.8000000000000007</v>
      </c>
      <c r="D32" s="87">
        <v>8.35</v>
      </c>
      <c r="E32" s="87">
        <v>7.91</v>
      </c>
    </row>
    <row r="33" spans="1:5" x14ac:dyDescent="0.25">
      <c r="A33" s="86">
        <v>24</v>
      </c>
      <c r="B33" s="87">
        <v>9.3800000000000008</v>
      </c>
      <c r="C33" s="87">
        <v>8.92</v>
      </c>
      <c r="D33" s="87">
        <v>8.4600000000000009</v>
      </c>
      <c r="E33" s="87">
        <v>8.02</v>
      </c>
    </row>
    <row r="34" spans="1:5" x14ac:dyDescent="0.25">
      <c r="A34" s="86">
        <v>25</v>
      </c>
      <c r="B34" s="87">
        <v>9.51</v>
      </c>
      <c r="C34" s="87">
        <v>9.0399999999999991</v>
      </c>
      <c r="D34" s="87">
        <v>8.58</v>
      </c>
      <c r="E34" s="87">
        <v>8.1199999999999992</v>
      </c>
    </row>
    <row r="35" spans="1:5" x14ac:dyDescent="0.25">
      <c r="A35" s="86">
        <v>26</v>
      </c>
      <c r="B35" s="87">
        <v>9.65</v>
      </c>
      <c r="C35" s="87">
        <v>9.16</v>
      </c>
      <c r="D35" s="87">
        <v>8.69</v>
      </c>
      <c r="E35" s="87">
        <v>8.23</v>
      </c>
    </row>
    <row r="36" spans="1:5" x14ac:dyDescent="0.25">
      <c r="A36" s="86">
        <v>27</v>
      </c>
      <c r="B36" s="87">
        <v>9.7799999999999994</v>
      </c>
      <c r="C36" s="87">
        <v>9.2899999999999991</v>
      </c>
      <c r="D36" s="87">
        <v>8.81</v>
      </c>
      <c r="E36" s="87">
        <v>8.35</v>
      </c>
    </row>
    <row r="37" spans="1:5" x14ac:dyDescent="0.25">
      <c r="A37" s="86">
        <v>28</v>
      </c>
      <c r="B37" s="87">
        <v>9.92</v>
      </c>
      <c r="C37" s="87">
        <v>9.42</v>
      </c>
      <c r="D37" s="87">
        <v>8.93</v>
      </c>
      <c r="E37" s="87">
        <v>8.4600000000000009</v>
      </c>
    </row>
    <row r="38" spans="1:5" x14ac:dyDescent="0.25">
      <c r="A38" s="86">
        <v>29</v>
      </c>
      <c r="B38" s="87">
        <v>10.050000000000001</v>
      </c>
      <c r="C38" s="87">
        <v>9.5500000000000007</v>
      </c>
      <c r="D38" s="87">
        <v>9.06</v>
      </c>
      <c r="E38" s="87">
        <v>8.57</v>
      </c>
    </row>
    <row r="39" spans="1:5" x14ac:dyDescent="0.25">
      <c r="A39" s="86">
        <v>30</v>
      </c>
      <c r="B39" s="87">
        <v>10.199999999999999</v>
      </c>
      <c r="C39" s="87">
        <v>9.68</v>
      </c>
      <c r="D39" s="87">
        <v>9.18</v>
      </c>
      <c r="E39" s="87">
        <v>8.69</v>
      </c>
    </row>
    <row r="40" spans="1:5" x14ac:dyDescent="0.25">
      <c r="A40" s="86">
        <v>31</v>
      </c>
      <c r="B40" s="87">
        <v>10.34</v>
      </c>
      <c r="C40" s="87">
        <v>9.82</v>
      </c>
      <c r="D40" s="87">
        <v>9.31</v>
      </c>
      <c r="E40" s="87">
        <v>8.81</v>
      </c>
    </row>
    <row r="41" spans="1:5" x14ac:dyDescent="0.25">
      <c r="A41" s="86">
        <v>32</v>
      </c>
      <c r="B41" s="87">
        <v>10.49</v>
      </c>
      <c r="C41" s="87">
        <v>9.9499999999999993</v>
      </c>
      <c r="D41" s="87">
        <v>9.43</v>
      </c>
      <c r="E41" s="87">
        <v>8.93</v>
      </c>
    </row>
    <row r="42" spans="1:5" x14ac:dyDescent="0.25">
      <c r="A42" s="86">
        <v>33</v>
      </c>
      <c r="B42" s="87">
        <v>10.63</v>
      </c>
      <c r="C42" s="87">
        <v>10.09</v>
      </c>
      <c r="D42" s="87">
        <v>9.57</v>
      </c>
      <c r="E42" s="87">
        <v>9.0500000000000007</v>
      </c>
    </row>
    <row r="43" spans="1:5" x14ac:dyDescent="0.25">
      <c r="A43" s="86">
        <v>34</v>
      </c>
      <c r="B43" s="87">
        <v>10.78</v>
      </c>
      <c r="C43" s="87">
        <v>10.24</v>
      </c>
      <c r="D43" s="87">
        <v>9.6999999999999993</v>
      </c>
      <c r="E43" s="87">
        <v>9.17</v>
      </c>
    </row>
    <row r="44" spans="1:5" x14ac:dyDescent="0.25">
      <c r="A44" s="86">
        <v>35</v>
      </c>
      <c r="B44" s="87">
        <v>10.94</v>
      </c>
      <c r="C44" s="87">
        <v>10.38</v>
      </c>
      <c r="D44" s="87">
        <v>9.83</v>
      </c>
      <c r="E44" s="87">
        <v>9.3000000000000007</v>
      </c>
    </row>
    <row r="45" spans="1:5" x14ac:dyDescent="0.25">
      <c r="A45" s="86">
        <v>36</v>
      </c>
      <c r="B45" s="87">
        <v>11.09</v>
      </c>
      <c r="C45" s="87">
        <v>10.53</v>
      </c>
      <c r="D45" s="87">
        <v>9.9700000000000006</v>
      </c>
      <c r="E45" s="87">
        <v>9.43</v>
      </c>
    </row>
    <row r="46" spans="1:5" x14ac:dyDescent="0.25">
      <c r="A46" s="86">
        <v>37</v>
      </c>
      <c r="B46" s="87">
        <v>11.25</v>
      </c>
      <c r="C46" s="87">
        <v>10.68</v>
      </c>
      <c r="D46" s="87">
        <v>10.11</v>
      </c>
      <c r="E46" s="87">
        <v>9.56</v>
      </c>
    </row>
    <row r="47" spans="1:5" x14ac:dyDescent="0.25">
      <c r="A47" s="86">
        <v>38</v>
      </c>
      <c r="B47" s="87">
        <v>11.42</v>
      </c>
      <c r="C47" s="87">
        <v>10.83</v>
      </c>
      <c r="D47" s="87">
        <v>10.25</v>
      </c>
      <c r="E47" s="87">
        <v>9.69</v>
      </c>
    </row>
    <row r="48" spans="1:5" x14ac:dyDescent="0.25">
      <c r="A48" s="86">
        <v>39</v>
      </c>
      <c r="B48" s="87">
        <v>11.58</v>
      </c>
      <c r="C48" s="87">
        <v>10.98</v>
      </c>
      <c r="D48" s="87">
        <v>10.4</v>
      </c>
      <c r="E48" s="87">
        <v>9.83</v>
      </c>
    </row>
    <row r="49" spans="1:5" x14ac:dyDescent="0.25">
      <c r="A49" s="86">
        <v>40</v>
      </c>
      <c r="B49" s="87">
        <v>11.75</v>
      </c>
      <c r="C49" s="87">
        <v>11.14</v>
      </c>
      <c r="D49" s="87">
        <v>10.54</v>
      </c>
      <c r="E49" s="87">
        <v>9.9600000000000009</v>
      </c>
    </row>
    <row r="50" spans="1:5" x14ac:dyDescent="0.25">
      <c r="A50" s="86">
        <v>41</v>
      </c>
      <c r="B50" s="87">
        <v>11.92</v>
      </c>
      <c r="C50" s="87">
        <v>11.3</v>
      </c>
      <c r="D50" s="87">
        <v>10.7</v>
      </c>
      <c r="E50" s="87">
        <v>10.1</v>
      </c>
    </row>
    <row r="51" spans="1:5" x14ac:dyDescent="0.25">
      <c r="A51" s="86">
        <v>42</v>
      </c>
      <c r="B51" s="87">
        <v>12.09</v>
      </c>
      <c r="C51" s="87">
        <v>11.46</v>
      </c>
      <c r="D51" s="87">
        <v>10.85</v>
      </c>
      <c r="E51" s="87">
        <v>10.25</v>
      </c>
    </row>
    <row r="52" spans="1:5" x14ac:dyDescent="0.25">
      <c r="A52" s="86">
        <v>43</v>
      </c>
      <c r="B52" s="87">
        <v>12.27</v>
      </c>
      <c r="C52" s="87">
        <v>11.63</v>
      </c>
      <c r="D52" s="87">
        <v>11.01</v>
      </c>
      <c r="E52" s="87">
        <v>10.39</v>
      </c>
    </row>
    <row r="53" spans="1:5" x14ac:dyDescent="0.25">
      <c r="A53" s="86">
        <v>44</v>
      </c>
      <c r="B53" s="87">
        <v>12.46</v>
      </c>
      <c r="C53" s="87">
        <v>11.8</v>
      </c>
      <c r="D53" s="87">
        <v>11.17</v>
      </c>
      <c r="E53" s="87">
        <v>10.54</v>
      </c>
    </row>
    <row r="54" spans="1:5" x14ac:dyDescent="0.25">
      <c r="A54" s="86">
        <v>45</v>
      </c>
      <c r="B54" s="87">
        <v>12.64</v>
      </c>
      <c r="C54" s="87">
        <v>11.98</v>
      </c>
      <c r="D54" s="87">
        <v>11.33</v>
      </c>
      <c r="E54" s="87">
        <v>10.7</v>
      </c>
    </row>
    <row r="55" spans="1:5" x14ac:dyDescent="0.25">
      <c r="A55" s="86">
        <v>46</v>
      </c>
      <c r="B55" s="87">
        <v>12.83</v>
      </c>
      <c r="C55" s="87">
        <v>12.16</v>
      </c>
      <c r="D55" s="87">
        <v>11.5</v>
      </c>
      <c r="E55" s="87">
        <v>10.85</v>
      </c>
    </row>
    <row r="56" spans="1:5" x14ac:dyDescent="0.25">
      <c r="A56" s="86">
        <v>47</v>
      </c>
      <c r="B56" s="87">
        <v>13.03</v>
      </c>
      <c r="C56" s="87">
        <v>12.34</v>
      </c>
      <c r="D56" s="87">
        <v>11.67</v>
      </c>
      <c r="E56" s="87">
        <v>11.01</v>
      </c>
    </row>
    <row r="57" spans="1:5" x14ac:dyDescent="0.25">
      <c r="A57" s="86">
        <v>48</v>
      </c>
      <c r="B57" s="87">
        <v>13.23</v>
      </c>
      <c r="C57" s="87">
        <v>12.53</v>
      </c>
      <c r="D57" s="87">
        <v>11.84</v>
      </c>
      <c r="E57" s="87">
        <v>11.18</v>
      </c>
    </row>
    <row r="58" spans="1:5" x14ac:dyDescent="0.25">
      <c r="A58" s="86">
        <v>49</v>
      </c>
      <c r="B58" s="87">
        <v>13.44</v>
      </c>
      <c r="C58" s="87">
        <v>12.72</v>
      </c>
      <c r="D58" s="87">
        <v>12.02</v>
      </c>
      <c r="E58" s="87">
        <v>11.34</v>
      </c>
    </row>
    <row r="59" spans="1:5" x14ac:dyDescent="0.25">
      <c r="A59" s="86">
        <v>50</v>
      </c>
      <c r="B59" s="87">
        <v>13.65</v>
      </c>
      <c r="C59" s="87">
        <v>12.92</v>
      </c>
      <c r="D59" s="87">
        <v>12.21</v>
      </c>
      <c r="E59" s="87">
        <v>11.52</v>
      </c>
    </row>
    <row r="60" spans="1:5" x14ac:dyDescent="0.25">
      <c r="A60" s="86">
        <v>51</v>
      </c>
      <c r="B60" s="87">
        <v>13.86</v>
      </c>
      <c r="C60" s="87">
        <v>13.12</v>
      </c>
      <c r="D60" s="87">
        <v>12.4</v>
      </c>
      <c r="E60" s="87">
        <v>11.69</v>
      </c>
    </row>
    <row r="61" spans="1:5" x14ac:dyDescent="0.25">
      <c r="A61" s="86">
        <v>52</v>
      </c>
      <c r="B61" s="87">
        <v>14.08</v>
      </c>
      <c r="C61" s="87">
        <v>13.33</v>
      </c>
      <c r="D61" s="87">
        <v>12.59</v>
      </c>
      <c r="E61" s="87">
        <v>11.87</v>
      </c>
    </row>
    <row r="62" spans="1:5" x14ac:dyDescent="0.25">
      <c r="A62" s="86">
        <v>53</v>
      </c>
      <c r="B62" s="87">
        <v>14.31</v>
      </c>
      <c r="C62" s="87">
        <v>13.54</v>
      </c>
      <c r="D62" s="87">
        <v>12.79</v>
      </c>
      <c r="E62" s="87">
        <v>12.06</v>
      </c>
    </row>
    <row r="63" spans="1:5" x14ac:dyDescent="0.25">
      <c r="A63" s="86">
        <v>54</v>
      </c>
      <c r="B63" s="87">
        <v>14.55</v>
      </c>
      <c r="C63" s="87">
        <v>13.76</v>
      </c>
      <c r="D63" s="87">
        <v>13</v>
      </c>
      <c r="E63" s="87">
        <v>12.25</v>
      </c>
    </row>
    <row r="64" spans="1:5" x14ac:dyDescent="0.25">
      <c r="A64" s="86">
        <v>55</v>
      </c>
      <c r="B64" s="87">
        <v>14.79</v>
      </c>
      <c r="C64" s="87">
        <v>13.99</v>
      </c>
      <c r="D64" s="87">
        <v>13.21</v>
      </c>
      <c r="E64" s="87">
        <v>12.45</v>
      </c>
    </row>
    <row r="65" spans="1:5" x14ac:dyDescent="0.25">
      <c r="A65" s="86">
        <v>56</v>
      </c>
      <c r="B65" s="87">
        <v>15.04</v>
      </c>
      <c r="C65" s="87">
        <v>14.22</v>
      </c>
      <c r="D65" s="87">
        <v>13.42</v>
      </c>
      <c r="E65" s="87">
        <v>12.65</v>
      </c>
    </row>
    <row r="66" spans="1:5" x14ac:dyDescent="0.25">
      <c r="A66" s="86">
        <v>57</v>
      </c>
      <c r="B66" s="87">
        <v>15.3</v>
      </c>
      <c r="C66" s="87">
        <v>14.46</v>
      </c>
      <c r="D66" s="87">
        <v>13.65</v>
      </c>
      <c r="E66" s="87">
        <v>12.86</v>
      </c>
    </row>
    <row r="67" spans="1:5" x14ac:dyDescent="0.25">
      <c r="A67" s="86">
        <v>58</v>
      </c>
      <c r="B67" s="87">
        <v>15.56</v>
      </c>
      <c r="C67" s="87">
        <v>14.71</v>
      </c>
      <c r="D67" s="87">
        <v>13.88</v>
      </c>
      <c r="E67" s="87">
        <v>13.08</v>
      </c>
    </row>
    <row r="68" spans="1:5" x14ac:dyDescent="0.25">
      <c r="A68" s="86">
        <v>59</v>
      </c>
      <c r="B68" s="87">
        <v>15.84</v>
      </c>
      <c r="C68" s="87">
        <v>14.97</v>
      </c>
      <c r="D68" s="87">
        <v>14.13</v>
      </c>
      <c r="E68" s="87">
        <v>13.3</v>
      </c>
    </row>
    <row r="69" spans="1:5" x14ac:dyDescent="0.25">
      <c r="A69" s="86">
        <v>60</v>
      </c>
      <c r="B69" s="87">
        <v>16.13</v>
      </c>
      <c r="C69" s="87">
        <v>15.24</v>
      </c>
      <c r="D69" s="87">
        <v>14.38</v>
      </c>
      <c r="E69" s="87">
        <v>13.54</v>
      </c>
    </row>
    <row r="70" spans="1:5" x14ac:dyDescent="0.25">
      <c r="A70" s="86">
        <v>61</v>
      </c>
      <c r="B70" s="87">
        <v>16.43</v>
      </c>
      <c r="C70" s="87">
        <v>15.53</v>
      </c>
      <c r="D70" s="87">
        <v>14.64</v>
      </c>
      <c r="E70" s="87">
        <v>13.78</v>
      </c>
    </row>
    <row r="71" spans="1:5" x14ac:dyDescent="0.25">
      <c r="A71" s="86">
        <v>62</v>
      </c>
      <c r="B71" s="87">
        <v>16.75</v>
      </c>
      <c r="C71" s="87">
        <v>15.82</v>
      </c>
      <c r="D71" s="87">
        <v>14.92</v>
      </c>
      <c r="E71" s="87">
        <v>14.04</v>
      </c>
    </row>
    <row r="72" spans="1:5" x14ac:dyDescent="0.25">
      <c r="A72" s="86">
        <v>63</v>
      </c>
      <c r="B72" s="87">
        <v>17.079999999999998</v>
      </c>
      <c r="C72" s="87">
        <v>16.13</v>
      </c>
      <c r="D72" s="87">
        <v>15.21</v>
      </c>
      <c r="E72" s="87">
        <v>14.31</v>
      </c>
    </row>
    <row r="73" spans="1:5" x14ac:dyDescent="0.25">
      <c r="A73" s="86">
        <v>64</v>
      </c>
      <c r="B73" s="87">
        <v>17.43</v>
      </c>
      <c r="C73" s="87">
        <v>16.46</v>
      </c>
      <c r="D73" s="87">
        <v>15.52</v>
      </c>
      <c r="E73" s="87">
        <v>14.6</v>
      </c>
    </row>
    <row r="74" spans="1:5" x14ac:dyDescent="0.25">
      <c r="A74" s="86">
        <v>65</v>
      </c>
      <c r="B74" s="87"/>
      <c r="C74" s="87">
        <v>16.82</v>
      </c>
      <c r="D74" s="87">
        <v>15.85</v>
      </c>
      <c r="E74" s="87">
        <v>14.9</v>
      </c>
    </row>
    <row r="75" spans="1:5" x14ac:dyDescent="0.25">
      <c r="A75" s="86">
        <v>66</v>
      </c>
      <c r="B75" s="87"/>
      <c r="C75" s="87"/>
      <c r="D75" s="87">
        <v>16.2</v>
      </c>
      <c r="E75" s="87">
        <v>15.23</v>
      </c>
    </row>
    <row r="76" spans="1:5" x14ac:dyDescent="0.25">
      <c r="A76" s="86">
        <v>67</v>
      </c>
      <c r="B76" s="87"/>
      <c r="C76" s="87"/>
      <c r="D76" s="87"/>
      <c r="E76" s="87">
        <v>15.58</v>
      </c>
    </row>
  </sheetData>
  <sheetProtection algorithmName="SHA-512" hashValue="nqlniCw93C0QubznyExJPoqj+WX5s09vJ6o2Q278d5tp+aBTiwx4yfoIRIq1kyUqGRdypINjstx0EAUVnLR6DA==" saltValue="A+lLK+Pl44oFdM5X/J0byA==" spinCount="100000" sheet="1" objects="1" scenarios="1"/>
  <conditionalFormatting sqref="A6:A21">
    <cfRule type="expression" dxfId="213" priority="1" stopIfTrue="1">
      <formula>MOD(ROW(),2)=0</formula>
    </cfRule>
    <cfRule type="expression" dxfId="212" priority="2" stopIfTrue="1">
      <formula>MOD(ROW(),2)&lt;&gt;0</formula>
    </cfRule>
  </conditionalFormatting>
  <conditionalFormatting sqref="A26:A76">
    <cfRule type="expression" dxfId="211" priority="7" stopIfTrue="1">
      <formula>MOD(ROW(),2)=0</formula>
    </cfRule>
    <cfRule type="expression" dxfId="210" priority="8" stopIfTrue="1">
      <formula>MOD(ROW(),2)&lt;&gt;0</formula>
    </cfRule>
  </conditionalFormatting>
  <conditionalFormatting sqref="B17:B21">
    <cfRule type="expression" dxfId="209" priority="11" stopIfTrue="1">
      <formula>MOD(ROW(),2)=0</formula>
    </cfRule>
    <cfRule type="expression" dxfId="208" priority="12" stopIfTrue="1">
      <formula>MOD(ROW(),2)&lt;&gt;0</formula>
    </cfRule>
  </conditionalFormatting>
  <conditionalFormatting sqref="B6:E21 B26:E76">
    <cfRule type="expression" dxfId="207" priority="23" stopIfTrue="1">
      <formula>MOD(ROW(),2)=0</formula>
    </cfRule>
    <cfRule type="expression" dxfId="206" priority="24" stopIfTrue="1">
      <formula>MOD(ROW(),2)&lt;&gt;0</formula>
    </cfRule>
  </conditionalFormatting>
  <hyperlinks>
    <hyperlink ref="B24" location="Assumptions!A1" display="Assumptions" xr:uid="{589BCE16-F57F-42AB-92BB-1D9AD4EA811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dimension ref="A1:I76"/>
  <sheetViews>
    <sheetView showGridLines="0" topLeftCell="A3" zoomScale="84" zoomScaleNormal="84" workbookViewId="0">
      <selection activeCell="B6" sqref="B6:E21"/>
    </sheetView>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x-608</v>
      </c>
      <c r="B3" s="42"/>
      <c r="C3" s="42"/>
      <c r="D3" s="42"/>
      <c r="E3" s="42"/>
      <c r="F3" s="42"/>
      <c r="G3" s="42"/>
      <c r="H3" s="42"/>
      <c r="I3" s="42"/>
    </row>
    <row r="4" spans="1:9" x14ac:dyDescent="0.25">
      <c r="A4" s="44"/>
    </row>
    <row r="6" spans="1:9" x14ac:dyDescent="0.25">
      <c r="A6" s="74" t="s">
        <v>334</v>
      </c>
      <c r="B6" s="148" t="s">
        <v>335</v>
      </c>
      <c r="C6" s="148"/>
      <c r="D6" s="148"/>
      <c r="E6" s="148"/>
    </row>
    <row r="7" spans="1:9" x14ac:dyDescent="0.25">
      <c r="A7" s="76" t="s">
        <v>78</v>
      </c>
      <c r="B7" s="148" t="s">
        <v>67</v>
      </c>
      <c r="C7" s="148"/>
      <c r="D7" s="148"/>
      <c r="E7" s="148"/>
    </row>
    <row r="8" spans="1:9" x14ac:dyDescent="0.25">
      <c r="A8" s="76" t="s">
        <v>79</v>
      </c>
      <c r="B8" s="148">
        <v>2015</v>
      </c>
      <c r="C8" s="148"/>
      <c r="D8" s="148"/>
      <c r="E8" s="148"/>
    </row>
    <row r="9" spans="1:9" x14ac:dyDescent="0.25">
      <c r="A9" s="76" t="s">
        <v>80</v>
      </c>
      <c r="B9" s="148" t="s">
        <v>257</v>
      </c>
      <c r="C9" s="148"/>
      <c r="D9" s="148"/>
      <c r="E9" s="148"/>
    </row>
    <row r="10" spans="1:9" x14ac:dyDescent="0.25">
      <c r="A10" s="76" t="s">
        <v>6</v>
      </c>
      <c r="B10" s="148" t="s">
        <v>268</v>
      </c>
      <c r="C10" s="148"/>
      <c r="D10" s="148"/>
      <c r="E10" s="148"/>
    </row>
    <row r="11" spans="1:9" x14ac:dyDescent="0.25">
      <c r="A11" s="76" t="s">
        <v>81</v>
      </c>
      <c r="B11" s="148" t="s">
        <v>100</v>
      </c>
      <c r="C11" s="148"/>
      <c r="D11" s="148"/>
      <c r="E11" s="148"/>
    </row>
    <row r="12" spans="1:9" x14ac:dyDescent="0.25">
      <c r="A12" s="76" t="s">
        <v>82</v>
      </c>
      <c r="B12" s="148" t="s">
        <v>260</v>
      </c>
      <c r="C12" s="148"/>
      <c r="D12" s="148"/>
      <c r="E12" s="148"/>
    </row>
    <row r="13" spans="1:9" x14ac:dyDescent="0.25">
      <c r="A13" s="76" t="s">
        <v>342</v>
      </c>
      <c r="B13" s="148">
        <v>0</v>
      </c>
      <c r="C13" s="148"/>
      <c r="D13" s="148"/>
      <c r="E13" s="148"/>
    </row>
    <row r="14" spans="1:9" x14ac:dyDescent="0.25">
      <c r="A14" s="76" t="s">
        <v>84</v>
      </c>
      <c r="B14" s="148">
        <v>608</v>
      </c>
      <c r="C14" s="148"/>
      <c r="D14" s="148"/>
      <c r="E14" s="148"/>
    </row>
    <row r="15" spans="1:9" x14ac:dyDescent="0.25">
      <c r="A15" s="76" t="s">
        <v>345</v>
      </c>
      <c r="B15" s="148" t="s">
        <v>270</v>
      </c>
      <c r="C15" s="148"/>
      <c r="D15" s="148"/>
      <c r="E15" s="148"/>
    </row>
    <row r="16" spans="1:9" x14ac:dyDescent="0.25">
      <c r="A16" s="76" t="s">
        <v>86</v>
      </c>
      <c r="B16" s="148" t="s">
        <v>102</v>
      </c>
      <c r="C16" s="148"/>
      <c r="D16" s="148"/>
      <c r="E16" s="148"/>
    </row>
    <row r="17" spans="1:5" x14ac:dyDescent="0.25">
      <c r="A17" s="76" t="s">
        <v>414</v>
      </c>
      <c r="B17" s="148"/>
      <c r="C17" s="148"/>
      <c r="D17" s="148"/>
      <c r="E17" s="148"/>
    </row>
    <row r="18" spans="1:5" x14ac:dyDescent="0.25">
      <c r="A18" s="76" t="s">
        <v>88</v>
      </c>
      <c r="B18" s="152">
        <v>45135</v>
      </c>
      <c r="C18" s="148"/>
      <c r="D18" s="148"/>
      <c r="E18" s="148"/>
    </row>
    <row r="19" spans="1:5" x14ac:dyDescent="0.25">
      <c r="A19" s="76" t="s">
        <v>89</v>
      </c>
      <c r="B19" s="152">
        <v>45135</v>
      </c>
      <c r="C19" s="148"/>
      <c r="D19" s="148"/>
      <c r="E19" s="148"/>
    </row>
    <row r="20" spans="1:5" x14ac:dyDescent="0.25">
      <c r="A20" s="76" t="s">
        <v>90</v>
      </c>
      <c r="B20" s="148" t="s">
        <v>98</v>
      </c>
      <c r="C20" s="148"/>
      <c r="D20" s="148"/>
      <c r="E20" s="148"/>
    </row>
    <row r="21" spans="1:5" x14ac:dyDescent="0.25">
      <c r="A21" s="72" t="s">
        <v>91</v>
      </c>
      <c r="B21" s="148" t="s">
        <v>99</v>
      </c>
      <c r="C21" s="148"/>
      <c r="D21" s="148"/>
      <c r="E21" s="148"/>
    </row>
    <row r="23" spans="1:5" x14ac:dyDescent="0.25">
      <c r="B23" s="89" t="str">
        <f>HYPERLINK("#'Factor List'!A1","Back to Factor List")</f>
        <v>Back to Factor List</v>
      </c>
    </row>
    <row r="24" spans="1:5" x14ac:dyDescent="0.25">
      <c r="B24" s="89" t="s">
        <v>13</v>
      </c>
    </row>
    <row r="25" spans="1:5" x14ac:dyDescent="0.25">
      <c r="B25" s="89"/>
    </row>
    <row r="26" spans="1:5" x14ac:dyDescent="0.25">
      <c r="A26" s="85" t="s">
        <v>415</v>
      </c>
      <c r="B26" s="85" t="s">
        <v>435</v>
      </c>
      <c r="C26" s="85" t="s">
        <v>436</v>
      </c>
      <c r="D26" s="85" t="s">
        <v>437</v>
      </c>
      <c r="E26" s="85" t="s">
        <v>438</v>
      </c>
    </row>
    <row r="27" spans="1:5" x14ac:dyDescent="0.25">
      <c r="A27" s="86">
        <v>18</v>
      </c>
      <c r="B27" s="87">
        <v>8.64</v>
      </c>
      <c r="C27" s="87">
        <v>8.2100000000000009</v>
      </c>
      <c r="D27" s="87">
        <v>7.8</v>
      </c>
      <c r="E27" s="87">
        <v>7.4</v>
      </c>
    </row>
    <row r="28" spans="1:5" x14ac:dyDescent="0.25">
      <c r="A28" s="86">
        <v>19</v>
      </c>
      <c r="B28" s="87">
        <v>8.76</v>
      </c>
      <c r="C28" s="87">
        <v>8.33</v>
      </c>
      <c r="D28" s="87">
        <v>7.91</v>
      </c>
      <c r="E28" s="87">
        <v>7.5</v>
      </c>
    </row>
    <row r="29" spans="1:5" x14ac:dyDescent="0.25">
      <c r="A29" s="86">
        <v>20</v>
      </c>
      <c r="B29" s="87">
        <v>8.8800000000000008</v>
      </c>
      <c r="C29" s="87">
        <v>8.44</v>
      </c>
      <c r="D29" s="87">
        <v>8.02</v>
      </c>
      <c r="E29" s="87">
        <v>7.6</v>
      </c>
    </row>
    <row r="30" spans="1:5" x14ac:dyDescent="0.25">
      <c r="A30" s="86">
        <v>21</v>
      </c>
      <c r="B30" s="87">
        <v>9</v>
      </c>
      <c r="C30" s="87">
        <v>8.56</v>
      </c>
      <c r="D30" s="87">
        <v>8.1199999999999992</v>
      </c>
      <c r="E30" s="87">
        <v>7.7</v>
      </c>
    </row>
    <row r="31" spans="1:5" x14ac:dyDescent="0.25">
      <c r="A31" s="86">
        <v>22</v>
      </c>
      <c r="B31" s="87">
        <v>9.1300000000000008</v>
      </c>
      <c r="C31" s="87">
        <v>8.68</v>
      </c>
      <c r="D31" s="87">
        <v>8.24</v>
      </c>
      <c r="E31" s="87">
        <v>7.81</v>
      </c>
    </row>
    <row r="32" spans="1:5" x14ac:dyDescent="0.25">
      <c r="A32" s="86">
        <v>23</v>
      </c>
      <c r="B32" s="87">
        <v>9.25</v>
      </c>
      <c r="C32" s="87">
        <v>8.8000000000000007</v>
      </c>
      <c r="D32" s="87">
        <v>8.35</v>
      </c>
      <c r="E32" s="87">
        <v>7.91</v>
      </c>
    </row>
    <row r="33" spans="1:5" x14ac:dyDescent="0.25">
      <c r="A33" s="86">
        <v>24</v>
      </c>
      <c r="B33" s="87">
        <v>9.3800000000000008</v>
      </c>
      <c r="C33" s="87">
        <v>8.92</v>
      </c>
      <c r="D33" s="87">
        <v>8.4600000000000009</v>
      </c>
      <c r="E33" s="87">
        <v>8.02</v>
      </c>
    </row>
    <row r="34" spans="1:5" x14ac:dyDescent="0.25">
      <c r="A34" s="86">
        <v>25</v>
      </c>
      <c r="B34" s="87">
        <v>9.51</v>
      </c>
      <c r="C34" s="87">
        <v>9.0399999999999991</v>
      </c>
      <c r="D34" s="87">
        <v>8.58</v>
      </c>
      <c r="E34" s="87">
        <v>8.1199999999999992</v>
      </c>
    </row>
    <row r="35" spans="1:5" x14ac:dyDescent="0.25">
      <c r="A35" s="86">
        <v>26</v>
      </c>
      <c r="B35" s="87">
        <v>9.65</v>
      </c>
      <c r="C35" s="87">
        <v>9.16</v>
      </c>
      <c r="D35" s="87">
        <v>8.69</v>
      </c>
      <c r="E35" s="87">
        <v>8.23</v>
      </c>
    </row>
    <row r="36" spans="1:5" x14ac:dyDescent="0.25">
      <c r="A36" s="86">
        <v>27</v>
      </c>
      <c r="B36" s="87">
        <v>9.7799999999999994</v>
      </c>
      <c r="C36" s="87">
        <v>9.2899999999999991</v>
      </c>
      <c r="D36" s="87">
        <v>8.81</v>
      </c>
      <c r="E36" s="87">
        <v>8.35</v>
      </c>
    </row>
    <row r="37" spans="1:5" x14ac:dyDescent="0.25">
      <c r="A37" s="86">
        <v>28</v>
      </c>
      <c r="B37" s="87">
        <v>9.92</v>
      </c>
      <c r="C37" s="87">
        <v>9.42</v>
      </c>
      <c r="D37" s="87">
        <v>8.93</v>
      </c>
      <c r="E37" s="87">
        <v>8.4600000000000009</v>
      </c>
    </row>
    <row r="38" spans="1:5" x14ac:dyDescent="0.25">
      <c r="A38" s="86">
        <v>29</v>
      </c>
      <c r="B38" s="87">
        <v>10.050000000000001</v>
      </c>
      <c r="C38" s="87">
        <v>9.5500000000000007</v>
      </c>
      <c r="D38" s="87">
        <v>9.06</v>
      </c>
      <c r="E38" s="87">
        <v>8.57</v>
      </c>
    </row>
    <row r="39" spans="1:5" x14ac:dyDescent="0.25">
      <c r="A39" s="86">
        <v>30</v>
      </c>
      <c r="B39" s="87">
        <v>10.199999999999999</v>
      </c>
      <c r="C39" s="87">
        <v>9.68</v>
      </c>
      <c r="D39" s="87">
        <v>9.18</v>
      </c>
      <c r="E39" s="87">
        <v>8.69</v>
      </c>
    </row>
    <row r="40" spans="1:5" x14ac:dyDescent="0.25">
      <c r="A40" s="86">
        <v>31</v>
      </c>
      <c r="B40" s="87">
        <v>10.34</v>
      </c>
      <c r="C40" s="87">
        <v>9.82</v>
      </c>
      <c r="D40" s="87">
        <v>9.31</v>
      </c>
      <c r="E40" s="87">
        <v>8.81</v>
      </c>
    </row>
    <row r="41" spans="1:5" x14ac:dyDescent="0.25">
      <c r="A41" s="86">
        <v>32</v>
      </c>
      <c r="B41" s="87">
        <v>10.49</v>
      </c>
      <c r="C41" s="87">
        <v>9.9499999999999993</v>
      </c>
      <c r="D41" s="87">
        <v>9.43</v>
      </c>
      <c r="E41" s="87">
        <v>8.93</v>
      </c>
    </row>
    <row r="42" spans="1:5" x14ac:dyDescent="0.25">
      <c r="A42" s="86">
        <v>33</v>
      </c>
      <c r="B42" s="87">
        <v>10.63</v>
      </c>
      <c r="C42" s="87">
        <v>10.09</v>
      </c>
      <c r="D42" s="87">
        <v>9.57</v>
      </c>
      <c r="E42" s="87">
        <v>9.0500000000000007</v>
      </c>
    </row>
    <row r="43" spans="1:5" x14ac:dyDescent="0.25">
      <c r="A43" s="86">
        <v>34</v>
      </c>
      <c r="B43" s="87">
        <v>10.78</v>
      </c>
      <c r="C43" s="87">
        <v>10.24</v>
      </c>
      <c r="D43" s="87">
        <v>9.6999999999999993</v>
      </c>
      <c r="E43" s="87">
        <v>9.17</v>
      </c>
    </row>
    <row r="44" spans="1:5" x14ac:dyDescent="0.25">
      <c r="A44" s="86">
        <v>35</v>
      </c>
      <c r="B44" s="87">
        <v>10.94</v>
      </c>
      <c r="C44" s="87">
        <v>10.38</v>
      </c>
      <c r="D44" s="87">
        <v>9.83</v>
      </c>
      <c r="E44" s="87">
        <v>9.3000000000000007</v>
      </c>
    </row>
    <row r="45" spans="1:5" x14ac:dyDescent="0.25">
      <c r="A45" s="86">
        <v>36</v>
      </c>
      <c r="B45" s="87">
        <v>11.09</v>
      </c>
      <c r="C45" s="87">
        <v>10.53</v>
      </c>
      <c r="D45" s="87">
        <v>9.9700000000000006</v>
      </c>
      <c r="E45" s="87">
        <v>9.43</v>
      </c>
    </row>
    <row r="46" spans="1:5" x14ac:dyDescent="0.25">
      <c r="A46" s="86">
        <v>37</v>
      </c>
      <c r="B46" s="87">
        <v>11.25</v>
      </c>
      <c r="C46" s="87">
        <v>10.68</v>
      </c>
      <c r="D46" s="87">
        <v>10.11</v>
      </c>
      <c r="E46" s="87">
        <v>9.56</v>
      </c>
    </row>
    <row r="47" spans="1:5" x14ac:dyDescent="0.25">
      <c r="A47" s="86">
        <v>38</v>
      </c>
      <c r="B47" s="87">
        <v>11.42</v>
      </c>
      <c r="C47" s="87">
        <v>10.83</v>
      </c>
      <c r="D47" s="87">
        <v>10.25</v>
      </c>
      <c r="E47" s="87">
        <v>9.69</v>
      </c>
    </row>
    <row r="48" spans="1:5" x14ac:dyDescent="0.25">
      <c r="A48" s="86">
        <v>39</v>
      </c>
      <c r="B48" s="87">
        <v>11.58</v>
      </c>
      <c r="C48" s="87">
        <v>10.98</v>
      </c>
      <c r="D48" s="87">
        <v>10.4</v>
      </c>
      <c r="E48" s="87">
        <v>9.83</v>
      </c>
    </row>
    <row r="49" spans="1:5" x14ac:dyDescent="0.25">
      <c r="A49" s="86">
        <v>40</v>
      </c>
      <c r="B49" s="87">
        <v>11.75</v>
      </c>
      <c r="C49" s="87">
        <v>11.14</v>
      </c>
      <c r="D49" s="87">
        <v>10.54</v>
      </c>
      <c r="E49" s="87">
        <v>9.9600000000000009</v>
      </c>
    </row>
    <row r="50" spans="1:5" x14ac:dyDescent="0.25">
      <c r="A50" s="86">
        <v>41</v>
      </c>
      <c r="B50" s="87">
        <v>11.92</v>
      </c>
      <c r="C50" s="87">
        <v>11.3</v>
      </c>
      <c r="D50" s="87">
        <v>10.7</v>
      </c>
      <c r="E50" s="87">
        <v>10.1</v>
      </c>
    </row>
    <row r="51" spans="1:5" x14ac:dyDescent="0.25">
      <c r="A51" s="86">
        <v>42</v>
      </c>
      <c r="B51" s="87">
        <v>12.09</v>
      </c>
      <c r="C51" s="87">
        <v>11.46</v>
      </c>
      <c r="D51" s="87">
        <v>10.85</v>
      </c>
      <c r="E51" s="87">
        <v>10.25</v>
      </c>
    </row>
    <row r="52" spans="1:5" x14ac:dyDescent="0.25">
      <c r="A52" s="86">
        <v>43</v>
      </c>
      <c r="B52" s="87">
        <v>12.27</v>
      </c>
      <c r="C52" s="87">
        <v>11.63</v>
      </c>
      <c r="D52" s="87">
        <v>11.01</v>
      </c>
      <c r="E52" s="87">
        <v>10.39</v>
      </c>
    </row>
    <row r="53" spans="1:5" x14ac:dyDescent="0.25">
      <c r="A53" s="86">
        <v>44</v>
      </c>
      <c r="B53" s="87">
        <v>12.46</v>
      </c>
      <c r="C53" s="87">
        <v>11.8</v>
      </c>
      <c r="D53" s="87">
        <v>11.17</v>
      </c>
      <c r="E53" s="87">
        <v>10.54</v>
      </c>
    </row>
    <row r="54" spans="1:5" x14ac:dyDescent="0.25">
      <c r="A54" s="86">
        <v>45</v>
      </c>
      <c r="B54" s="87">
        <v>12.64</v>
      </c>
      <c r="C54" s="87">
        <v>11.98</v>
      </c>
      <c r="D54" s="87">
        <v>11.33</v>
      </c>
      <c r="E54" s="87">
        <v>10.7</v>
      </c>
    </row>
    <row r="55" spans="1:5" x14ac:dyDescent="0.25">
      <c r="A55" s="86">
        <v>46</v>
      </c>
      <c r="B55" s="87">
        <v>12.83</v>
      </c>
      <c r="C55" s="87">
        <v>12.16</v>
      </c>
      <c r="D55" s="87">
        <v>11.5</v>
      </c>
      <c r="E55" s="87">
        <v>10.85</v>
      </c>
    </row>
    <row r="56" spans="1:5" x14ac:dyDescent="0.25">
      <c r="A56" s="86">
        <v>47</v>
      </c>
      <c r="B56" s="87">
        <v>13.03</v>
      </c>
      <c r="C56" s="87">
        <v>12.34</v>
      </c>
      <c r="D56" s="87">
        <v>11.67</v>
      </c>
      <c r="E56" s="87">
        <v>11.01</v>
      </c>
    </row>
    <row r="57" spans="1:5" x14ac:dyDescent="0.25">
      <c r="A57" s="86">
        <v>48</v>
      </c>
      <c r="B57" s="87">
        <v>13.23</v>
      </c>
      <c r="C57" s="87">
        <v>12.53</v>
      </c>
      <c r="D57" s="87">
        <v>11.84</v>
      </c>
      <c r="E57" s="87">
        <v>11.18</v>
      </c>
    </row>
    <row r="58" spans="1:5" x14ac:dyDescent="0.25">
      <c r="A58" s="86">
        <v>49</v>
      </c>
      <c r="B58" s="87">
        <v>13.44</v>
      </c>
      <c r="C58" s="87">
        <v>12.72</v>
      </c>
      <c r="D58" s="87">
        <v>12.02</v>
      </c>
      <c r="E58" s="87">
        <v>11.34</v>
      </c>
    </row>
    <row r="59" spans="1:5" x14ac:dyDescent="0.25">
      <c r="A59" s="86">
        <v>50</v>
      </c>
      <c r="B59" s="87">
        <v>13.65</v>
      </c>
      <c r="C59" s="87">
        <v>12.92</v>
      </c>
      <c r="D59" s="87">
        <v>12.21</v>
      </c>
      <c r="E59" s="87">
        <v>11.52</v>
      </c>
    </row>
    <row r="60" spans="1:5" x14ac:dyDescent="0.25">
      <c r="A60" s="86">
        <v>51</v>
      </c>
      <c r="B60" s="87">
        <v>13.86</v>
      </c>
      <c r="C60" s="87">
        <v>13.12</v>
      </c>
      <c r="D60" s="87">
        <v>12.4</v>
      </c>
      <c r="E60" s="87">
        <v>11.69</v>
      </c>
    </row>
    <row r="61" spans="1:5" x14ac:dyDescent="0.25">
      <c r="A61" s="86">
        <v>52</v>
      </c>
      <c r="B61" s="87">
        <v>14.08</v>
      </c>
      <c r="C61" s="87">
        <v>13.33</v>
      </c>
      <c r="D61" s="87">
        <v>12.59</v>
      </c>
      <c r="E61" s="87">
        <v>11.87</v>
      </c>
    </row>
    <row r="62" spans="1:5" x14ac:dyDescent="0.25">
      <c r="A62" s="86">
        <v>53</v>
      </c>
      <c r="B62" s="87">
        <v>14.31</v>
      </c>
      <c r="C62" s="87">
        <v>13.54</v>
      </c>
      <c r="D62" s="87">
        <v>12.79</v>
      </c>
      <c r="E62" s="87">
        <v>12.06</v>
      </c>
    </row>
    <row r="63" spans="1:5" x14ac:dyDescent="0.25">
      <c r="A63" s="86">
        <v>54</v>
      </c>
      <c r="B63" s="87">
        <v>14.55</v>
      </c>
      <c r="C63" s="87">
        <v>13.76</v>
      </c>
      <c r="D63" s="87">
        <v>13</v>
      </c>
      <c r="E63" s="87">
        <v>12.25</v>
      </c>
    </row>
    <row r="64" spans="1:5" x14ac:dyDescent="0.25">
      <c r="A64" s="86">
        <v>55</v>
      </c>
      <c r="B64" s="87">
        <v>14.79</v>
      </c>
      <c r="C64" s="87">
        <v>13.99</v>
      </c>
      <c r="D64" s="87">
        <v>13.21</v>
      </c>
      <c r="E64" s="87">
        <v>12.45</v>
      </c>
    </row>
    <row r="65" spans="1:5" x14ac:dyDescent="0.25">
      <c r="A65" s="86">
        <v>56</v>
      </c>
      <c r="B65" s="87">
        <v>15.04</v>
      </c>
      <c r="C65" s="87">
        <v>14.22</v>
      </c>
      <c r="D65" s="87">
        <v>13.42</v>
      </c>
      <c r="E65" s="87">
        <v>12.65</v>
      </c>
    </row>
    <row r="66" spans="1:5" x14ac:dyDescent="0.25">
      <c r="A66" s="86">
        <v>57</v>
      </c>
      <c r="B66" s="87">
        <v>15.3</v>
      </c>
      <c r="C66" s="87">
        <v>14.46</v>
      </c>
      <c r="D66" s="87">
        <v>13.65</v>
      </c>
      <c r="E66" s="87">
        <v>12.86</v>
      </c>
    </row>
    <row r="67" spans="1:5" x14ac:dyDescent="0.25">
      <c r="A67" s="86">
        <v>58</v>
      </c>
      <c r="B67" s="87">
        <v>15.56</v>
      </c>
      <c r="C67" s="87">
        <v>14.71</v>
      </c>
      <c r="D67" s="87">
        <v>13.88</v>
      </c>
      <c r="E67" s="87">
        <v>13.08</v>
      </c>
    </row>
    <row r="68" spans="1:5" x14ac:dyDescent="0.25">
      <c r="A68" s="86">
        <v>59</v>
      </c>
      <c r="B68" s="87">
        <v>15.84</v>
      </c>
      <c r="C68" s="87">
        <v>14.97</v>
      </c>
      <c r="D68" s="87">
        <v>14.13</v>
      </c>
      <c r="E68" s="87">
        <v>13.3</v>
      </c>
    </row>
    <row r="69" spans="1:5" x14ac:dyDescent="0.25">
      <c r="A69" s="86">
        <v>60</v>
      </c>
      <c r="B69" s="87">
        <v>16.13</v>
      </c>
      <c r="C69" s="87">
        <v>15.24</v>
      </c>
      <c r="D69" s="87">
        <v>14.38</v>
      </c>
      <c r="E69" s="87">
        <v>13.54</v>
      </c>
    </row>
    <row r="70" spans="1:5" x14ac:dyDescent="0.25">
      <c r="A70" s="86">
        <v>61</v>
      </c>
      <c r="B70" s="87">
        <v>16.43</v>
      </c>
      <c r="C70" s="87">
        <v>15.53</v>
      </c>
      <c r="D70" s="87">
        <v>14.64</v>
      </c>
      <c r="E70" s="87">
        <v>13.78</v>
      </c>
    </row>
    <row r="71" spans="1:5" x14ac:dyDescent="0.25">
      <c r="A71" s="86">
        <v>62</v>
      </c>
      <c r="B71" s="87">
        <v>16.75</v>
      </c>
      <c r="C71" s="87">
        <v>15.82</v>
      </c>
      <c r="D71" s="87">
        <v>14.92</v>
      </c>
      <c r="E71" s="87">
        <v>14.04</v>
      </c>
    </row>
    <row r="72" spans="1:5" x14ac:dyDescent="0.25">
      <c r="A72" s="86">
        <v>63</v>
      </c>
      <c r="B72" s="87">
        <v>17.079999999999998</v>
      </c>
      <c r="C72" s="87">
        <v>16.13</v>
      </c>
      <c r="D72" s="87">
        <v>15.21</v>
      </c>
      <c r="E72" s="87">
        <v>14.31</v>
      </c>
    </row>
    <row r="73" spans="1:5" x14ac:dyDescent="0.25">
      <c r="A73" s="86">
        <v>64</v>
      </c>
      <c r="B73" s="87">
        <v>17.43</v>
      </c>
      <c r="C73" s="87">
        <v>16.46</v>
      </c>
      <c r="D73" s="87">
        <v>15.52</v>
      </c>
      <c r="E73" s="87">
        <v>14.6</v>
      </c>
    </row>
    <row r="74" spans="1:5" x14ac:dyDescent="0.25">
      <c r="A74" s="86">
        <v>65</v>
      </c>
      <c r="B74" s="87">
        <v>0</v>
      </c>
      <c r="C74" s="87">
        <v>16.82</v>
      </c>
      <c r="D74" s="87">
        <v>15.85</v>
      </c>
      <c r="E74" s="87">
        <v>14.9</v>
      </c>
    </row>
    <row r="75" spans="1:5" x14ac:dyDescent="0.25">
      <c r="A75" s="86">
        <v>66</v>
      </c>
      <c r="B75" s="87">
        <v>0</v>
      </c>
      <c r="C75" s="87">
        <v>0</v>
      </c>
      <c r="D75" s="87">
        <v>16.2</v>
      </c>
      <c r="E75" s="87">
        <v>15.23</v>
      </c>
    </row>
    <row r="76" spans="1:5" x14ac:dyDescent="0.25">
      <c r="A76" s="86">
        <v>67</v>
      </c>
      <c r="B76" s="87">
        <v>0</v>
      </c>
      <c r="C76" s="87">
        <v>0</v>
      </c>
      <c r="D76" s="87">
        <v>0</v>
      </c>
      <c r="E76" s="87">
        <v>15.58</v>
      </c>
    </row>
  </sheetData>
  <sheetProtection algorithmName="SHA-512" hashValue="FXtS4IHBe2ubwvom/oGX29VHb6OGsNE5RCNhcP9zRN+rxJTW0kuH7XeMb6LIFRggZ0+hE1ojOyWBvYWgRv25Sg==" saltValue="20yAKUdIz0DdEsH4uowe2w==" spinCount="100000" sheet="1" objects="1" scenarios="1"/>
  <conditionalFormatting sqref="A6:A21">
    <cfRule type="expression" dxfId="205" priority="1" stopIfTrue="1">
      <formula>MOD(ROW(),2)=0</formula>
    </cfRule>
    <cfRule type="expression" dxfId="204" priority="2" stopIfTrue="1">
      <formula>MOD(ROW(),2)&lt;&gt;0</formula>
    </cfRule>
  </conditionalFormatting>
  <conditionalFormatting sqref="A26:A76">
    <cfRule type="expression" dxfId="203" priority="7" stopIfTrue="1">
      <formula>MOD(ROW(),2)=0</formula>
    </cfRule>
    <cfRule type="expression" dxfId="202" priority="8" stopIfTrue="1">
      <formula>MOD(ROW(),2)&lt;&gt;0</formula>
    </cfRule>
  </conditionalFormatting>
  <conditionalFormatting sqref="B17:B21">
    <cfRule type="expression" dxfId="201" priority="11" stopIfTrue="1">
      <formula>MOD(ROW(),2)=0</formula>
    </cfRule>
    <cfRule type="expression" dxfId="200" priority="12" stopIfTrue="1">
      <formula>MOD(ROW(),2)&lt;&gt;0</formula>
    </cfRule>
  </conditionalFormatting>
  <conditionalFormatting sqref="B6:E21 B26:E76">
    <cfRule type="expression" dxfId="199" priority="23" stopIfTrue="1">
      <formula>MOD(ROW(),2)=0</formula>
    </cfRule>
    <cfRule type="expression" dxfId="198" priority="24" stopIfTrue="1">
      <formula>MOD(ROW(),2)&lt;&gt;0</formula>
    </cfRule>
  </conditionalFormatting>
  <hyperlinks>
    <hyperlink ref="B24" location="Assumptions!A1" display="Assumptions" xr:uid="{510773C9-1D5A-4349-9ED3-1B5DAE0ED7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dimension ref="A1:I47"/>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x-609</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2015</v>
      </c>
      <c r="C8" s="148"/>
    </row>
    <row r="9" spans="1:9" x14ac:dyDescent="0.25">
      <c r="A9" s="76" t="s">
        <v>80</v>
      </c>
      <c r="B9" s="148" t="s">
        <v>257</v>
      </c>
      <c r="C9" s="148"/>
    </row>
    <row r="10" spans="1:9" x14ac:dyDescent="0.25">
      <c r="A10" s="76" t="s">
        <v>6</v>
      </c>
      <c r="B10" s="148" t="s">
        <v>271</v>
      </c>
      <c r="C10" s="148"/>
    </row>
    <row r="11" spans="1:9" x14ac:dyDescent="0.25">
      <c r="A11" s="76" t="s">
        <v>81</v>
      </c>
      <c r="B11" s="148" t="s">
        <v>259</v>
      </c>
      <c r="C11" s="148"/>
    </row>
    <row r="12" spans="1:9" x14ac:dyDescent="0.25">
      <c r="A12" s="76" t="s">
        <v>82</v>
      </c>
      <c r="B12" s="148" t="s">
        <v>95</v>
      </c>
      <c r="C12" s="148"/>
    </row>
    <row r="13" spans="1:9" x14ac:dyDescent="0.25">
      <c r="A13" s="76" t="s">
        <v>342</v>
      </c>
      <c r="B13" s="148">
        <v>0</v>
      </c>
      <c r="C13" s="148"/>
    </row>
    <row r="14" spans="1:9" x14ac:dyDescent="0.25">
      <c r="A14" s="76" t="s">
        <v>84</v>
      </c>
      <c r="B14" s="148">
        <v>609</v>
      </c>
      <c r="C14" s="148"/>
    </row>
    <row r="15" spans="1:9" x14ac:dyDescent="0.25">
      <c r="A15" s="76" t="s">
        <v>345</v>
      </c>
      <c r="B15" s="148" t="s">
        <v>272</v>
      </c>
      <c r="C15" s="148"/>
    </row>
    <row r="16" spans="1:9" x14ac:dyDescent="0.25">
      <c r="A16" s="76" t="s">
        <v>86</v>
      </c>
      <c r="B16" s="148" t="s">
        <v>170</v>
      </c>
      <c r="C16" s="148"/>
    </row>
    <row r="17" spans="1:3" x14ac:dyDescent="0.25">
      <c r="A17" s="76" t="s">
        <v>414</v>
      </c>
      <c r="B17" s="148"/>
      <c r="C17" s="148"/>
    </row>
    <row r="18" spans="1:3" x14ac:dyDescent="0.25">
      <c r="A18" s="76" t="s">
        <v>88</v>
      </c>
      <c r="B18" s="152">
        <v>45135</v>
      </c>
      <c r="C18" s="148"/>
    </row>
    <row r="19" spans="1:3" x14ac:dyDescent="0.25">
      <c r="A19" s="76" t="s">
        <v>89</v>
      </c>
      <c r="B19" s="152">
        <v>45135</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5" spans="1:3" x14ac:dyDescent="0.25">
      <c r="B25" s="89"/>
    </row>
    <row r="26" spans="1:3" x14ac:dyDescent="0.25">
      <c r="A26" s="85" t="s">
        <v>415</v>
      </c>
      <c r="B26" s="85" t="s">
        <v>464</v>
      </c>
      <c r="C26" s="85" t="s">
        <v>465</v>
      </c>
    </row>
    <row r="27" spans="1:3" x14ac:dyDescent="0.25">
      <c r="A27" s="86">
        <v>55</v>
      </c>
      <c r="B27" s="87">
        <v>23.37</v>
      </c>
      <c r="C27" s="87">
        <v>23.37</v>
      </c>
    </row>
    <row r="28" spans="1:3" x14ac:dyDescent="0.25">
      <c r="A28" s="86">
        <v>56</v>
      </c>
      <c r="B28" s="87">
        <v>22.78</v>
      </c>
      <c r="C28" s="87">
        <v>22.78</v>
      </c>
    </row>
    <row r="29" spans="1:3" x14ac:dyDescent="0.25">
      <c r="A29" s="86">
        <v>57</v>
      </c>
      <c r="B29" s="87">
        <v>22.19</v>
      </c>
      <c r="C29" s="87">
        <v>22.19</v>
      </c>
    </row>
    <row r="30" spans="1:3" x14ac:dyDescent="0.25">
      <c r="A30" s="86">
        <v>58</v>
      </c>
      <c r="B30" s="87">
        <v>21.6</v>
      </c>
      <c r="C30" s="87">
        <v>21.6</v>
      </c>
    </row>
    <row r="31" spans="1:3" x14ac:dyDescent="0.25">
      <c r="A31" s="86">
        <v>59</v>
      </c>
      <c r="B31" s="87">
        <v>20.99</v>
      </c>
      <c r="C31" s="87">
        <v>20.99</v>
      </c>
    </row>
    <row r="32" spans="1:3" x14ac:dyDescent="0.25">
      <c r="A32" s="86">
        <v>60</v>
      </c>
      <c r="B32" s="87">
        <v>20.37</v>
      </c>
      <c r="C32" s="87">
        <v>20.37</v>
      </c>
    </row>
    <row r="33" spans="1:3" x14ac:dyDescent="0.25">
      <c r="A33" s="86">
        <v>61</v>
      </c>
      <c r="B33" s="87">
        <v>19.739999999999998</v>
      </c>
      <c r="C33" s="87">
        <v>19.739999999999998</v>
      </c>
    </row>
    <row r="34" spans="1:3" x14ac:dyDescent="0.25">
      <c r="A34" s="86">
        <v>62</v>
      </c>
      <c r="B34" s="87">
        <v>19.100000000000001</v>
      </c>
      <c r="C34" s="87">
        <v>19.100000000000001</v>
      </c>
    </row>
    <row r="35" spans="1:3" x14ac:dyDescent="0.25">
      <c r="A35" s="86">
        <v>63</v>
      </c>
      <c r="B35" s="87">
        <v>18.46</v>
      </c>
      <c r="C35" s="87">
        <v>18.46</v>
      </c>
    </row>
    <row r="36" spans="1:3" x14ac:dyDescent="0.25">
      <c r="A36" s="86">
        <v>64</v>
      </c>
      <c r="B36" s="87">
        <v>17.829999999999998</v>
      </c>
      <c r="C36" s="87">
        <v>17.829999999999998</v>
      </c>
    </row>
    <row r="37" spans="1:3" x14ac:dyDescent="0.25">
      <c r="A37" s="86">
        <v>65</v>
      </c>
      <c r="B37" s="87">
        <v>17.2</v>
      </c>
      <c r="C37" s="87">
        <v>17.2</v>
      </c>
    </row>
    <row r="38" spans="1:3" x14ac:dyDescent="0.25">
      <c r="A38" s="86">
        <v>66</v>
      </c>
      <c r="B38" s="87">
        <v>16.57</v>
      </c>
      <c r="C38" s="87">
        <v>16.57</v>
      </c>
    </row>
    <row r="39" spans="1:3" x14ac:dyDescent="0.25">
      <c r="A39" s="86">
        <v>67</v>
      </c>
      <c r="B39" s="87">
        <v>15.94</v>
      </c>
      <c r="C39" s="87">
        <v>15.94</v>
      </c>
    </row>
    <row r="40" spans="1:3" x14ac:dyDescent="0.25">
      <c r="A40" s="86">
        <v>68</v>
      </c>
      <c r="B40" s="87">
        <v>15.31</v>
      </c>
      <c r="C40" s="87">
        <v>15.31</v>
      </c>
    </row>
    <row r="41" spans="1:3" x14ac:dyDescent="0.25">
      <c r="A41" s="86">
        <v>69</v>
      </c>
      <c r="B41" s="87">
        <v>14.67</v>
      </c>
      <c r="C41" s="87">
        <v>14.67</v>
      </c>
    </row>
    <row r="42" spans="1:3" x14ac:dyDescent="0.25">
      <c r="A42" s="86">
        <v>70</v>
      </c>
      <c r="B42" s="87">
        <v>14.04</v>
      </c>
      <c r="C42" s="87">
        <v>14.04</v>
      </c>
    </row>
    <row r="43" spans="1:3" x14ac:dyDescent="0.25">
      <c r="A43" s="86">
        <v>71</v>
      </c>
      <c r="B43" s="87">
        <v>13.42</v>
      </c>
      <c r="C43" s="87">
        <v>13.42</v>
      </c>
    </row>
    <row r="44" spans="1:3" x14ac:dyDescent="0.25">
      <c r="A44" s="86">
        <v>72</v>
      </c>
      <c r="B44" s="87">
        <v>12.79</v>
      </c>
      <c r="C44" s="87">
        <v>12.79</v>
      </c>
    </row>
    <row r="45" spans="1:3" x14ac:dyDescent="0.25">
      <c r="A45" s="86">
        <v>73</v>
      </c>
      <c r="B45" s="87">
        <v>12.17</v>
      </c>
      <c r="C45" s="87">
        <v>12.17</v>
      </c>
    </row>
    <row r="46" spans="1:3" x14ac:dyDescent="0.25">
      <c r="A46" s="86">
        <v>74</v>
      </c>
      <c r="B46" s="87">
        <v>11.56</v>
      </c>
      <c r="C46" s="87">
        <v>11.56</v>
      </c>
    </row>
    <row r="47" spans="1:3" x14ac:dyDescent="0.25">
      <c r="A47" s="86">
        <v>75</v>
      </c>
      <c r="B47" s="87">
        <v>10.95</v>
      </c>
      <c r="C47" s="87">
        <v>10.95</v>
      </c>
    </row>
  </sheetData>
  <sheetProtection algorithmName="SHA-512" hashValue="T9QZLXJg+Edc7bdKop7+ODAMXDQTeIHwbMFhDKhe9zJyhmvLY0GKemTBGJh7kuMTMCm170WP7ltith1SEYxb6A==" saltValue="1h3wqEgdNTBWhEgBLVitFQ==" spinCount="100000" sheet="1" objects="1" scenarios="1"/>
  <conditionalFormatting sqref="A6:A21">
    <cfRule type="expression" dxfId="197" priority="1" stopIfTrue="1">
      <formula>MOD(ROW(),2)=0</formula>
    </cfRule>
    <cfRule type="expression" dxfId="196" priority="2" stopIfTrue="1">
      <formula>MOD(ROW(),2)&lt;&gt;0</formula>
    </cfRule>
  </conditionalFormatting>
  <conditionalFormatting sqref="A26:A47">
    <cfRule type="expression" dxfId="195" priority="7" stopIfTrue="1">
      <formula>MOD(ROW(),2)=0</formula>
    </cfRule>
    <cfRule type="expression" dxfId="194" priority="8" stopIfTrue="1">
      <formula>MOD(ROW(),2)&lt;&gt;0</formula>
    </cfRule>
  </conditionalFormatting>
  <conditionalFormatting sqref="B17:B21">
    <cfRule type="expression" dxfId="193" priority="11" stopIfTrue="1">
      <formula>MOD(ROW(),2)=0</formula>
    </cfRule>
    <cfRule type="expression" dxfId="192" priority="12" stopIfTrue="1">
      <formula>MOD(ROW(),2)&lt;&gt;0</formula>
    </cfRule>
  </conditionalFormatting>
  <conditionalFormatting sqref="B6:C21">
    <cfRule type="expression" dxfId="191" priority="23" stopIfTrue="1">
      <formula>MOD(ROW(),2)=0</formula>
    </cfRule>
    <cfRule type="expression" dxfId="190" priority="24" stopIfTrue="1">
      <formula>MOD(ROW(),2)&lt;&gt;0</formula>
    </cfRule>
  </conditionalFormatting>
  <conditionalFormatting sqref="B26:C47">
    <cfRule type="expression" dxfId="189" priority="9" stopIfTrue="1">
      <formula>MOD(ROW(),2)=0</formula>
    </cfRule>
    <cfRule type="expression" dxfId="188" priority="10" stopIfTrue="1">
      <formula>MOD(ROW(),2)&lt;&gt;0</formula>
    </cfRule>
  </conditionalFormatting>
  <hyperlinks>
    <hyperlink ref="B24" location="Assumptions!A1" display="Assumptions" xr:uid="{64AA57D4-9244-4E67-8D1C-3CBAD5D47BF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dimension ref="A1:I82"/>
  <sheetViews>
    <sheetView showGridLines="0" topLeftCell="A3" zoomScale="84" zoomScaleNormal="84" workbookViewId="0">
      <selection activeCell="B6" sqref="B6:C21"/>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x-610</v>
      </c>
      <c r="B3" s="42"/>
      <c r="C3" s="42"/>
      <c r="D3" s="42"/>
      <c r="E3" s="42"/>
      <c r="F3" s="42"/>
      <c r="G3" s="42"/>
      <c r="H3" s="42"/>
      <c r="I3" s="42"/>
    </row>
    <row r="4" spans="1:9" x14ac:dyDescent="0.25">
      <c r="A4" s="44"/>
    </row>
    <row r="6" spans="1:9" x14ac:dyDescent="0.25">
      <c r="A6" s="74" t="s">
        <v>334</v>
      </c>
      <c r="B6" s="148" t="s">
        <v>335</v>
      </c>
      <c r="C6" s="148"/>
    </row>
    <row r="7" spans="1:9" x14ac:dyDescent="0.25">
      <c r="A7" s="76" t="s">
        <v>78</v>
      </c>
      <c r="B7" s="148" t="s">
        <v>67</v>
      </c>
      <c r="C7" s="148"/>
    </row>
    <row r="8" spans="1:9" x14ac:dyDescent="0.25">
      <c r="A8" s="76" t="s">
        <v>79</v>
      </c>
      <c r="B8" s="148">
        <v>2015</v>
      </c>
      <c r="C8" s="148"/>
    </row>
    <row r="9" spans="1:9" x14ac:dyDescent="0.25">
      <c r="A9" s="76" t="s">
        <v>80</v>
      </c>
      <c r="B9" s="148" t="s">
        <v>257</v>
      </c>
      <c r="C9" s="148"/>
    </row>
    <row r="10" spans="1:9" x14ac:dyDescent="0.25">
      <c r="A10" s="76" t="s">
        <v>6</v>
      </c>
      <c r="B10" s="148" t="s">
        <v>273</v>
      </c>
      <c r="C10" s="148"/>
    </row>
    <row r="11" spans="1:9" x14ac:dyDescent="0.25">
      <c r="A11" s="76" t="s">
        <v>81</v>
      </c>
      <c r="B11" s="148" t="s">
        <v>259</v>
      </c>
      <c r="C11" s="148"/>
    </row>
    <row r="12" spans="1:9" x14ac:dyDescent="0.25">
      <c r="A12" s="76" t="s">
        <v>82</v>
      </c>
      <c r="B12" s="148" t="s">
        <v>95</v>
      </c>
      <c r="C12" s="148"/>
    </row>
    <row r="13" spans="1:9" x14ac:dyDescent="0.25">
      <c r="A13" s="76" t="s">
        <v>342</v>
      </c>
      <c r="B13" s="148">
        <v>0</v>
      </c>
      <c r="C13" s="148"/>
    </row>
    <row r="14" spans="1:9" x14ac:dyDescent="0.25">
      <c r="A14" s="76" t="s">
        <v>84</v>
      </c>
      <c r="B14" s="148">
        <v>610</v>
      </c>
      <c r="C14" s="148"/>
    </row>
    <row r="15" spans="1:9" x14ac:dyDescent="0.25">
      <c r="A15" s="76" t="s">
        <v>345</v>
      </c>
      <c r="B15" s="148" t="s">
        <v>274</v>
      </c>
      <c r="C15" s="148"/>
    </row>
    <row r="16" spans="1:9" x14ac:dyDescent="0.25">
      <c r="A16" s="76" t="s">
        <v>86</v>
      </c>
      <c r="B16" s="148" t="s">
        <v>275</v>
      </c>
      <c r="C16" s="148"/>
    </row>
    <row r="17" spans="1:3" x14ac:dyDescent="0.25">
      <c r="A17" s="76" t="s">
        <v>414</v>
      </c>
      <c r="B17" s="148"/>
      <c r="C17" s="148"/>
    </row>
    <row r="18" spans="1:3" x14ac:dyDescent="0.25">
      <c r="A18" s="76" t="s">
        <v>88</v>
      </c>
      <c r="B18" s="152">
        <v>45135</v>
      </c>
      <c r="C18" s="148"/>
    </row>
    <row r="19" spans="1:3" x14ac:dyDescent="0.25">
      <c r="A19" s="76" t="s">
        <v>89</v>
      </c>
      <c r="B19" s="152">
        <v>45135</v>
      </c>
      <c r="C19" s="148"/>
    </row>
    <row r="20" spans="1:3" x14ac:dyDescent="0.25">
      <c r="A20" s="76" t="s">
        <v>90</v>
      </c>
      <c r="B20" s="148" t="s">
        <v>98</v>
      </c>
      <c r="C20" s="148"/>
    </row>
    <row r="21" spans="1:3" x14ac:dyDescent="0.25">
      <c r="A21" s="72" t="s">
        <v>91</v>
      </c>
      <c r="B21" s="148" t="s">
        <v>99</v>
      </c>
      <c r="C21" s="148"/>
    </row>
    <row r="23" spans="1:3" x14ac:dyDescent="0.25">
      <c r="B23" s="89" t="str">
        <f>HYPERLINK("#'Factor List'!A1","Back to Factor List")</f>
        <v>Back to Factor List</v>
      </c>
    </row>
    <row r="24" spans="1:3" x14ac:dyDescent="0.25">
      <c r="B24" s="89" t="s">
        <v>13</v>
      </c>
    </row>
    <row r="25" spans="1:3" x14ac:dyDescent="0.25">
      <c r="B25" s="89"/>
    </row>
    <row r="26" spans="1:3" x14ac:dyDescent="0.25">
      <c r="A26" s="85" t="s">
        <v>415</v>
      </c>
      <c r="B26" s="85" t="s">
        <v>464</v>
      </c>
      <c r="C26" s="85" t="s">
        <v>465</v>
      </c>
    </row>
    <row r="27" spans="1:3" x14ac:dyDescent="0.25">
      <c r="A27" s="86">
        <v>20</v>
      </c>
      <c r="B27" s="87">
        <v>39.64</v>
      </c>
      <c r="C27" s="87">
        <v>39.64</v>
      </c>
    </row>
    <row r="28" spans="1:3" x14ac:dyDescent="0.25">
      <c r="A28" s="86">
        <v>21</v>
      </c>
      <c r="B28" s="87">
        <v>39.28</v>
      </c>
      <c r="C28" s="87">
        <v>39.28</v>
      </c>
    </row>
    <row r="29" spans="1:3" x14ac:dyDescent="0.25">
      <c r="A29" s="86">
        <v>22</v>
      </c>
      <c r="B29" s="87">
        <v>38.92</v>
      </c>
      <c r="C29" s="87">
        <v>38.92</v>
      </c>
    </row>
    <row r="30" spans="1:3" x14ac:dyDescent="0.25">
      <c r="A30" s="86">
        <v>23</v>
      </c>
      <c r="B30" s="87">
        <v>38.549999999999997</v>
      </c>
      <c r="C30" s="87">
        <v>38.549999999999997</v>
      </c>
    </row>
    <row r="31" spans="1:3" x14ac:dyDescent="0.25">
      <c r="A31" s="86">
        <v>24</v>
      </c>
      <c r="B31" s="87">
        <v>38.17</v>
      </c>
      <c r="C31" s="87">
        <v>38.17</v>
      </c>
    </row>
    <row r="32" spans="1:3" x14ac:dyDescent="0.25">
      <c r="A32" s="86">
        <v>25</v>
      </c>
      <c r="B32" s="87">
        <v>37.79</v>
      </c>
      <c r="C32" s="87">
        <v>37.79</v>
      </c>
    </row>
    <row r="33" spans="1:3" x14ac:dyDescent="0.25">
      <c r="A33" s="86">
        <v>26</v>
      </c>
      <c r="B33" s="87">
        <v>37.4</v>
      </c>
      <c r="C33" s="87">
        <v>37.4</v>
      </c>
    </row>
    <row r="34" spans="1:3" x14ac:dyDescent="0.25">
      <c r="A34" s="86">
        <v>27</v>
      </c>
      <c r="B34" s="87">
        <v>37.01</v>
      </c>
      <c r="C34" s="87">
        <v>37.01</v>
      </c>
    </row>
    <row r="35" spans="1:3" x14ac:dyDescent="0.25">
      <c r="A35" s="86">
        <v>28</v>
      </c>
      <c r="B35" s="87">
        <v>36.61</v>
      </c>
      <c r="C35" s="87">
        <v>36.61</v>
      </c>
    </row>
    <row r="36" spans="1:3" x14ac:dyDescent="0.25">
      <c r="A36" s="86">
        <v>29</v>
      </c>
      <c r="B36" s="87">
        <v>36.200000000000003</v>
      </c>
      <c r="C36" s="87">
        <v>36.200000000000003</v>
      </c>
    </row>
    <row r="37" spans="1:3" x14ac:dyDescent="0.25">
      <c r="A37" s="86">
        <v>30</v>
      </c>
      <c r="B37" s="87">
        <v>35.79</v>
      </c>
      <c r="C37" s="87">
        <v>35.79</v>
      </c>
    </row>
    <row r="38" spans="1:3" x14ac:dyDescent="0.25">
      <c r="A38" s="86">
        <v>31</v>
      </c>
      <c r="B38" s="87">
        <v>35.369999999999997</v>
      </c>
      <c r="C38" s="87">
        <v>35.369999999999997</v>
      </c>
    </row>
    <row r="39" spans="1:3" x14ac:dyDescent="0.25">
      <c r="A39" s="86">
        <v>32</v>
      </c>
      <c r="B39" s="87">
        <v>34.950000000000003</v>
      </c>
      <c r="C39" s="87">
        <v>34.950000000000003</v>
      </c>
    </row>
    <row r="40" spans="1:3" x14ac:dyDescent="0.25">
      <c r="A40" s="86">
        <v>33</v>
      </c>
      <c r="B40" s="87">
        <v>34.51</v>
      </c>
      <c r="C40" s="87">
        <v>34.51</v>
      </c>
    </row>
    <row r="41" spans="1:3" x14ac:dyDescent="0.25">
      <c r="A41" s="86">
        <v>34</v>
      </c>
      <c r="B41" s="87">
        <v>34.08</v>
      </c>
      <c r="C41" s="87">
        <v>34.08</v>
      </c>
    </row>
    <row r="42" spans="1:3" x14ac:dyDescent="0.25">
      <c r="A42" s="86">
        <v>35</v>
      </c>
      <c r="B42" s="87">
        <v>33.630000000000003</v>
      </c>
      <c r="C42" s="87">
        <v>33.630000000000003</v>
      </c>
    </row>
    <row r="43" spans="1:3" x14ac:dyDescent="0.25">
      <c r="A43" s="86">
        <v>36</v>
      </c>
      <c r="B43" s="87">
        <v>33.18</v>
      </c>
      <c r="C43" s="87">
        <v>33.18</v>
      </c>
    </row>
    <row r="44" spans="1:3" x14ac:dyDescent="0.25">
      <c r="A44" s="86">
        <v>37</v>
      </c>
      <c r="B44" s="87">
        <v>32.72</v>
      </c>
      <c r="C44" s="87">
        <v>32.72</v>
      </c>
    </row>
    <row r="45" spans="1:3" x14ac:dyDescent="0.25">
      <c r="A45" s="86">
        <v>38</v>
      </c>
      <c r="B45" s="87">
        <v>32.26</v>
      </c>
      <c r="C45" s="87">
        <v>32.26</v>
      </c>
    </row>
    <row r="46" spans="1:3" x14ac:dyDescent="0.25">
      <c r="A46" s="86">
        <v>39</v>
      </c>
      <c r="B46" s="87">
        <v>31.79</v>
      </c>
      <c r="C46" s="87">
        <v>31.79</v>
      </c>
    </row>
    <row r="47" spans="1:3" x14ac:dyDescent="0.25">
      <c r="A47" s="86">
        <v>40</v>
      </c>
      <c r="B47" s="87">
        <v>31.31</v>
      </c>
      <c r="C47" s="87">
        <v>31.31</v>
      </c>
    </row>
    <row r="48" spans="1:3" x14ac:dyDescent="0.25">
      <c r="A48" s="86">
        <v>41</v>
      </c>
      <c r="B48" s="87">
        <v>30.82</v>
      </c>
      <c r="C48" s="87">
        <v>30.82</v>
      </c>
    </row>
    <row r="49" spans="1:3" x14ac:dyDescent="0.25">
      <c r="A49" s="86">
        <v>42</v>
      </c>
      <c r="B49" s="87">
        <v>30.33</v>
      </c>
      <c r="C49" s="87">
        <v>30.33</v>
      </c>
    </row>
    <row r="50" spans="1:3" x14ac:dyDescent="0.25">
      <c r="A50" s="86">
        <v>43</v>
      </c>
      <c r="B50" s="87">
        <v>29.83</v>
      </c>
      <c r="C50" s="87">
        <v>29.83</v>
      </c>
    </row>
    <row r="51" spans="1:3" x14ac:dyDescent="0.25">
      <c r="A51" s="86">
        <v>44</v>
      </c>
      <c r="B51" s="87">
        <v>29.33</v>
      </c>
      <c r="C51" s="87">
        <v>29.33</v>
      </c>
    </row>
    <row r="52" spans="1:3" x14ac:dyDescent="0.25">
      <c r="A52" s="86">
        <v>45</v>
      </c>
      <c r="B52" s="87">
        <v>28.82</v>
      </c>
      <c r="C52" s="87">
        <v>28.82</v>
      </c>
    </row>
    <row r="53" spans="1:3" x14ac:dyDescent="0.25">
      <c r="A53" s="86">
        <v>46</v>
      </c>
      <c r="B53" s="87">
        <v>28.3</v>
      </c>
      <c r="C53" s="87">
        <v>28.3</v>
      </c>
    </row>
    <row r="54" spans="1:3" x14ac:dyDescent="0.25">
      <c r="A54" s="86">
        <v>47</v>
      </c>
      <c r="B54" s="87">
        <v>27.78</v>
      </c>
      <c r="C54" s="87">
        <v>27.78</v>
      </c>
    </row>
    <row r="55" spans="1:3" x14ac:dyDescent="0.25">
      <c r="A55" s="86">
        <v>48</v>
      </c>
      <c r="B55" s="87">
        <v>27.25</v>
      </c>
      <c r="C55" s="87">
        <v>27.25</v>
      </c>
    </row>
    <row r="56" spans="1:3" x14ac:dyDescent="0.25">
      <c r="A56" s="86">
        <v>49</v>
      </c>
      <c r="B56" s="87">
        <v>26.71</v>
      </c>
      <c r="C56" s="87">
        <v>26.71</v>
      </c>
    </row>
    <row r="57" spans="1:3" x14ac:dyDescent="0.25">
      <c r="A57" s="86">
        <v>50</v>
      </c>
      <c r="B57" s="87">
        <v>26.16</v>
      </c>
      <c r="C57" s="87">
        <v>26.16</v>
      </c>
    </row>
    <row r="58" spans="1:3" x14ac:dyDescent="0.25">
      <c r="A58" s="86">
        <v>51</v>
      </c>
      <c r="B58" s="87">
        <v>25.61</v>
      </c>
      <c r="C58" s="87">
        <v>25.61</v>
      </c>
    </row>
    <row r="59" spans="1:3" x14ac:dyDescent="0.25">
      <c r="A59" s="86">
        <v>52</v>
      </c>
      <c r="B59" s="87">
        <v>25.05</v>
      </c>
      <c r="C59" s="87">
        <v>25.05</v>
      </c>
    </row>
    <row r="60" spans="1:3" x14ac:dyDescent="0.25">
      <c r="A60" s="86">
        <v>53</v>
      </c>
      <c r="B60" s="87">
        <v>24.48</v>
      </c>
      <c r="C60" s="87">
        <v>24.48</v>
      </c>
    </row>
    <row r="61" spans="1:3" x14ac:dyDescent="0.25">
      <c r="A61" s="86">
        <v>54</v>
      </c>
      <c r="B61" s="87">
        <v>23.91</v>
      </c>
      <c r="C61" s="87">
        <v>23.91</v>
      </c>
    </row>
    <row r="62" spans="1:3" x14ac:dyDescent="0.25">
      <c r="A62" s="86">
        <v>55</v>
      </c>
      <c r="B62" s="87">
        <v>23.33</v>
      </c>
      <c r="C62" s="87">
        <v>23.33</v>
      </c>
    </row>
    <row r="63" spans="1:3" x14ac:dyDescent="0.25">
      <c r="A63" s="86">
        <v>56</v>
      </c>
      <c r="B63" s="87">
        <v>22.74</v>
      </c>
      <c r="C63" s="87">
        <v>22.74</v>
      </c>
    </row>
    <row r="64" spans="1:3" x14ac:dyDescent="0.25">
      <c r="A64" s="86">
        <v>57</v>
      </c>
      <c r="B64" s="87">
        <v>22.14</v>
      </c>
      <c r="C64" s="87">
        <v>22.14</v>
      </c>
    </row>
    <row r="65" spans="1:3" x14ac:dyDescent="0.25">
      <c r="A65" s="86">
        <v>58</v>
      </c>
      <c r="B65" s="87">
        <v>21.54</v>
      </c>
      <c r="C65" s="87">
        <v>21.54</v>
      </c>
    </row>
    <row r="66" spans="1:3" x14ac:dyDescent="0.25">
      <c r="A66" s="86">
        <v>59</v>
      </c>
      <c r="B66" s="87">
        <v>20.93</v>
      </c>
      <c r="C66" s="87">
        <v>20.93</v>
      </c>
    </row>
    <row r="67" spans="1:3" x14ac:dyDescent="0.25">
      <c r="A67" s="86">
        <v>60</v>
      </c>
      <c r="B67" s="87">
        <v>20.32</v>
      </c>
      <c r="C67" s="87">
        <v>20.32</v>
      </c>
    </row>
    <row r="68" spans="1:3" x14ac:dyDescent="0.25">
      <c r="A68" s="86">
        <v>61</v>
      </c>
      <c r="B68" s="87">
        <v>19.7</v>
      </c>
      <c r="C68" s="87">
        <v>19.7</v>
      </c>
    </row>
    <row r="69" spans="1:3" x14ac:dyDescent="0.25">
      <c r="A69" s="86">
        <v>62</v>
      </c>
      <c r="B69" s="87">
        <v>19.079999999999998</v>
      </c>
      <c r="C69" s="87">
        <v>19.079999999999998</v>
      </c>
    </row>
    <row r="70" spans="1:3" x14ac:dyDescent="0.25">
      <c r="A70" s="86">
        <v>63</v>
      </c>
      <c r="B70" s="87">
        <v>18.46</v>
      </c>
      <c r="C70" s="87">
        <v>18.46</v>
      </c>
    </row>
    <row r="71" spans="1:3" x14ac:dyDescent="0.25">
      <c r="A71" s="86">
        <v>64</v>
      </c>
      <c r="B71" s="87">
        <v>17.829999999999998</v>
      </c>
      <c r="C71" s="87">
        <v>17.829999999999998</v>
      </c>
    </row>
    <row r="72" spans="1:3" x14ac:dyDescent="0.25">
      <c r="A72" s="86">
        <v>65</v>
      </c>
      <c r="B72" s="87">
        <v>17.2</v>
      </c>
      <c r="C72" s="87">
        <v>17.2</v>
      </c>
    </row>
    <row r="73" spans="1:3" x14ac:dyDescent="0.25">
      <c r="A73" s="86">
        <v>66</v>
      </c>
      <c r="B73" s="87">
        <v>16.57</v>
      </c>
      <c r="C73" s="87">
        <v>16.57</v>
      </c>
    </row>
    <row r="74" spans="1:3" x14ac:dyDescent="0.25">
      <c r="A74" s="86">
        <v>67</v>
      </c>
      <c r="B74" s="87">
        <v>15.94</v>
      </c>
      <c r="C74" s="87">
        <v>15.94</v>
      </c>
    </row>
    <row r="75" spans="1:3" x14ac:dyDescent="0.25">
      <c r="A75" s="86">
        <v>68</v>
      </c>
      <c r="B75" s="87">
        <v>15.31</v>
      </c>
      <c r="C75" s="87">
        <v>15.31</v>
      </c>
    </row>
    <row r="76" spans="1:3" x14ac:dyDescent="0.25">
      <c r="A76" s="86">
        <v>69</v>
      </c>
      <c r="B76" s="87">
        <v>14.67</v>
      </c>
      <c r="C76" s="87">
        <v>14.67</v>
      </c>
    </row>
    <row r="77" spans="1:3" x14ac:dyDescent="0.25">
      <c r="A77" s="86">
        <v>70</v>
      </c>
      <c r="B77" s="87">
        <v>14.04</v>
      </c>
      <c r="C77" s="87">
        <v>14.04</v>
      </c>
    </row>
    <row r="78" spans="1:3" x14ac:dyDescent="0.25">
      <c r="A78" s="86">
        <v>71</v>
      </c>
      <c r="B78" s="87">
        <v>13.42</v>
      </c>
      <c r="C78" s="87">
        <v>13.42</v>
      </c>
    </row>
    <row r="79" spans="1:3" x14ac:dyDescent="0.25">
      <c r="A79" s="86">
        <v>72</v>
      </c>
      <c r="B79" s="87">
        <v>12.79</v>
      </c>
      <c r="C79" s="87">
        <v>12.79</v>
      </c>
    </row>
    <row r="80" spans="1:3" x14ac:dyDescent="0.25">
      <c r="A80" s="86">
        <v>73</v>
      </c>
      <c r="B80" s="87">
        <v>12.17</v>
      </c>
      <c r="C80" s="87">
        <v>12.17</v>
      </c>
    </row>
    <row r="81" spans="1:3" x14ac:dyDescent="0.25">
      <c r="A81" s="86">
        <v>74</v>
      </c>
      <c r="B81" s="87">
        <v>11.56</v>
      </c>
      <c r="C81" s="87">
        <v>11.56</v>
      </c>
    </row>
    <row r="82" spans="1:3" x14ac:dyDescent="0.25">
      <c r="A82" s="86">
        <v>75</v>
      </c>
      <c r="B82" s="87">
        <v>10.95</v>
      </c>
      <c r="C82" s="87">
        <v>10.95</v>
      </c>
    </row>
  </sheetData>
  <sheetProtection algorithmName="SHA-512" hashValue="zLAJmB16+e1HN6pkXCapawnN4d4VvI+ZSN+Y39MXqA8SOyK/Zsm2X5hu123WSf7FMJ2r69vELkw9WUjJEyNMew==" saltValue="ldO4/rxUtJ79yXcKzxzQEw==" spinCount="100000" sheet="1" objects="1" scenarios="1"/>
  <conditionalFormatting sqref="A6:A21">
    <cfRule type="expression" dxfId="187" priority="1" stopIfTrue="1">
      <formula>MOD(ROW(),2)=0</formula>
    </cfRule>
    <cfRule type="expression" dxfId="186" priority="2" stopIfTrue="1">
      <formula>MOD(ROW(),2)&lt;&gt;0</formula>
    </cfRule>
  </conditionalFormatting>
  <conditionalFormatting sqref="A26:A82">
    <cfRule type="expression" dxfId="185" priority="7" stopIfTrue="1">
      <formula>MOD(ROW(),2)=0</formula>
    </cfRule>
    <cfRule type="expression" dxfId="184" priority="8" stopIfTrue="1">
      <formula>MOD(ROW(),2)&lt;&gt;0</formula>
    </cfRule>
  </conditionalFormatting>
  <conditionalFormatting sqref="B17:B21">
    <cfRule type="expression" dxfId="183" priority="11" stopIfTrue="1">
      <formula>MOD(ROW(),2)=0</formula>
    </cfRule>
    <cfRule type="expression" dxfId="182" priority="12" stopIfTrue="1">
      <formula>MOD(ROW(),2)&lt;&gt;0</formula>
    </cfRule>
  </conditionalFormatting>
  <conditionalFormatting sqref="B6:C21">
    <cfRule type="expression" dxfId="181" priority="23" stopIfTrue="1">
      <formula>MOD(ROW(),2)=0</formula>
    </cfRule>
    <cfRule type="expression" dxfId="180" priority="24" stopIfTrue="1">
      <formula>MOD(ROW(),2)&lt;&gt;0</formula>
    </cfRule>
  </conditionalFormatting>
  <conditionalFormatting sqref="B26:C82">
    <cfRule type="expression" dxfId="179" priority="9" stopIfTrue="1">
      <formula>MOD(ROW(),2)=0</formula>
    </cfRule>
    <cfRule type="expression" dxfId="178" priority="10" stopIfTrue="1">
      <formula>MOD(ROW(),2)&lt;&gt;0</formula>
    </cfRule>
  </conditionalFormatting>
  <hyperlinks>
    <hyperlink ref="B24" location="Assumptions!A1" display="Assumptions" xr:uid="{53AF37C4-93EC-4103-A277-0FD9B4D152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dimension ref="A1:K46"/>
  <sheetViews>
    <sheetView showGridLines="0" topLeftCell="A9"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Scheme pays AA - x-611</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1992</v>
      </c>
      <c r="C8" s="148"/>
      <c r="D8" s="148"/>
      <c r="E8" s="148"/>
      <c r="F8" s="148"/>
      <c r="G8" s="148"/>
      <c r="H8" s="148"/>
      <c r="I8" s="148"/>
      <c r="J8" s="148"/>
      <c r="K8" s="148"/>
    </row>
    <row r="9" spans="1:11" x14ac:dyDescent="0.25">
      <c r="A9" s="76" t="s">
        <v>80</v>
      </c>
      <c r="B9" s="148" t="s">
        <v>257</v>
      </c>
      <c r="C9" s="148"/>
      <c r="D9" s="148"/>
      <c r="E9" s="148"/>
      <c r="F9" s="148"/>
      <c r="G9" s="148"/>
      <c r="H9" s="148"/>
      <c r="I9" s="148"/>
      <c r="J9" s="148"/>
      <c r="K9" s="148"/>
    </row>
    <row r="10" spans="1:11" x14ac:dyDescent="0.25">
      <c r="A10" s="76" t="s">
        <v>6</v>
      </c>
      <c r="B10" s="148" t="s">
        <v>276</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177</v>
      </c>
      <c r="C12" s="148"/>
      <c r="D12" s="148"/>
      <c r="E12" s="148"/>
      <c r="F12" s="148"/>
      <c r="G12" s="148"/>
      <c r="H12" s="148"/>
      <c r="I12" s="148"/>
      <c r="J12" s="148"/>
      <c r="K12" s="148"/>
    </row>
    <row r="13" spans="1:11" x14ac:dyDescent="0.25">
      <c r="A13" s="76" t="s">
        <v>342</v>
      </c>
      <c r="B13" s="148">
        <v>2</v>
      </c>
      <c r="C13" s="148"/>
      <c r="D13" s="148"/>
      <c r="E13" s="148"/>
      <c r="F13" s="148"/>
      <c r="G13" s="148"/>
      <c r="H13" s="148"/>
      <c r="I13" s="148"/>
      <c r="J13" s="148"/>
      <c r="K13" s="148"/>
    </row>
    <row r="14" spans="1:11" x14ac:dyDescent="0.25">
      <c r="A14" s="76" t="s">
        <v>84</v>
      </c>
      <c r="B14" s="148">
        <v>611</v>
      </c>
      <c r="C14" s="148"/>
      <c r="D14" s="148"/>
      <c r="E14" s="148"/>
      <c r="F14" s="148"/>
      <c r="G14" s="148"/>
      <c r="H14" s="148"/>
      <c r="I14" s="148"/>
      <c r="J14" s="148"/>
      <c r="K14" s="148"/>
    </row>
    <row r="15" spans="1:11" x14ac:dyDescent="0.25">
      <c r="A15" s="76" t="s">
        <v>345</v>
      </c>
      <c r="B15" s="148" t="s">
        <v>277</v>
      </c>
      <c r="C15" s="148"/>
      <c r="D15" s="148"/>
      <c r="E15" s="148"/>
      <c r="F15" s="148"/>
      <c r="G15" s="148"/>
      <c r="H15" s="148"/>
      <c r="I15" s="148"/>
      <c r="J15" s="148"/>
      <c r="K15" s="148"/>
    </row>
    <row r="16" spans="1:11" x14ac:dyDescent="0.25">
      <c r="A16" s="76" t="s">
        <v>86</v>
      </c>
      <c r="B16" s="148" t="s">
        <v>111</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45135</v>
      </c>
      <c r="C18" s="148"/>
      <c r="D18" s="148"/>
      <c r="E18" s="148"/>
      <c r="F18" s="148"/>
      <c r="G18" s="148"/>
      <c r="H18" s="148"/>
      <c r="I18" s="148"/>
      <c r="J18" s="148"/>
      <c r="K18" s="148"/>
    </row>
    <row r="19" spans="1:11" x14ac:dyDescent="0.25">
      <c r="A19" s="76" t="s">
        <v>89</v>
      </c>
      <c r="B19" s="152">
        <v>45135</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5" spans="1:11" x14ac:dyDescent="0.25">
      <c r="B25" s="89"/>
    </row>
    <row r="26" spans="1:11" x14ac:dyDescent="0.25">
      <c r="A26" s="85" t="s">
        <v>439</v>
      </c>
      <c r="B26" s="85">
        <v>50</v>
      </c>
      <c r="C26" s="85">
        <v>51</v>
      </c>
      <c r="D26" s="85">
        <v>52</v>
      </c>
      <c r="E26" s="85">
        <v>53</v>
      </c>
      <c r="F26" s="85">
        <v>54</v>
      </c>
      <c r="G26" s="85">
        <v>55</v>
      </c>
      <c r="H26" s="85">
        <v>56</v>
      </c>
      <c r="I26" s="85">
        <v>57</v>
      </c>
      <c r="J26" s="85">
        <v>58</v>
      </c>
      <c r="K26" s="85">
        <v>59</v>
      </c>
    </row>
    <row r="27" spans="1:11" x14ac:dyDescent="0.25">
      <c r="A27" s="86">
        <v>0</v>
      </c>
      <c r="B27" s="88">
        <v>0.66300000000000003</v>
      </c>
      <c r="C27" s="88">
        <v>0.68600000000000005</v>
      </c>
      <c r="D27" s="88">
        <v>0.71099999999999997</v>
      </c>
      <c r="E27" s="88">
        <v>0.73799999999999999</v>
      </c>
      <c r="F27" s="88">
        <v>0.76800000000000002</v>
      </c>
      <c r="G27" s="88">
        <v>0.8</v>
      </c>
      <c r="H27" s="88">
        <v>0.83399999999999996</v>
      </c>
      <c r="I27" s="88">
        <v>0.871</v>
      </c>
      <c r="J27" s="88">
        <v>0.91100000000000003</v>
      </c>
      <c r="K27" s="88">
        <v>0.95399999999999996</v>
      </c>
    </row>
    <row r="28" spans="1:11" x14ac:dyDescent="0.25">
      <c r="A28" s="86">
        <v>1</v>
      </c>
      <c r="B28" s="88">
        <v>0.66500000000000004</v>
      </c>
      <c r="C28" s="88">
        <v>0.68799999999999994</v>
      </c>
      <c r="D28" s="88">
        <v>0.71399999999999997</v>
      </c>
      <c r="E28" s="88">
        <v>0.74099999999999999</v>
      </c>
      <c r="F28" s="88">
        <v>0.77</v>
      </c>
      <c r="G28" s="88">
        <v>0.80200000000000005</v>
      </c>
      <c r="H28" s="88">
        <v>0.83699999999999997</v>
      </c>
      <c r="I28" s="88">
        <v>0.874</v>
      </c>
      <c r="J28" s="88">
        <v>0.91400000000000003</v>
      </c>
      <c r="K28" s="88">
        <v>0.95799999999999996</v>
      </c>
    </row>
    <row r="29" spans="1:11" x14ac:dyDescent="0.25">
      <c r="A29" s="86">
        <v>2</v>
      </c>
      <c r="B29" s="88">
        <v>0.66700000000000004</v>
      </c>
      <c r="C29" s="88">
        <v>0.69</v>
      </c>
      <c r="D29" s="88">
        <v>0.71599999999999997</v>
      </c>
      <c r="E29" s="88">
        <v>0.74299999999999999</v>
      </c>
      <c r="F29" s="88">
        <v>0.77300000000000002</v>
      </c>
      <c r="G29" s="88">
        <v>0.80500000000000005</v>
      </c>
      <c r="H29" s="88">
        <v>0.84</v>
      </c>
      <c r="I29" s="88">
        <v>0.878</v>
      </c>
      <c r="J29" s="88">
        <v>0.91800000000000004</v>
      </c>
      <c r="K29" s="88">
        <v>0.96099999999999997</v>
      </c>
    </row>
    <row r="30" spans="1:11" x14ac:dyDescent="0.25">
      <c r="A30" s="86">
        <v>3</v>
      </c>
      <c r="B30" s="88">
        <v>0.66900000000000004</v>
      </c>
      <c r="C30" s="88">
        <v>0.69299999999999995</v>
      </c>
      <c r="D30" s="88">
        <v>0.71799999999999997</v>
      </c>
      <c r="E30" s="88">
        <v>0.746</v>
      </c>
      <c r="F30" s="88">
        <v>0.77600000000000002</v>
      </c>
      <c r="G30" s="88">
        <v>0.80800000000000005</v>
      </c>
      <c r="H30" s="88">
        <v>0.84299999999999997</v>
      </c>
      <c r="I30" s="88">
        <v>0.88100000000000001</v>
      </c>
      <c r="J30" s="88">
        <v>0.92200000000000004</v>
      </c>
      <c r="K30" s="88">
        <v>0.96499999999999997</v>
      </c>
    </row>
    <row r="31" spans="1:11" x14ac:dyDescent="0.25">
      <c r="A31" s="86">
        <v>4</v>
      </c>
      <c r="B31" s="88">
        <v>0.67100000000000004</v>
      </c>
      <c r="C31" s="88">
        <v>0.69499999999999995</v>
      </c>
      <c r="D31" s="88">
        <v>0.72</v>
      </c>
      <c r="E31" s="88">
        <v>0.748</v>
      </c>
      <c r="F31" s="88">
        <v>0.77800000000000002</v>
      </c>
      <c r="G31" s="88">
        <v>0.81100000000000005</v>
      </c>
      <c r="H31" s="88">
        <v>0.84599999999999997</v>
      </c>
      <c r="I31" s="88">
        <v>0.88400000000000001</v>
      </c>
      <c r="J31" s="88">
        <v>0.92500000000000004</v>
      </c>
      <c r="K31" s="88">
        <v>0.96899999999999997</v>
      </c>
    </row>
    <row r="32" spans="1:11" x14ac:dyDescent="0.25">
      <c r="A32" s="86">
        <v>5</v>
      </c>
      <c r="B32" s="88">
        <v>0.67300000000000004</v>
      </c>
      <c r="C32" s="88">
        <v>0.69699999999999995</v>
      </c>
      <c r="D32" s="88">
        <v>0.72299999999999998</v>
      </c>
      <c r="E32" s="88">
        <v>0.751</v>
      </c>
      <c r="F32" s="88">
        <v>0.78100000000000003</v>
      </c>
      <c r="G32" s="88">
        <v>0.81399999999999995</v>
      </c>
      <c r="H32" s="88">
        <v>0.84899999999999998</v>
      </c>
      <c r="I32" s="88">
        <v>0.88800000000000001</v>
      </c>
      <c r="J32" s="88">
        <v>0.92900000000000005</v>
      </c>
      <c r="K32" s="88">
        <v>0.97299999999999998</v>
      </c>
    </row>
    <row r="33" spans="1:11" x14ac:dyDescent="0.25">
      <c r="A33" s="86">
        <v>6</v>
      </c>
      <c r="B33" s="88">
        <v>0.67500000000000004</v>
      </c>
      <c r="C33" s="88">
        <v>0.69899999999999995</v>
      </c>
      <c r="D33" s="88">
        <v>0.72499999999999998</v>
      </c>
      <c r="E33" s="88">
        <v>0.753</v>
      </c>
      <c r="F33" s="88">
        <v>0.78400000000000003</v>
      </c>
      <c r="G33" s="88">
        <v>0.81699999999999995</v>
      </c>
      <c r="H33" s="88">
        <v>0.85299999999999998</v>
      </c>
      <c r="I33" s="88">
        <v>0.89100000000000001</v>
      </c>
      <c r="J33" s="88">
        <v>0.93200000000000005</v>
      </c>
      <c r="K33" s="88">
        <v>0.97699999999999998</v>
      </c>
    </row>
    <row r="34" spans="1:11" x14ac:dyDescent="0.25">
      <c r="A34" s="86">
        <v>7</v>
      </c>
      <c r="B34" s="88">
        <v>0.67700000000000005</v>
      </c>
      <c r="C34" s="88">
        <v>0.70099999999999996</v>
      </c>
      <c r="D34" s="88">
        <v>0.72699999999999998</v>
      </c>
      <c r="E34" s="88">
        <v>0.755</v>
      </c>
      <c r="F34" s="88">
        <v>0.78600000000000003</v>
      </c>
      <c r="G34" s="88">
        <v>0.82</v>
      </c>
      <c r="H34" s="88">
        <v>0.85599999999999998</v>
      </c>
      <c r="I34" s="88">
        <v>0.89400000000000002</v>
      </c>
      <c r="J34" s="88">
        <v>0.93600000000000005</v>
      </c>
      <c r="K34" s="88">
        <v>0.98099999999999998</v>
      </c>
    </row>
    <row r="35" spans="1:11" x14ac:dyDescent="0.25">
      <c r="A35" s="86">
        <v>8</v>
      </c>
      <c r="B35" s="88">
        <v>0.67900000000000005</v>
      </c>
      <c r="C35" s="88">
        <v>0.70299999999999996</v>
      </c>
      <c r="D35" s="88">
        <v>0.72899999999999998</v>
      </c>
      <c r="E35" s="88">
        <v>0.75800000000000001</v>
      </c>
      <c r="F35" s="88">
        <v>0.78900000000000003</v>
      </c>
      <c r="G35" s="88">
        <v>0.82299999999999995</v>
      </c>
      <c r="H35" s="88">
        <v>0.85899999999999999</v>
      </c>
      <c r="I35" s="88">
        <v>0.89800000000000002</v>
      </c>
      <c r="J35" s="88">
        <v>0.93899999999999995</v>
      </c>
      <c r="K35" s="88">
        <v>0.98499999999999999</v>
      </c>
    </row>
    <row r="36" spans="1:11" x14ac:dyDescent="0.25">
      <c r="A36" s="86">
        <v>9</v>
      </c>
      <c r="B36" s="88">
        <v>0.68100000000000005</v>
      </c>
      <c r="C36" s="88">
        <v>0.70499999999999996</v>
      </c>
      <c r="D36" s="88">
        <v>0.73199999999999998</v>
      </c>
      <c r="E36" s="88">
        <v>0.76</v>
      </c>
      <c r="F36" s="88">
        <v>0.79200000000000004</v>
      </c>
      <c r="G36" s="88">
        <v>0.82499999999999996</v>
      </c>
      <c r="H36" s="88">
        <v>0.86199999999999999</v>
      </c>
      <c r="I36" s="88">
        <v>0.90100000000000002</v>
      </c>
      <c r="J36" s="88">
        <v>0.94299999999999995</v>
      </c>
      <c r="K36" s="88">
        <v>0.98799999999999999</v>
      </c>
    </row>
    <row r="37" spans="1:11" x14ac:dyDescent="0.25">
      <c r="A37" s="86">
        <v>10</v>
      </c>
      <c r="B37" s="88">
        <v>0.68200000000000005</v>
      </c>
      <c r="C37" s="88">
        <v>0.70699999999999996</v>
      </c>
      <c r="D37" s="88">
        <v>0.73399999999999999</v>
      </c>
      <c r="E37" s="88">
        <v>0.76300000000000001</v>
      </c>
      <c r="F37" s="88">
        <v>0.79400000000000004</v>
      </c>
      <c r="G37" s="88">
        <v>0.82799999999999996</v>
      </c>
      <c r="H37" s="88">
        <v>0.86499999999999999</v>
      </c>
      <c r="I37" s="88">
        <v>0.90400000000000003</v>
      </c>
      <c r="J37" s="88">
        <v>0.94699999999999995</v>
      </c>
      <c r="K37" s="88">
        <v>0.99199999999999999</v>
      </c>
    </row>
    <row r="38" spans="1:11" x14ac:dyDescent="0.25">
      <c r="A38" s="86">
        <v>11</v>
      </c>
      <c r="B38" s="88">
        <v>0.68400000000000005</v>
      </c>
      <c r="C38" s="88">
        <v>0.70899999999999996</v>
      </c>
      <c r="D38" s="88">
        <v>0.73599999999999999</v>
      </c>
      <c r="E38" s="88">
        <v>0.76500000000000001</v>
      </c>
      <c r="F38" s="88">
        <v>0.79700000000000004</v>
      </c>
      <c r="G38" s="88">
        <v>0.83099999999999996</v>
      </c>
      <c r="H38" s="88">
        <v>0.86799999999999999</v>
      </c>
      <c r="I38" s="88">
        <v>0.90800000000000003</v>
      </c>
      <c r="J38" s="88">
        <v>0.95</v>
      </c>
      <c r="K38" s="88">
        <v>0.996</v>
      </c>
    </row>
    <row r="44" spans="1:11" ht="39.6" customHeight="1" x14ac:dyDescent="0.25"/>
    <row r="46" spans="1:11" ht="27.6" customHeight="1" x14ac:dyDescent="0.25"/>
  </sheetData>
  <sheetProtection algorithmName="SHA-512" hashValue="mXRHqnQDJr93llJJsWWt4JRhvZNF9Nare6QWa85yV35p2NVyoGnRlTQcsTMAxIcwc2VWS1/61SIOUl0x3CchZQ==" saltValue="txW4JZ2Vc7qc0tudbzF8Fw==" spinCount="100000" sheet="1" objects="1" scenarios="1"/>
  <conditionalFormatting sqref="A6:A21">
    <cfRule type="expression" dxfId="177" priority="1" stopIfTrue="1">
      <formula>MOD(ROW(),2)=0</formula>
    </cfRule>
    <cfRule type="expression" dxfId="176" priority="2" stopIfTrue="1">
      <formula>MOD(ROW(),2)&lt;&gt;0</formula>
    </cfRule>
  </conditionalFormatting>
  <conditionalFormatting sqref="A26:A38">
    <cfRule type="expression" dxfId="175" priority="7" stopIfTrue="1">
      <formula>MOD(ROW(),2)=0</formula>
    </cfRule>
    <cfRule type="expression" dxfId="174" priority="8" stopIfTrue="1">
      <formula>MOD(ROW(),2)&lt;&gt;0</formula>
    </cfRule>
  </conditionalFormatting>
  <conditionalFormatting sqref="B17:B21">
    <cfRule type="expression" dxfId="173" priority="11" stopIfTrue="1">
      <formula>MOD(ROW(),2)=0</formula>
    </cfRule>
    <cfRule type="expression" dxfId="172" priority="12" stopIfTrue="1">
      <formula>MOD(ROW(),2)&lt;&gt;0</formula>
    </cfRule>
  </conditionalFormatting>
  <conditionalFormatting sqref="B6:K21 B26:K38">
    <cfRule type="expression" dxfId="171" priority="23" stopIfTrue="1">
      <formula>MOD(ROW(),2)=0</formula>
    </cfRule>
    <cfRule type="expression" dxfId="170" priority="24" stopIfTrue="1">
      <formula>MOD(ROW(),2)&lt;&gt;0</formula>
    </cfRule>
  </conditionalFormatting>
  <hyperlinks>
    <hyperlink ref="B24" location="Assumptions!A1" display="Assumptions" xr:uid="{748F03C1-9396-4325-87E4-D981B08BAEC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dimension ref="A1:H46"/>
  <sheetViews>
    <sheetView showGridLines="0" topLeftCell="A3" zoomScale="84" zoomScaleNormal="84" workbookViewId="0">
      <selection activeCell="B6" sqref="B6:G21"/>
    </sheetView>
  </sheetViews>
  <sheetFormatPr defaultColWidth="10" defaultRowHeight="13.2" x14ac:dyDescent="0.25"/>
  <cols>
    <col min="1" max="1" width="31.5546875" style="27" customWidth="1"/>
    <col min="2" max="7" width="22.5546875" style="27" customWidth="1"/>
    <col min="8" max="16384" width="10" style="27"/>
  </cols>
  <sheetData>
    <row r="1" spans="1:8" ht="21" x14ac:dyDescent="0.4">
      <c r="A1" s="39" t="s">
        <v>0</v>
      </c>
      <c r="B1" s="40"/>
      <c r="C1" s="40"/>
      <c r="D1" s="40"/>
      <c r="E1" s="40"/>
      <c r="F1" s="40"/>
      <c r="G1" s="40"/>
      <c r="H1" s="40"/>
    </row>
    <row r="2" spans="1:8" ht="15.6" x14ac:dyDescent="0.3">
      <c r="A2" s="41" t="str">
        <f>IF(title="&gt; Enter workbook title here","Enter workbook title in Cover sheet",title)</f>
        <v>Fire England - Consolidated Factor Spreadsheet</v>
      </c>
      <c r="B2" s="42"/>
      <c r="C2" s="42"/>
      <c r="D2" s="42"/>
      <c r="E2" s="42"/>
      <c r="F2" s="42"/>
      <c r="G2" s="42"/>
      <c r="H2" s="42"/>
    </row>
    <row r="3" spans="1:8" ht="15.6" x14ac:dyDescent="0.3">
      <c r="A3" s="43" t="str">
        <f>TABLE_FACTOR_TYPE_1&amp;" - x-"&amp;TABLE_SERIES_NUMBER_1</f>
        <v>Scheme pays AA - x-612</v>
      </c>
      <c r="B3" s="42"/>
      <c r="C3" s="42"/>
      <c r="D3" s="42"/>
      <c r="E3" s="42"/>
      <c r="F3" s="42"/>
      <c r="G3" s="42"/>
      <c r="H3" s="42"/>
    </row>
    <row r="4" spans="1:8" x14ac:dyDescent="0.25">
      <c r="A4" s="44"/>
    </row>
    <row r="6" spans="1:8" x14ac:dyDescent="0.25">
      <c r="A6" s="74" t="s">
        <v>334</v>
      </c>
      <c r="B6" s="148" t="s">
        <v>335</v>
      </c>
      <c r="C6" s="148"/>
      <c r="D6" s="148"/>
      <c r="E6" s="148"/>
      <c r="F6" s="148"/>
      <c r="G6" s="148"/>
    </row>
    <row r="7" spans="1:8" x14ac:dyDescent="0.25">
      <c r="A7" s="76" t="s">
        <v>78</v>
      </c>
      <c r="B7" s="148" t="s">
        <v>67</v>
      </c>
      <c r="C7" s="148"/>
      <c r="D7" s="148"/>
      <c r="E7" s="148"/>
      <c r="F7" s="148"/>
      <c r="G7" s="148"/>
    </row>
    <row r="8" spans="1:8" x14ac:dyDescent="0.25">
      <c r="A8" s="76" t="s">
        <v>79</v>
      </c>
      <c r="B8" s="148">
        <v>1992</v>
      </c>
      <c r="C8" s="148"/>
      <c r="D8" s="148"/>
      <c r="E8" s="148"/>
      <c r="F8" s="148"/>
      <c r="G8" s="148"/>
    </row>
    <row r="9" spans="1:8" x14ac:dyDescent="0.25">
      <c r="A9" s="76" t="s">
        <v>80</v>
      </c>
      <c r="B9" s="148" t="s">
        <v>257</v>
      </c>
      <c r="C9" s="148"/>
      <c r="D9" s="148"/>
      <c r="E9" s="148"/>
      <c r="F9" s="148"/>
      <c r="G9" s="148"/>
    </row>
    <row r="10" spans="1:8" x14ac:dyDescent="0.25">
      <c r="A10" s="76" t="s">
        <v>6</v>
      </c>
      <c r="B10" s="148" t="s">
        <v>278</v>
      </c>
      <c r="C10" s="148"/>
      <c r="D10" s="148"/>
      <c r="E10" s="148"/>
      <c r="F10" s="148"/>
      <c r="G10" s="148"/>
    </row>
    <row r="11" spans="1:8" x14ac:dyDescent="0.25">
      <c r="A11" s="76" t="s">
        <v>81</v>
      </c>
      <c r="B11" s="148" t="s">
        <v>176</v>
      </c>
      <c r="C11" s="148"/>
      <c r="D11" s="148"/>
      <c r="E11" s="148"/>
      <c r="F11" s="148"/>
      <c r="G11" s="148"/>
    </row>
    <row r="12" spans="1:8" x14ac:dyDescent="0.25">
      <c r="A12" s="76" t="s">
        <v>82</v>
      </c>
      <c r="B12" s="148" t="s">
        <v>177</v>
      </c>
      <c r="C12" s="148"/>
      <c r="D12" s="148"/>
      <c r="E12" s="148"/>
      <c r="F12" s="148"/>
      <c r="G12" s="148"/>
    </row>
    <row r="13" spans="1:8" x14ac:dyDescent="0.25">
      <c r="A13" s="76" t="s">
        <v>342</v>
      </c>
      <c r="B13" s="148">
        <v>2</v>
      </c>
      <c r="C13" s="148"/>
      <c r="D13" s="148"/>
      <c r="E13" s="148"/>
      <c r="F13" s="148"/>
      <c r="G13" s="148"/>
    </row>
    <row r="14" spans="1:8" x14ac:dyDescent="0.25">
      <c r="A14" s="76" t="s">
        <v>84</v>
      </c>
      <c r="B14" s="148">
        <v>612</v>
      </c>
      <c r="C14" s="148"/>
      <c r="D14" s="148"/>
      <c r="E14" s="148"/>
      <c r="F14" s="148"/>
      <c r="G14" s="148"/>
    </row>
    <row r="15" spans="1:8" x14ac:dyDescent="0.25">
      <c r="A15" s="76" t="s">
        <v>345</v>
      </c>
      <c r="B15" s="148" t="s">
        <v>279</v>
      </c>
      <c r="C15" s="148"/>
      <c r="D15" s="148"/>
      <c r="E15" s="148"/>
      <c r="F15" s="148"/>
      <c r="G15" s="148"/>
    </row>
    <row r="16" spans="1:8" x14ac:dyDescent="0.25">
      <c r="A16" s="76" t="s">
        <v>86</v>
      </c>
      <c r="B16" s="148" t="s">
        <v>113</v>
      </c>
      <c r="C16" s="148"/>
      <c r="D16" s="148"/>
      <c r="E16" s="148"/>
      <c r="F16" s="148"/>
      <c r="G16" s="148"/>
    </row>
    <row r="17" spans="1:7" x14ac:dyDescent="0.25">
      <c r="A17" s="76" t="s">
        <v>414</v>
      </c>
      <c r="B17" s="148"/>
      <c r="C17" s="148"/>
      <c r="D17" s="148"/>
      <c r="E17" s="148"/>
      <c r="F17" s="148"/>
      <c r="G17" s="148"/>
    </row>
    <row r="18" spans="1:7" x14ac:dyDescent="0.25">
      <c r="A18" s="76" t="s">
        <v>88</v>
      </c>
      <c r="B18" s="152">
        <v>45135</v>
      </c>
      <c r="C18" s="148"/>
      <c r="D18" s="148"/>
      <c r="E18" s="148"/>
      <c r="F18" s="148"/>
      <c r="G18" s="148"/>
    </row>
    <row r="19" spans="1:7" x14ac:dyDescent="0.25">
      <c r="A19" s="76" t="s">
        <v>89</v>
      </c>
      <c r="B19" s="152">
        <v>45135</v>
      </c>
      <c r="C19" s="148"/>
      <c r="D19" s="148"/>
      <c r="E19" s="148"/>
      <c r="F19" s="148"/>
      <c r="G19" s="148"/>
    </row>
    <row r="20" spans="1:7" x14ac:dyDescent="0.25">
      <c r="A20" s="76" t="s">
        <v>90</v>
      </c>
      <c r="B20" s="148" t="s">
        <v>98</v>
      </c>
      <c r="C20" s="148"/>
      <c r="D20" s="148"/>
      <c r="E20" s="148"/>
      <c r="F20" s="148"/>
      <c r="G20" s="148"/>
    </row>
    <row r="21" spans="1:7" x14ac:dyDescent="0.25">
      <c r="A21" s="72" t="s">
        <v>91</v>
      </c>
      <c r="B21" s="148" t="s">
        <v>99</v>
      </c>
      <c r="C21" s="148"/>
      <c r="D21" s="148"/>
      <c r="E21" s="148"/>
      <c r="F21" s="148"/>
      <c r="G21" s="148"/>
    </row>
    <row r="23" spans="1:7" x14ac:dyDescent="0.25">
      <c r="B23" s="89" t="str">
        <f>HYPERLINK("#'Factor List'!A1","Back to Factor List")</f>
        <v>Back to Factor List</v>
      </c>
    </row>
    <row r="24" spans="1:7" x14ac:dyDescent="0.25">
      <c r="B24" s="89" t="s">
        <v>13</v>
      </c>
    </row>
    <row r="25" spans="1:7" x14ac:dyDescent="0.25">
      <c r="B25" s="89"/>
    </row>
    <row r="26" spans="1:7" x14ac:dyDescent="0.25">
      <c r="A26" s="85" t="s">
        <v>439</v>
      </c>
      <c r="B26" s="85">
        <v>60</v>
      </c>
      <c r="C26" s="85">
        <v>61</v>
      </c>
      <c r="D26" s="85">
        <v>62</v>
      </c>
      <c r="E26" s="85">
        <v>63</v>
      </c>
      <c r="F26" s="85">
        <v>64</v>
      </c>
      <c r="G26" s="85">
        <v>65</v>
      </c>
    </row>
    <row r="27" spans="1:7" x14ac:dyDescent="0.25">
      <c r="A27" s="86">
        <v>0</v>
      </c>
      <c r="B27" s="88">
        <v>1</v>
      </c>
      <c r="C27" s="88">
        <v>1.05</v>
      </c>
      <c r="D27" s="88">
        <v>1.105</v>
      </c>
      <c r="E27" s="88">
        <v>1.1639999999999999</v>
      </c>
      <c r="F27" s="88">
        <v>1.228</v>
      </c>
      <c r="G27" s="88">
        <v>1.298</v>
      </c>
    </row>
    <row r="28" spans="1:7" x14ac:dyDescent="0.25">
      <c r="A28" s="86">
        <v>1</v>
      </c>
      <c r="B28" s="88">
        <v>1.004</v>
      </c>
      <c r="C28" s="88">
        <v>1.0549999999999999</v>
      </c>
      <c r="D28" s="88">
        <v>1.1100000000000001</v>
      </c>
      <c r="E28" s="88">
        <v>1.169</v>
      </c>
      <c r="F28" s="88">
        <v>1.234</v>
      </c>
      <c r="G28" s="88">
        <v>1.304</v>
      </c>
    </row>
    <row r="29" spans="1:7" x14ac:dyDescent="0.25">
      <c r="A29" s="86">
        <v>2</v>
      </c>
      <c r="B29" s="88">
        <v>1.008</v>
      </c>
      <c r="C29" s="88">
        <v>1.0589999999999999</v>
      </c>
      <c r="D29" s="88">
        <v>1.115</v>
      </c>
      <c r="E29" s="88">
        <v>1.175</v>
      </c>
      <c r="F29" s="88">
        <v>1.24</v>
      </c>
      <c r="G29" s="88">
        <v>1.3109999999999999</v>
      </c>
    </row>
    <row r="30" spans="1:7" x14ac:dyDescent="0.25">
      <c r="A30" s="86">
        <v>3</v>
      </c>
      <c r="B30" s="88">
        <v>1.0129999999999999</v>
      </c>
      <c r="C30" s="88">
        <v>1.0640000000000001</v>
      </c>
      <c r="D30" s="88">
        <v>1.1200000000000001</v>
      </c>
      <c r="E30" s="88">
        <v>1.18</v>
      </c>
      <c r="F30" s="88">
        <v>1.2450000000000001</v>
      </c>
      <c r="G30" s="88">
        <v>1.3169999999999999</v>
      </c>
    </row>
    <row r="31" spans="1:7" x14ac:dyDescent="0.25">
      <c r="A31" s="86">
        <v>4</v>
      </c>
      <c r="B31" s="88">
        <v>1.0169999999999999</v>
      </c>
      <c r="C31" s="88">
        <v>1.0680000000000001</v>
      </c>
      <c r="D31" s="88">
        <v>1.1240000000000001</v>
      </c>
      <c r="E31" s="88">
        <v>1.1850000000000001</v>
      </c>
      <c r="F31" s="88">
        <v>1.2509999999999999</v>
      </c>
      <c r="G31" s="88">
        <v>1.323</v>
      </c>
    </row>
    <row r="32" spans="1:7" x14ac:dyDescent="0.25">
      <c r="A32" s="86">
        <v>5</v>
      </c>
      <c r="B32" s="88">
        <v>1.0209999999999999</v>
      </c>
      <c r="C32" s="88">
        <v>1.073</v>
      </c>
      <c r="D32" s="88">
        <v>1.129</v>
      </c>
      <c r="E32" s="88">
        <v>1.1910000000000001</v>
      </c>
      <c r="F32" s="88">
        <v>1.2569999999999999</v>
      </c>
      <c r="G32" s="88">
        <v>1.33</v>
      </c>
    </row>
    <row r="33" spans="1:7" x14ac:dyDescent="0.25">
      <c r="A33" s="86">
        <v>6</v>
      </c>
      <c r="B33" s="88">
        <v>1.0249999999999999</v>
      </c>
      <c r="C33" s="88">
        <v>1.0780000000000001</v>
      </c>
      <c r="D33" s="88">
        <v>1.1339999999999999</v>
      </c>
      <c r="E33" s="88">
        <v>1.196</v>
      </c>
      <c r="F33" s="88">
        <v>1.2629999999999999</v>
      </c>
      <c r="G33" s="88">
        <v>1.3360000000000001</v>
      </c>
    </row>
    <row r="34" spans="1:7" x14ac:dyDescent="0.25">
      <c r="A34" s="86">
        <v>7</v>
      </c>
      <c r="B34" s="88">
        <v>1.0289999999999999</v>
      </c>
      <c r="C34" s="88">
        <v>1.0820000000000001</v>
      </c>
      <c r="D34" s="88">
        <v>1.139</v>
      </c>
      <c r="E34" s="88">
        <v>1.2010000000000001</v>
      </c>
      <c r="F34" s="88">
        <v>1.2689999999999999</v>
      </c>
      <c r="G34" s="88">
        <v>1.3420000000000001</v>
      </c>
    </row>
    <row r="35" spans="1:7" x14ac:dyDescent="0.25">
      <c r="A35" s="86">
        <v>8</v>
      </c>
      <c r="B35" s="88">
        <v>1.034</v>
      </c>
      <c r="C35" s="88">
        <v>1.087</v>
      </c>
      <c r="D35" s="88">
        <v>1.1439999999999999</v>
      </c>
      <c r="E35" s="88">
        <v>1.2070000000000001</v>
      </c>
      <c r="F35" s="88">
        <v>1.2749999999999999</v>
      </c>
      <c r="G35" s="88">
        <v>1.349</v>
      </c>
    </row>
    <row r="36" spans="1:7" x14ac:dyDescent="0.25">
      <c r="A36" s="86">
        <v>9</v>
      </c>
      <c r="B36" s="88">
        <v>1.038</v>
      </c>
      <c r="C36" s="88">
        <v>1.091</v>
      </c>
      <c r="D36" s="88">
        <v>1.149</v>
      </c>
      <c r="E36" s="88">
        <v>1.212</v>
      </c>
      <c r="F36" s="88">
        <v>1.28</v>
      </c>
      <c r="G36" s="88">
        <v>1.355</v>
      </c>
    </row>
    <row r="37" spans="1:7" x14ac:dyDescent="0.25">
      <c r="A37" s="86">
        <v>10</v>
      </c>
      <c r="B37" s="88">
        <v>1.042</v>
      </c>
      <c r="C37" s="88">
        <v>1.0960000000000001</v>
      </c>
      <c r="D37" s="88">
        <v>1.1539999999999999</v>
      </c>
      <c r="E37" s="88">
        <v>1.2170000000000001</v>
      </c>
      <c r="F37" s="88">
        <v>1.286</v>
      </c>
      <c r="G37" s="88">
        <v>1.361</v>
      </c>
    </row>
    <row r="38" spans="1:7" x14ac:dyDescent="0.25">
      <c r="A38" s="86">
        <v>11</v>
      </c>
      <c r="B38" s="88">
        <v>1.046</v>
      </c>
      <c r="C38" s="88">
        <v>1.1000000000000001</v>
      </c>
      <c r="D38" s="88">
        <v>1.159</v>
      </c>
      <c r="E38" s="88">
        <v>1.2230000000000001</v>
      </c>
      <c r="F38" s="88">
        <v>1.292</v>
      </c>
      <c r="G38" s="88">
        <v>1.3680000000000001</v>
      </c>
    </row>
    <row r="44" spans="1:7" ht="39.6" customHeight="1" x14ac:dyDescent="0.25"/>
    <row r="46" spans="1:7" ht="27.6" customHeight="1" x14ac:dyDescent="0.25"/>
  </sheetData>
  <sheetProtection algorithmName="SHA-512" hashValue="zQU7pSzHW7G4L4aNtP5FGL92P12Uzve7ht2JMGH22bCH5Wmx1tpj9VMDun4Ibj+rSGrDvJJ9IIbWHcIcqlaUSA==" saltValue="kwqXWmXDZT4X5scAf4d5Ww==" spinCount="100000" sheet="1" objects="1" scenarios="1"/>
  <conditionalFormatting sqref="A6:A21">
    <cfRule type="expression" dxfId="169" priority="1" stopIfTrue="1">
      <formula>MOD(ROW(),2)=0</formula>
    </cfRule>
    <cfRule type="expression" dxfId="168" priority="2" stopIfTrue="1">
      <formula>MOD(ROW(),2)&lt;&gt;0</formula>
    </cfRule>
  </conditionalFormatting>
  <conditionalFormatting sqref="A26:A38">
    <cfRule type="expression" dxfId="167" priority="7" stopIfTrue="1">
      <formula>MOD(ROW(),2)=0</formula>
    </cfRule>
    <cfRule type="expression" dxfId="166" priority="8" stopIfTrue="1">
      <formula>MOD(ROW(),2)&lt;&gt;0</formula>
    </cfRule>
  </conditionalFormatting>
  <conditionalFormatting sqref="B17:B21">
    <cfRule type="expression" dxfId="165" priority="11" stopIfTrue="1">
      <formula>MOD(ROW(),2)=0</formula>
    </cfRule>
    <cfRule type="expression" dxfId="164" priority="12" stopIfTrue="1">
      <formula>MOD(ROW(),2)&lt;&gt;0</formula>
    </cfRule>
  </conditionalFormatting>
  <conditionalFormatting sqref="B6:G21 B26:G38">
    <cfRule type="expression" dxfId="163" priority="23" stopIfTrue="1">
      <formula>MOD(ROW(),2)=0</formula>
    </cfRule>
    <cfRule type="expression" dxfId="162" priority="24" stopIfTrue="1">
      <formula>MOD(ROW(),2)&lt;&gt;0</formula>
    </cfRule>
  </conditionalFormatting>
  <hyperlinks>
    <hyperlink ref="B24" location="Assumptions!A1" display="Assumptions" xr:uid="{8B704C50-E53E-452A-948B-E5CD02F54B0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9"/>
  <dimension ref="A1:AQ46"/>
  <sheetViews>
    <sheetView showGridLines="0" topLeftCell="Q1" zoomScale="84" zoomScaleNormal="84" workbookViewId="0">
      <selection activeCell="B6" sqref="B6:AQ21"/>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 England - Consolidated Factor Spreadsheet</v>
      </c>
      <c r="B2" s="42"/>
      <c r="C2" s="42"/>
      <c r="D2" s="42"/>
      <c r="E2" s="42"/>
      <c r="F2" s="42"/>
      <c r="G2" s="42"/>
      <c r="H2" s="42"/>
      <c r="I2" s="42"/>
    </row>
    <row r="3" spans="1:43" ht="15.6" x14ac:dyDescent="0.3">
      <c r="A3" s="43" t="str">
        <f>TABLE_FACTOR_TYPE_1&amp;" - x-"&amp;TABLE_SERIES_NUMBER_1</f>
        <v>Scheme pays AA - x-613</v>
      </c>
      <c r="B3" s="42"/>
      <c r="C3" s="42"/>
      <c r="D3" s="42"/>
      <c r="E3" s="42"/>
      <c r="F3" s="42"/>
      <c r="G3" s="42"/>
      <c r="H3" s="42"/>
      <c r="I3" s="42"/>
    </row>
    <row r="4" spans="1:43" x14ac:dyDescent="0.25">
      <c r="A4" s="44"/>
    </row>
    <row r="6" spans="1:43" x14ac:dyDescent="0.25">
      <c r="A6" s="74" t="s">
        <v>334</v>
      </c>
      <c r="B6" s="148" t="s">
        <v>335</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row>
    <row r="7" spans="1:43" x14ac:dyDescent="0.25">
      <c r="A7" s="76" t="s">
        <v>78</v>
      </c>
      <c r="B7" s="148" t="s">
        <v>67</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row>
    <row r="8" spans="1:43" x14ac:dyDescent="0.25">
      <c r="A8" s="76" t="s">
        <v>79</v>
      </c>
      <c r="B8" s="148">
        <v>1992</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row>
    <row r="9" spans="1:43" x14ac:dyDescent="0.25">
      <c r="A9" s="76" t="s">
        <v>80</v>
      </c>
      <c r="B9" s="148" t="s">
        <v>257</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row>
    <row r="10" spans="1:43" x14ac:dyDescent="0.25">
      <c r="A10" s="76" t="s">
        <v>6</v>
      </c>
      <c r="B10" s="148" t="s">
        <v>280</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row>
    <row r="11" spans="1:43" x14ac:dyDescent="0.25">
      <c r="A11" s="76" t="s">
        <v>81</v>
      </c>
      <c r="B11" s="148" t="s">
        <v>176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row>
    <row r="12" spans="1:43" x14ac:dyDescent="0.25">
      <c r="A12" s="76" t="s">
        <v>82</v>
      </c>
      <c r="B12" s="148" t="s">
        <v>177</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row>
    <row r="13" spans="1:43" x14ac:dyDescent="0.25">
      <c r="A13" s="76" t="s">
        <v>342</v>
      </c>
      <c r="B13" s="148">
        <v>2</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row>
    <row r="14" spans="1:43" x14ac:dyDescent="0.25">
      <c r="A14" s="76" t="s">
        <v>84</v>
      </c>
      <c r="B14" s="148">
        <v>613</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row>
    <row r="15" spans="1:43" x14ac:dyDescent="0.25">
      <c r="A15" s="76" t="s">
        <v>345</v>
      </c>
      <c r="B15" s="148" t="s">
        <v>281</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row>
    <row r="16" spans="1:43" x14ac:dyDescent="0.25">
      <c r="A16" s="76" t="s">
        <v>86</v>
      </c>
      <c r="B16" s="148" t="s">
        <v>282</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row>
    <row r="17" spans="1:43" x14ac:dyDescent="0.25">
      <c r="A17" s="76" t="s">
        <v>414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row>
    <row r="18" spans="1:43" x14ac:dyDescent="0.25">
      <c r="A18" s="76" t="s">
        <v>88</v>
      </c>
      <c r="B18" s="152">
        <v>45135</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row>
    <row r="19" spans="1:43" x14ac:dyDescent="0.25">
      <c r="A19" s="76" t="s">
        <v>89</v>
      </c>
      <c r="B19" s="152">
        <v>45135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row>
    <row r="20" spans="1:43" x14ac:dyDescent="0.25">
      <c r="A20" s="76" t="s">
        <v>90</v>
      </c>
      <c r="B20" s="148" t="s">
        <v>98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row>
    <row r="21" spans="1:43" x14ac:dyDescent="0.25">
      <c r="A21" s="72" t="s">
        <v>91</v>
      </c>
      <c r="B21" s="148" t="s">
        <v>99</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row>
    <row r="23" spans="1:43" x14ac:dyDescent="0.25">
      <c r="B23" s="89" t="str">
        <f>HYPERLINK("#'Factor List'!A1","Back to Factor List")</f>
        <v>Back to Factor List</v>
      </c>
    </row>
    <row r="24" spans="1:43" x14ac:dyDescent="0.25">
      <c r="B24" s="89" t="s">
        <v>13</v>
      </c>
    </row>
    <row r="25" spans="1:43" x14ac:dyDescent="0.25">
      <c r="B25" s="89"/>
    </row>
    <row r="26" spans="1:43" x14ac:dyDescent="0.25">
      <c r="A26" s="85" t="s">
        <v>439</v>
      </c>
      <c r="B26" s="85">
        <v>18</v>
      </c>
      <c r="C26" s="85">
        <v>19</v>
      </c>
      <c r="D26" s="85">
        <v>20</v>
      </c>
      <c r="E26" s="85">
        <v>21</v>
      </c>
      <c r="F26" s="85">
        <v>22</v>
      </c>
      <c r="G26" s="85">
        <v>23</v>
      </c>
      <c r="H26" s="85">
        <v>24</v>
      </c>
      <c r="I26" s="85">
        <v>25</v>
      </c>
      <c r="J26" s="85">
        <v>26</v>
      </c>
      <c r="K26" s="85">
        <v>27</v>
      </c>
      <c r="L26" s="85">
        <v>28</v>
      </c>
      <c r="M26" s="85">
        <v>29</v>
      </c>
      <c r="N26" s="85">
        <v>30</v>
      </c>
      <c r="O26" s="85">
        <v>31</v>
      </c>
      <c r="P26" s="85">
        <v>32</v>
      </c>
      <c r="Q26" s="85">
        <v>33</v>
      </c>
      <c r="R26" s="85">
        <v>34</v>
      </c>
      <c r="S26" s="85">
        <v>35</v>
      </c>
      <c r="T26" s="85">
        <v>36</v>
      </c>
      <c r="U26" s="85">
        <v>37</v>
      </c>
      <c r="V26" s="85">
        <v>38</v>
      </c>
      <c r="W26" s="85">
        <v>39</v>
      </c>
      <c r="X26" s="85">
        <v>40</v>
      </c>
      <c r="Y26" s="85">
        <v>41</v>
      </c>
      <c r="Z26" s="85">
        <v>42</v>
      </c>
      <c r="AA26" s="85">
        <v>43</v>
      </c>
      <c r="AB26" s="85">
        <v>44</v>
      </c>
      <c r="AC26" s="85">
        <v>45</v>
      </c>
      <c r="AD26" s="85">
        <v>46</v>
      </c>
      <c r="AE26" s="85">
        <v>47</v>
      </c>
      <c r="AF26" s="85">
        <v>48</v>
      </c>
      <c r="AG26" s="85">
        <v>49</v>
      </c>
      <c r="AH26" s="85">
        <v>50</v>
      </c>
      <c r="AI26" s="85">
        <v>51</v>
      </c>
      <c r="AJ26" s="85">
        <v>52</v>
      </c>
      <c r="AK26" s="85">
        <v>53</v>
      </c>
      <c r="AL26" s="85">
        <v>54</v>
      </c>
      <c r="AM26" s="85">
        <v>55</v>
      </c>
      <c r="AN26" s="85">
        <v>56</v>
      </c>
      <c r="AO26" s="85">
        <v>57</v>
      </c>
      <c r="AP26" s="85">
        <v>58</v>
      </c>
      <c r="AQ26" s="85">
        <v>59</v>
      </c>
    </row>
    <row r="27" spans="1:43" x14ac:dyDescent="0.25">
      <c r="A27" s="86">
        <v>0</v>
      </c>
      <c r="B27" s="88">
        <v>0.26700000000000002</v>
      </c>
      <c r="C27" s="88">
        <v>0.27300000000000002</v>
      </c>
      <c r="D27" s="88">
        <v>0.27900000000000003</v>
      </c>
      <c r="E27" s="88">
        <v>0.28599999999999998</v>
      </c>
      <c r="F27" s="88">
        <v>0.29299999999999998</v>
      </c>
      <c r="G27" s="88">
        <v>0.3</v>
      </c>
      <c r="H27" s="88">
        <v>0.307</v>
      </c>
      <c r="I27" s="88">
        <v>0.315</v>
      </c>
      <c r="J27" s="88">
        <v>0.32200000000000001</v>
      </c>
      <c r="K27" s="88">
        <v>0.33</v>
      </c>
      <c r="L27" s="88">
        <v>0.33900000000000002</v>
      </c>
      <c r="M27" s="88">
        <v>0.34799999999999998</v>
      </c>
      <c r="N27" s="88">
        <v>0.35699999999999998</v>
      </c>
      <c r="O27" s="88">
        <v>0.36599999999999999</v>
      </c>
      <c r="P27" s="88">
        <v>0.376</v>
      </c>
      <c r="Q27" s="88">
        <v>0.38600000000000001</v>
      </c>
      <c r="R27" s="88">
        <v>0.39700000000000002</v>
      </c>
      <c r="S27" s="88">
        <v>0.40799999999999997</v>
      </c>
      <c r="T27" s="88">
        <v>0.42</v>
      </c>
      <c r="U27" s="88">
        <v>0.432</v>
      </c>
      <c r="V27" s="88">
        <v>0.44500000000000001</v>
      </c>
      <c r="W27" s="88">
        <v>0.45800000000000002</v>
      </c>
      <c r="X27" s="88">
        <v>0.47199999999999998</v>
      </c>
      <c r="Y27" s="88">
        <v>0.48599999999999999</v>
      </c>
      <c r="Z27" s="88">
        <v>0.502</v>
      </c>
      <c r="AA27" s="88">
        <v>0.51800000000000002</v>
      </c>
      <c r="AB27" s="88">
        <v>0.53500000000000003</v>
      </c>
      <c r="AC27" s="88">
        <v>0.55200000000000005</v>
      </c>
      <c r="AD27" s="88">
        <v>0.57099999999999995</v>
      </c>
      <c r="AE27" s="88">
        <v>0.59099999999999997</v>
      </c>
      <c r="AF27" s="88">
        <v>0.61199999999999999</v>
      </c>
      <c r="AG27" s="88">
        <v>0.63400000000000001</v>
      </c>
      <c r="AH27" s="88">
        <v>0.65800000000000003</v>
      </c>
      <c r="AI27" s="88">
        <v>0.68300000000000005</v>
      </c>
      <c r="AJ27" s="88">
        <v>0.70899999999999996</v>
      </c>
      <c r="AK27" s="88">
        <v>0.73699999999999999</v>
      </c>
      <c r="AL27" s="88">
        <v>0.76700000000000002</v>
      </c>
      <c r="AM27" s="88">
        <v>0.8</v>
      </c>
      <c r="AN27" s="88">
        <v>0.83399999999999996</v>
      </c>
      <c r="AO27" s="88">
        <v>0.871</v>
      </c>
      <c r="AP27" s="88">
        <v>0.91100000000000003</v>
      </c>
      <c r="AQ27" s="88">
        <v>0.95399999999999996</v>
      </c>
    </row>
    <row r="28" spans="1:43" x14ac:dyDescent="0.25">
      <c r="A28" s="86">
        <v>1</v>
      </c>
      <c r="B28" s="88">
        <v>0.26700000000000002</v>
      </c>
      <c r="C28" s="88">
        <v>0.27300000000000002</v>
      </c>
      <c r="D28" s="88">
        <v>0.28000000000000003</v>
      </c>
      <c r="E28" s="88">
        <v>0.28599999999999998</v>
      </c>
      <c r="F28" s="88">
        <v>0.29299999999999998</v>
      </c>
      <c r="G28" s="88">
        <v>0.3</v>
      </c>
      <c r="H28" s="88">
        <v>0.308</v>
      </c>
      <c r="I28" s="88">
        <v>0.315</v>
      </c>
      <c r="J28" s="88">
        <v>0.32300000000000001</v>
      </c>
      <c r="K28" s="88">
        <v>0.33100000000000002</v>
      </c>
      <c r="L28" s="88">
        <v>0.34</v>
      </c>
      <c r="M28" s="88">
        <v>0.34799999999999998</v>
      </c>
      <c r="N28" s="88">
        <v>0.35799999999999998</v>
      </c>
      <c r="O28" s="88">
        <v>0.36699999999999999</v>
      </c>
      <c r="P28" s="88">
        <v>0.377</v>
      </c>
      <c r="Q28" s="88">
        <v>0.38700000000000001</v>
      </c>
      <c r="R28" s="88">
        <v>0.39800000000000002</v>
      </c>
      <c r="S28" s="88">
        <v>0.40899999999999997</v>
      </c>
      <c r="T28" s="88">
        <v>0.42099999999999999</v>
      </c>
      <c r="U28" s="88">
        <v>0.433</v>
      </c>
      <c r="V28" s="88">
        <v>0.44600000000000001</v>
      </c>
      <c r="W28" s="88">
        <v>0.45900000000000002</v>
      </c>
      <c r="X28" s="88">
        <v>0.47299999999999998</v>
      </c>
      <c r="Y28" s="88">
        <v>0.48799999999999999</v>
      </c>
      <c r="Z28" s="88">
        <v>0.503</v>
      </c>
      <c r="AA28" s="88">
        <v>0.51900000000000002</v>
      </c>
      <c r="AB28" s="88">
        <v>0.53600000000000003</v>
      </c>
      <c r="AC28" s="88">
        <v>0.55400000000000005</v>
      </c>
      <c r="AD28" s="88">
        <v>0.57299999999999995</v>
      </c>
      <c r="AE28" s="88">
        <v>0.59299999999999997</v>
      </c>
      <c r="AF28" s="88">
        <v>0.61399999999999999</v>
      </c>
      <c r="AG28" s="88">
        <v>0.63600000000000001</v>
      </c>
      <c r="AH28" s="88">
        <v>0.66</v>
      </c>
      <c r="AI28" s="88">
        <v>0.68500000000000005</v>
      </c>
      <c r="AJ28" s="88">
        <v>0.71099999999999997</v>
      </c>
      <c r="AK28" s="88">
        <v>0.74</v>
      </c>
      <c r="AL28" s="88">
        <v>0.77</v>
      </c>
      <c r="AM28" s="88">
        <v>0.80200000000000005</v>
      </c>
      <c r="AN28" s="88">
        <v>0.83699999999999997</v>
      </c>
      <c r="AO28" s="88">
        <v>0.874</v>
      </c>
      <c r="AP28" s="88">
        <v>0.91400000000000003</v>
      </c>
      <c r="AQ28" s="88">
        <v>0.95799999999999996</v>
      </c>
    </row>
    <row r="29" spans="1:43" x14ac:dyDescent="0.25">
      <c r="A29" s="86">
        <v>2</v>
      </c>
      <c r="B29" s="88">
        <v>0.26800000000000002</v>
      </c>
      <c r="C29" s="88">
        <v>0.27400000000000002</v>
      </c>
      <c r="D29" s="88">
        <v>0.28000000000000003</v>
      </c>
      <c r="E29" s="88">
        <v>0.28699999999999998</v>
      </c>
      <c r="F29" s="88">
        <v>0.29399999999999998</v>
      </c>
      <c r="G29" s="88">
        <v>0.30099999999999999</v>
      </c>
      <c r="H29" s="88">
        <v>0.308</v>
      </c>
      <c r="I29" s="88">
        <v>0.316</v>
      </c>
      <c r="J29" s="88">
        <v>0.32400000000000001</v>
      </c>
      <c r="K29" s="88">
        <v>0.33200000000000002</v>
      </c>
      <c r="L29" s="88">
        <v>0.34</v>
      </c>
      <c r="M29" s="88">
        <v>0.34899999999999998</v>
      </c>
      <c r="N29" s="88">
        <v>0.35799999999999998</v>
      </c>
      <c r="O29" s="88">
        <v>0.36799999999999999</v>
      </c>
      <c r="P29" s="88">
        <v>0.378</v>
      </c>
      <c r="Q29" s="88">
        <v>0.38800000000000001</v>
      </c>
      <c r="R29" s="88">
        <v>0.39900000000000002</v>
      </c>
      <c r="S29" s="88">
        <v>0.41</v>
      </c>
      <c r="T29" s="88">
        <v>0.42199999999999999</v>
      </c>
      <c r="U29" s="88">
        <v>0.434</v>
      </c>
      <c r="V29" s="88">
        <v>0.44700000000000001</v>
      </c>
      <c r="W29" s="88">
        <v>0.46</v>
      </c>
      <c r="X29" s="88">
        <v>0.47399999999999998</v>
      </c>
      <c r="Y29" s="88">
        <v>0.48899999999999999</v>
      </c>
      <c r="Z29" s="88">
        <v>0.504</v>
      </c>
      <c r="AA29" s="88">
        <v>0.52100000000000002</v>
      </c>
      <c r="AB29" s="88">
        <v>0.53800000000000003</v>
      </c>
      <c r="AC29" s="88">
        <v>0.55600000000000005</v>
      </c>
      <c r="AD29" s="88">
        <v>0.57399999999999995</v>
      </c>
      <c r="AE29" s="88">
        <v>0.59399999999999997</v>
      </c>
      <c r="AF29" s="88">
        <v>0.61599999999999999</v>
      </c>
      <c r="AG29" s="88">
        <v>0.63800000000000001</v>
      </c>
      <c r="AH29" s="88">
        <v>0.66200000000000003</v>
      </c>
      <c r="AI29" s="88">
        <v>0.68700000000000006</v>
      </c>
      <c r="AJ29" s="88">
        <v>0.71399999999999997</v>
      </c>
      <c r="AK29" s="88">
        <v>0.74199999999999999</v>
      </c>
      <c r="AL29" s="88">
        <v>0.77300000000000002</v>
      </c>
      <c r="AM29" s="88">
        <v>0.80500000000000005</v>
      </c>
      <c r="AN29" s="88">
        <v>0.84</v>
      </c>
      <c r="AO29" s="88">
        <v>0.878</v>
      </c>
      <c r="AP29" s="88">
        <v>0.91800000000000004</v>
      </c>
      <c r="AQ29" s="88">
        <v>0.96099999999999997</v>
      </c>
    </row>
    <row r="30" spans="1:43" x14ac:dyDescent="0.25">
      <c r="A30" s="86">
        <v>3</v>
      </c>
      <c r="B30" s="88">
        <v>0.26800000000000002</v>
      </c>
      <c r="C30" s="88">
        <v>0.27500000000000002</v>
      </c>
      <c r="D30" s="88">
        <v>0.28100000000000003</v>
      </c>
      <c r="E30" s="88">
        <v>0.28799999999999998</v>
      </c>
      <c r="F30" s="88">
        <v>0.29399999999999998</v>
      </c>
      <c r="G30" s="88">
        <v>0.30199999999999999</v>
      </c>
      <c r="H30" s="88">
        <v>0.309</v>
      </c>
      <c r="I30" s="88">
        <v>0.316</v>
      </c>
      <c r="J30" s="88">
        <v>0.32400000000000001</v>
      </c>
      <c r="K30" s="88">
        <v>0.33300000000000002</v>
      </c>
      <c r="L30" s="88">
        <v>0.34100000000000003</v>
      </c>
      <c r="M30" s="88">
        <v>0.35</v>
      </c>
      <c r="N30" s="88">
        <v>0.35899999999999999</v>
      </c>
      <c r="O30" s="88">
        <v>0.36899999999999999</v>
      </c>
      <c r="P30" s="88">
        <v>0.379</v>
      </c>
      <c r="Q30" s="88">
        <v>0.38900000000000001</v>
      </c>
      <c r="R30" s="88">
        <v>0.4</v>
      </c>
      <c r="S30" s="88">
        <v>0.41099999999999998</v>
      </c>
      <c r="T30" s="88">
        <v>0.42299999999999999</v>
      </c>
      <c r="U30" s="88">
        <v>0.435</v>
      </c>
      <c r="V30" s="88">
        <v>0.44800000000000001</v>
      </c>
      <c r="W30" s="88">
        <v>0.46100000000000002</v>
      </c>
      <c r="X30" s="88">
        <v>0.47499999999999998</v>
      </c>
      <c r="Y30" s="88">
        <v>0.49</v>
      </c>
      <c r="Z30" s="88">
        <v>0.50600000000000001</v>
      </c>
      <c r="AA30" s="88">
        <v>0.52200000000000002</v>
      </c>
      <c r="AB30" s="88">
        <v>0.53900000000000003</v>
      </c>
      <c r="AC30" s="88">
        <v>0.55700000000000005</v>
      </c>
      <c r="AD30" s="88">
        <v>0.57599999999999996</v>
      </c>
      <c r="AE30" s="88">
        <v>0.59599999999999997</v>
      </c>
      <c r="AF30" s="88">
        <v>0.61699999999999999</v>
      </c>
      <c r="AG30" s="88">
        <v>0.64</v>
      </c>
      <c r="AH30" s="88">
        <v>0.66400000000000003</v>
      </c>
      <c r="AI30" s="88">
        <v>0.68899999999999995</v>
      </c>
      <c r="AJ30" s="88">
        <v>0.71599999999999997</v>
      </c>
      <c r="AK30" s="88">
        <v>0.745</v>
      </c>
      <c r="AL30" s="88">
        <v>0.77500000000000002</v>
      </c>
      <c r="AM30" s="88">
        <v>0.80800000000000005</v>
      </c>
      <c r="AN30" s="88">
        <v>0.84299999999999997</v>
      </c>
      <c r="AO30" s="88">
        <v>0.88100000000000001</v>
      </c>
      <c r="AP30" s="88">
        <v>0.92200000000000004</v>
      </c>
      <c r="AQ30" s="88">
        <v>0.96499999999999997</v>
      </c>
    </row>
    <row r="31" spans="1:43" x14ac:dyDescent="0.25">
      <c r="A31" s="86">
        <v>4</v>
      </c>
      <c r="B31" s="88">
        <v>0.26900000000000002</v>
      </c>
      <c r="C31" s="88">
        <v>0.27500000000000002</v>
      </c>
      <c r="D31" s="88">
        <v>0.28100000000000003</v>
      </c>
      <c r="E31" s="88">
        <v>0.28799999999999998</v>
      </c>
      <c r="F31" s="88">
        <v>0.29499999999999998</v>
      </c>
      <c r="G31" s="88">
        <v>0.30199999999999999</v>
      </c>
      <c r="H31" s="88">
        <v>0.31</v>
      </c>
      <c r="I31" s="88">
        <v>0.317</v>
      </c>
      <c r="J31" s="88">
        <v>0.32500000000000001</v>
      </c>
      <c r="K31" s="88">
        <v>0.33300000000000002</v>
      </c>
      <c r="L31" s="88">
        <v>0.34200000000000003</v>
      </c>
      <c r="M31" s="88">
        <v>0.35099999999999998</v>
      </c>
      <c r="N31" s="88">
        <v>0.36</v>
      </c>
      <c r="O31" s="88">
        <v>0.36899999999999999</v>
      </c>
      <c r="P31" s="88">
        <v>0.379</v>
      </c>
      <c r="Q31" s="88">
        <v>0.39</v>
      </c>
      <c r="R31" s="88">
        <v>0.40100000000000002</v>
      </c>
      <c r="S31" s="88">
        <v>0.41199999999999998</v>
      </c>
      <c r="T31" s="88">
        <v>0.42399999999999999</v>
      </c>
      <c r="U31" s="88">
        <v>0.436</v>
      </c>
      <c r="V31" s="88">
        <v>0.44900000000000001</v>
      </c>
      <c r="W31" s="88">
        <v>0.46200000000000002</v>
      </c>
      <c r="X31" s="88">
        <v>0.47699999999999998</v>
      </c>
      <c r="Y31" s="88">
        <v>0.49099999999999999</v>
      </c>
      <c r="Z31" s="88">
        <v>0.50700000000000001</v>
      </c>
      <c r="AA31" s="88">
        <v>0.52300000000000002</v>
      </c>
      <c r="AB31" s="88">
        <v>0.54100000000000004</v>
      </c>
      <c r="AC31" s="88">
        <v>0.55900000000000005</v>
      </c>
      <c r="AD31" s="88">
        <v>0.57799999999999996</v>
      </c>
      <c r="AE31" s="88">
        <v>0.59799999999999998</v>
      </c>
      <c r="AF31" s="88">
        <v>0.61899999999999999</v>
      </c>
      <c r="AG31" s="88">
        <v>0.64200000000000002</v>
      </c>
      <c r="AH31" s="88">
        <v>0.66600000000000004</v>
      </c>
      <c r="AI31" s="88">
        <v>0.69099999999999995</v>
      </c>
      <c r="AJ31" s="88">
        <v>0.71799999999999997</v>
      </c>
      <c r="AK31" s="88">
        <v>0.747</v>
      </c>
      <c r="AL31" s="88">
        <v>0.77800000000000002</v>
      </c>
      <c r="AM31" s="88">
        <v>0.81100000000000005</v>
      </c>
      <c r="AN31" s="88">
        <v>0.84599999999999997</v>
      </c>
      <c r="AO31" s="88">
        <v>0.88400000000000001</v>
      </c>
      <c r="AP31" s="88">
        <v>0.92500000000000004</v>
      </c>
      <c r="AQ31" s="88">
        <v>0.96899999999999997</v>
      </c>
    </row>
    <row r="32" spans="1:43" x14ac:dyDescent="0.25">
      <c r="A32" s="86">
        <v>5</v>
      </c>
      <c r="B32" s="88">
        <v>0.26900000000000002</v>
      </c>
      <c r="C32" s="88">
        <v>0.27600000000000002</v>
      </c>
      <c r="D32" s="88">
        <v>0.28199999999999997</v>
      </c>
      <c r="E32" s="88">
        <v>0.28899999999999998</v>
      </c>
      <c r="F32" s="88">
        <v>0.29599999999999999</v>
      </c>
      <c r="G32" s="88">
        <v>0.30299999999999999</v>
      </c>
      <c r="H32" s="88">
        <v>0.31</v>
      </c>
      <c r="I32" s="88">
        <v>0.318</v>
      </c>
      <c r="J32" s="88">
        <v>0.32600000000000001</v>
      </c>
      <c r="K32" s="88">
        <v>0.33400000000000002</v>
      </c>
      <c r="L32" s="88">
        <v>0.34300000000000003</v>
      </c>
      <c r="M32" s="88">
        <v>0.35099999999999998</v>
      </c>
      <c r="N32" s="88">
        <v>0.36099999999999999</v>
      </c>
      <c r="O32" s="88">
        <v>0.37</v>
      </c>
      <c r="P32" s="88">
        <v>0.38</v>
      </c>
      <c r="Q32" s="88">
        <v>0.39100000000000001</v>
      </c>
      <c r="R32" s="88">
        <v>0.40200000000000002</v>
      </c>
      <c r="S32" s="88">
        <v>0.41299999999999998</v>
      </c>
      <c r="T32" s="88">
        <v>0.42499999999999999</v>
      </c>
      <c r="U32" s="88">
        <v>0.437</v>
      </c>
      <c r="V32" s="88">
        <v>0.45</v>
      </c>
      <c r="W32" s="88">
        <v>0.46400000000000002</v>
      </c>
      <c r="X32" s="88">
        <v>0.47799999999999998</v>
      </c>
      <c r="Y32" s="88">
        <v>0.49299999999999999</v>
      </c>
      <c r="Z32" s="88">
        <v>0.50800000000000001</v>
      </c>
      <c r="AA32" s="88">
        <v>0.52500000000000002</v>
      </c>
      <c r="AB32" s="88">
        <v>0.54200000000000004</v>
      </c>
      <c r="AC32" s="88">
        <v>0.56000000000000005</v>
      </c>
      <c r="AD32" s="88">
        <v>0.57899999999999996</v>
      </c>
      <c r="AE32" s="88">
        <v>0.6</v>
      </c>
      <c r="AF32" s="88">
        <v>0.621</v>
      </c>
      <c r="AG32" s="88">
        <v>0.64400000000000002</v>
      </c>
      <c r="AH32" s="88">
        <v>0.66800000000000004</v>
      </c>
      <c r="AI32" s="88">
        <v>0.69399999999999995</v>
      </c>
      <c r="AJ32" s="88">
        <v>0.72099999999999997</v>
      </c>
      <c r="AK32" s="88">
        <v>0.75</v>
      </c>
      <c r="AL32" s="88">
        <v>0.78100000000000003</v>
      </c>
      <c r="AM32" s="88">
        <v>0.81399999999999995</v>
      </c>
      <c r="AN32" s="88">
        <v>0.84899999999999998</v>
      </c>
      <c r="AO32" s="88">
        <v>0.88800000000000001</v>
      </c>
      <c r="AP32" s="88">
        <v>0.92900000000000005</v>
      </c>
      <c r="AQ32" s="88">
        <v>0.97299999999999998</v>
      </c>
    </row>
    <row r="33" spans="1:43" x14ac:dyDescent="0.25">
      <c r="A33" s="86">
        <v>6</v>
      </c>
      <c r="B33" s="88">
        <v>0.27</v>
      </c>
      <c r="C33" s="88">
        <v>0.27600000000000002</v>
      </c>
      <c r="D33" s="88">
        <v>0.28299999999999997</v>
      </c>
      <c r="E33" s="88">
        <v>0.28899999999999998</v>
      </c>
      <c r="F33" s="88">
        <v>0.29599999999999999</v>
      </c>
      <c r="G33" s="88">
        <v>0.30299999999999999</v>
      </c>
      <c r="H33" s="88">
        <v>0.311</v>
      </c>
      <c r="I33" s="88">
        <v>0.318</v>
      </c>
      <c r="J33" s="88">
        <v>0.32600000000000001</v>
      </c>
      <c r="K33" s="88">
        <v>0.33500000000000002</v>
      </c>
      <c r="L33" s="88">
        <v>0.34300000000000003</v>
      </c>
      <c r="M33" s="88">
        <v>0.35199999999999998</v>
      </c>
      <c r="N33" s="88">
        <v>0.36099999999999999</v>
      </c>
      <c r="O33" s="88">
        <v>0.371</v>
      </c>
      <c r="P33" s="88">
        <v>0.38100000000000001</v>
      </c>
      <c r="Q33" s="88">
        <v>0.39200000000000002</v>
      </c>
      <c r="R33" s="88">
        <v>0.40300000000000002</v>
      </c>
      <c r="S33" s="88">
        <v>0.41399999999999998</v>
      </c>
      <c r="T33" s="88">
        <v>0.42599999999999999</v>
      </c>
      <c r="U33" s="88">
        <v>0.438</v>
      </c>
      <c r="V33" s="88">
        <v>0.45100000000000001</v>
      </c>
      <c r="W33" s="88">
        <v>0.46500000000000002</v>
      </c>
      <c r="X33" s="88">
        <v>0.47899999999999998</v>
      </c>
      <c r="Y33" s="88">
        <v>0.49399999999999999</v>
      </c>
      <c r="Z33" s="88">
        <v>0.51</v>
      </c>
      <c r="AA33" s="88">
        <v>0.52600000000000002</v>
      </c>
      <c r="AB33" s="88">
        <v>0.54400000000000004</v>
      </c>
      <c r="AC33" s="88">
        <v>0.56200000000000006</v>
      </c>
      <c r="AD33" s="88">
        <v>0.58099999999999996</v>
      </c>
      <c r="AE33" s="88">
        <v>0.60099999999999998</v>
      </c>
      <c r="AF33" s="88">
        <v>0.623</v>
      </c>
      <c r="AG33" s="88">
        <v>0.64600000000000002</v>
      </c>
      <c r="AH33" s="88">
        <v>0.67</v>
      </c>
      <c r="AI33" s="88">
        <v>0.69599999999999995</v>
      </c>
      <c r="AJ33" s="88">
        <v>0.72299999999999998</v>
      </c>
      <c r="AK33" s="88">
        <v>0.752</v>
      </c>
      <c r="AL33" s="88">
        <v>0.78300000000000003</v>
      </c>
      <c r="AM33" s="88">
        <v>0.81699999999999995</v>
      </c>
      <c r="AN33" s="88">
        <v>0.85299999999999998</v>
      </c>
      <c r="AO33" s="88">
        <v>0.89100000000000001</v>
      </c>
      <c r="AP33" s="88">
        <v>0.93200000000000005</v>
      </c>
      <c r="AQ33" s="88">
        <v>0.97699999999999998</v>
      </c>
    </row>
    <row r="34" spans="1:43" x14ac:dyDescent="0.25">
      <c r="A34" s="86">
        <v>7</v>
      </c>
      <c r="B34" s="88">
        <v>0.27</v>
      </c>
      <c r="C34" s="88">
        <v>0.27700000000000002</v>
      </c>
      <c r="D34" s="88">
        <v>0.28299999999999997</v>
      </c>
      <c r="E34" s="88">
        <v>0.28999999999999998</v>
      </c>
      <c r="F34" s="88">
        <v>0.29699999999999999</v>
      </c>
      <c r="G34" s="88">
        <v>0.30399999999999999</v>
      </c>
      <c r="H34" s="88">
        <v>0.311</v>
      </c>
      <c r="I34" s="88">
        <v>0.31900000000000001</v>
      </c>
      <c r="J34" s="88">
        <v>0.32700000000000001</v>
      </c>
      <c r="K34" s="88">
        <v>0.33500000000000002</v>
      </c>
      <c r="L34" s="88">
        <v>0.34399999999999997</v>
      </c>
      <c r="M34" s="88">
        <v>0.35299999999999998</v>
      </c>
      <c r="N34" s="88">
        <v>0.36199999999999999</v>
      </c>
      <c r="O34" s="88">
        <v>0.372</v>
      </c>
      <c r="P34" s="88">
        <v>0.38200000000000001</v>
      </c>
      <c r="Q34" s="88">
        <v>0.39300000000000002</v>
      </c>
      <c r="R34" s="88">
        <v>0.40300000000000002</v>
      </c>
      <c r="S34" s="88">
        <v>0.41499999999999998</v>
      </c>
      <c r="T34" s="88">
        <v>0.42699999999999999</v>
      </c>
      <c r="U34" s="88">
        <v>0.439</v>
      </c>
      <c r="V34" s="88">
        <v>0.45200000000000001</v>
      </c>
      <c r="W34" s="88">
        <v>0.46600000000000003</v>
      </c>
      <c r="X34" s="88">
        <v>0.48</v>
      </c>
      <c r="Y34" s="88">
        <v>0.495</v>
      </c>
      <c r="Z34" s="88">
        <v>0.51100000000000001</v>
      </c>
      <c r="AA34" s="88">
        <v>0.52800000000000002</v>
      </c>
      <c r="AB34" s="88">
        <v>0.54500000000000004</v>
      </c>
      <c r="AC34" s="88">
        <v>0.56299999999999994</v>
      </c>
      <c r="AD34" s="88">
        <v>0.58299999999999996</v>
      </c>
      <c r="AE34" s="88">
        <v>0.60299999999999998</v>
      </c>
      <c r="AF34" s="88">
        <v>0.625</v>
      </c>
      <c r="AG34" s="88">
        <v>0.64800000000000002</v>
      </c>
      <c r="AH34" s="88">
        <v>0.67200000000000004</v>
      </c>
      <c r="AI34" s="88">
        <v>0.69799999999999995</v>
      </c>
      <c r="AJ34" s="88">
        <v>0.72499999999999998</v>
      </c>
      <c r="AK34" s="88">
        <v>0.755</v>
      </c>
      <c r="AL34" s="88">
        <v>0.78600000000000003</v>
      </c>
      <c r="AM34" s="88">
        <v>0.82</v>
      </c>
      <c r="AN34" s="88">
        <v>0.85599999999999998</v>
      </c>
      <c r="AO34" s="88">
        <v>0.89400000000000002</v>
      </c>
      <c r="AP34" s="88">
        <v>0.93600000000000005</v>
      </c>
      <c r="AQ34" s="88">
        <v>0.98099999999999998</v>
      </c>
    </row>
    <row r="35" spans="1:43" x14ac:dyDescent="0.25">
      <c r="A35" s="86">
        <v>8</v>
      </c>
      <c r="B35" s="88">
        <v>0.27100000000000002</v>
      </c>
      <c r="C35" s="88">
        <v>0.27700000000000002</v>
      </c>
      <c r="D35" s="88">
        <v>0.28399999999999997</v>
      </c>
      <c r="E35" s="88">
        <v>0.28999999999999998</v>
      </c>
      <c r="F35" s="88">
        <v>0.29699999999999999</v>
      </c>
      <c r="G35" s="88">
        <v>0.30499999999999999</v>
      </c>
      <c r="H35" s="88">
        <v>0.312</v>
      </c>
      <c r="I35" s="88">
        <v>0.32</v>
      </c>
      <c r="J35" s="88">
        <v>0.32800000000000001</v>
      </c>
      <c r="K35" s="88">
        <v>0.33600000000000002</v>
      </c>
      <c r="L35" s="88">
        <v>0.34499999999999997</v>
      </c>
      <c r="M35" s="88">
        <v>0.35399999999999998</v>
      </c>
      <c r="N35" s="88">
        <v>0.36299999999999999</v>
      </c>
      <c r="O35" s="88">
        <v>0.373</v>
      </c>
      <c r="P35" s="88">
        <v>0.38300000000000001</v>
      </c>
      <c r="Q35" s="88">
        <v>0.39300000000000002</v>
      </c>
      <c r="R35" s="88">
        <v>0.40400000000000003</v>
      </c>
      <c r="S35" s="88">
        <v>0.41599999999999998</v>
      </c>
      <c r="T35" s="88">
        <v>0.42799999999999999</v>
      </c>
      <c r="U35" s="88">
        <v>0.44</v>
      </c>
      <c r="V35" s="88">
        <v>0.45300000000000001</v>
      </c>
      <c r="W35" s="88">
        <v>0.46700000000000003</v>
      </c>
      <c r="X35" s="88">
        <v>0.48099999999999998</v>
      </c>
      <c r="Y35" s="88">
        <v>0.497</v>
      </c>
      <c r="Z35" s="88">
        <v>0.51200000000000001</v>
      </c>
      <c r="AA35" s="88">
        <v>0.52900000000000003</v>
      </c>
      <c r="AB35" s="88">
        <v>0.54600000000000004</v>
      </c>
      <c r="AC35" s="88">
        <v>0.56499999999999995</v>
      </c>
      <c r="AD35" s="88">
        <v>0.58399999999999996</v>
      </c>
      <c r="AE35" s="88">
        <v>0.60499999999999998</v>
      </c>
      <c r="AF35" s="88">
        <v>0.627</v>
      </c>
      <c r="AG35" s="88">
        <v>0.65</v>
      </c>
      <c r="AH35" s="88">
        <v>0.67400000000000004</v>
      </c>
      <c r="AI35" s="88">
        <v>0.7</v>
      </c>
      <c r="AJ35" s="88">
        <v>0.72799999999999998</v>
      </c>
      <c r="AK35" s="88">
        <v>0.75700000000000001</v>
      </c>
      <c r="AL35" s="88">
        <v>0.78900000000000003</v>
      </c>
      <c r="AM35" s="88">
        <v>0.82299999999999995</v>
      </c>
      <c r="AN35" s="88">
        <v>0.85899999999999999</v>
      </c>
      <c r="AO35" s="88">
        <v>0.89800000000000002</v>
      </c>
      <c r="AP35" s="88">
        <v>0.93899999999999995</v>
      </c>
      <c r="AQ35" s="88">
        <v>0.98499999999999999</v>
      </c>
    </row>
    <row r="36" spans="1:43" x14ac:dyDescent="0.25">
      <c r="A36" s="86">
        <v>9</v>
      </c>
      <c r="B36" s="88">
        <v>0.27100000000000002</v>
      </c>
      <c r="C36" s="88">
        <v>0.27800000000000002</v>
      </c>
      <c r="D36" s="88">
        <v>0.28399999999999997</v>
      </c>
      <c r="E36" s="88">
        <v>0.29099999999999998</v>
      </c>
      <c r="F36" s="88">
        <v>0.29799999999999999</v>
      </c>
      <c r="G36" s="88">
        <v>0.30499999999999999</v>
      </c>
      <c r="H36" s="88">
        <v>0.313</v>
      </c>
      <c r="I36" s="88">
        <v>0.32</v>
      </c>
      <c r="J36" s="88">
        <v>0.32800000000000001</v>
      </c>
      <c r="K36" s="88">
        <v>0.33700000000000002</v>
      </c>
      <c r="L36" s="88">
        <v>0.34499999999999997</v>
      </c>
      <c r="M36" s="88">
        <v>0.35399999999999998</v>
      </c>
      <c r="N36" s="88">
        <v>0.36399999999999999</v>
      </c>
      <c r="O36" s="88">
        <v>0.374</v>
      </c>
      <c r="P36" s="88">
        <v>0.38400000000000001</v>
      </c>
      <c r="Q36" s="88">
        <v>0.39400000000000002</v>
      </c>
      <c r="R36" s="88">
        <v>0.40500000000000003</v>
      </c>
      <c r="S36" s="88">
        <v>0.41699999999999998</v>
      </c>
      <c r="T36" s="88">
        <v>0.42899999999999999</v>
      </c>
      <c r="U36" s="88">
        <v>0.441</v>
      </c>
      <c r="V36" s="88">
        <v>0.45500000000000002</v>
      </c>
      <c r="W36" s="88">
        <v>0.46800000000000003</v>
      </c>
      <c r="X36" s="88">
        <v>0.48299999999999998</v>
      </c>
      <c r="Y36" s="88">
        <v>0.498</v>
      </c>
      <c r="Z36" s="88">
        <v>0.51400000000000001</v>
      </c>
      <c r="AA36" s="88">
        <v>0.53</v>
      </c>
      <c r="AB36" s="88">
        <v>0.54800000000000004</v>
      </c>
      <c r="AC36" s="88">
        <v>0.56599999999999995</v>
      </c>
      <c r="AD36" s="88">
        <v>0.58599999999999997</v>
      </c>
      <c r="AE36" s="88">
        <v>0.60699999999999998</v>
      </c>
      <c r="AF36" s="88">
        <v>0.629</v>
      </c>
      <c r="AG36" s="88">
        <v>0.65200000000000002</v>
      </c>
      <c r="AH36" s="88">
        <v>0.67600000000000005</v>
      </c>
      <c r="AI36" s="88">
        <v>0.70199999999999996</v>
      </c>
      <c r="AJ36" s="88">
        <v>0.73</v>
      </c>
      <c r="AK36" s="88">
        <v>0.76</v>
      </c>
      <c r="AL36" s="88">
        <v>0.79200000000000004</v>
      </c>
      <c r="AM36" s="88">
        <v>0.82499999999999996</v>
      </c>
      <c r="AN36" s="88">
        <v>0.86199999999999999</v>
      </c>
      <c r="AO36" s="88">
        <v>0.90100000000000002</v>
      </c>
      <c r="AP36" s="88">
        <v>0.94299999999999995</v>
      </c>
      <c r="AQ36" s="88">
        <v>0.98799999999999999</v>
      </c>
    </row>
    <row r="37" spans="1:43" x14ac:dyDescent="0.25">
      <c r="A37" s="86">
        <v>10</v>
      </c>
      <c r="B37" s="88">
        <v>0.27200000000000002</v>
      </c>
      <c r="C37" s="88">
        <v>0.27800000000000002</v>
      </c>
      <c r="D37" s="88">
        <v>0.28499999999999998</v>
      </c>
      <c r="E37" s="88">
        <v>0.29199999999999998</v>
      </c>
      <c r="F37" s="88">
        <v>0.29899999999999999</v>
      </c>
      <c r="G37" s="88">
        <v>0.30599999999999999</v>
      </c>
      <c r="H37" s="88">
        <v>0.313</v>
      </c>
      <c r="I37" s="88">
        <v>0.32100000000000001</v>
      </c>
      <c r="J37" s="88">
        <v>0.32900000000000001</v>
      </c>
      <c r="K37" s="88">
        <v>0.33800000000000002</v>
      </c>
      <c r="L37" s="88">
        <v>0.34599999999999997</v>
      </c>
      <c r="M37" s="88">
        <v>0.35499999999999998</v>
      </c>
      <c r="N37" s="88">
        <v>0.36499999999999999</v>
      </c>
      <c r="O37" s="88">
        <v>0.374</v>
      </c>
      <c r="P37" s="88">
        <v>0.38500000000000001</v>
      </c>
      <c r="Q37" s="88">
        <v>0.39500000000000002</v>
      </c>
      <c r="R37" s="88">
        <v>0.40600000000000003</v>
      </c>
      <c r="S37" s="88">
        <v>0.41799999999999998</v>
      </c>
      <c r="T37" s="88">
        <v>0.43</v>
      </c>
      <c r="U37" s="88">
        <v>0.442</v>
      </c>
      <c r="V37" s="88">
        <v>0.45600000000000002</v>
      </c>
      <c r="W37" s="88">
        <v>0.46899999999999997</v>
      </c>
      <c r="X37" s="88">
        <v>0.48399999999999999</v>
      </c>
      <c r="Y37" s="88">
        <v>0.499</v>
      </c>
      <c r="Z37" s="88">
        <v>0.51500000000000001</v>
      </c>
      <c r="AA37" s="88">
        <v>0.53200000000000003</v>
      </c>
      <c r="AB37" s="88">
        <v>0.54900000000000004</v>
      </c>
      <c r="AC37" s="88">
        <v>0.56799999999999995</v>
      </c>
      <c r="AD37" s="88">
        <v>0.58799999999999997</v>
      </c>
      <c r="AE37" s="88">
        <v>0.60799999999999998</v>
      </c>
      <c r="AF37" s="88">
        <v>0.63</v>
      </c>
      <c r="AG37" s="88">
        <v>0.65400000000000003</v>
      </c>
      <c r="AH37" s="88">
        <v>0.67800000000000005</v>
      </c>
      <c r="AI37" s="88">
        <v>0.70499999999999996</v>
      </c>
      <c r="AJ37" s="88">
        <v>0.73299999999999998</v>
      </c>
      <c r="AK37" s="88">
        <v>0.76200000000000001</v>
      </c>
      <c r="AL37" s="88">
        <v>0.79400000000000004</v>
      </c>
      <c r="AM37" s="88">
        <v>0.82799999999999996</v>
      </c>
      <c r="AN37" s="88">
        <v>0.86499999999999999</v>
      </c>
      <c r="AO37" s="88">
        <v>0.90400000000000003</v>
      </c>
      <c r="AP37" s="88">
        <v>0.94699999999999995</v>
      </c>
      <c r="AQ37" s="88">
        <v>0.99199999999999999</v>
      </c>
    </row>
    <row r="38" spans="1:43" x14ac:dyDescent="0.25">
      <c r="A38" s="86">
        <v>11</v>
      </c>
      <c r="B38" s="88">
        <v>0.27200000000000002</v>
      </c>
      <c r="C38" s="88">
        <v>0.27900000000000003</v>
      </c>
      <c r="D38" s="88">
        <v>0.28499999999999998</v>
      </c>
      <c r="E38" s="88">
        <v>0.29199999999999998</v>
      </c>
      <c r="F38" s="88">
        <v>0.29899999999999999</v>
      </c>
      <c r="G38" s="88">
        <v>0.30599999999999999</v>
      </c>
      <c r="H38" s="88">
        <v>0.314</v>
      </c>
      <c r="I38" s="88">
        <v>0.32200000000000001</v>
      </c>
      <c r="J38" s="88">
        <v>0.33</v>
      </c>
      <c r="K38" s="88">
        <v>0.33800000000000002</v>
      </c>
      <c r="L38" s="88">
        <v>0.34699999999999998</v>
      </c>
      <c r="M38" s="88">
        <v>0.35599999999999998</v>
      </c>
      <c r="N38" s="88">
        <v>0.36499999999999999</v>
      </c>
      <c r="O38" s="88">
        <v>0.375</v>
      </c>
      <c r="P38" s="88">
        <v>0.38500000000000001</v>
      </c>
      <c r="Q38" s="88">
        <v>0.39600000000000002</v>
      </c>
      <c r="R38" s="88">
        <v>0.40699999999999997</v>
      </c>
      <c r="S38" s="88">
        <v>0.41899999999999998</v>
      </c>
      <c r="T38" s="88">
        <v>0.43099999999999999</v>
      </c>
      <c r="U38" s="88">
        <v>0.443</v>
      </c>
      <c r="V38" s="88">
        <v>0.45700000000000002</v>
      </c>
      <c r="W38" s="88">
        <v>0.47099999999999997</v>
      </c>
      <c r="X38" s="88">
        <v>0.48499999999999999</v>
      </c>
      <c r="Y38" s="88">
        <v>0.5</v>
      </c>
      <c r="Z38" s="88">
        <v>0.51600000000000001</v>
      </c>
      <c r="AA38" s="88">
        <v>0.53300000000000003</v>
      </c>
      <c r="AB38" s="88">
        <v>0.55100000000000005</v>
      </c>
      <c r="AC38" s="88">
        <v>0.56999999999999995</v>
      </c>
      <c r="AD38" s="88">
        <v>0.58899999999999997</v>
      </c>
      <c r="AE38" s="88">
        <v>0.61</v>
      </c>
      <c r="AF38" s="88">
        <v>0.63200000000000001</v>
      </c>
      <c r="AG38" s="88">
        <v>0.65600000000000003</v>
      </c>
      <c r="AH38" s="88">
        <v>0.68</v>
      </c>
      <c r="AI38" s="88">
        <v>0.70699999999999996</v>
      </c>
      <c r="AJ38" s="88">
        <v>0.73499999999999999</v>
      </c>
      <c r="AK38" s="88">
        <v>0.76500000000000001</v>
      </c>
      <c r="AL38" s="88">
        <v>0.79700000000000004</v>
      </c>
      <c r="AM38" s="88">
        <v>0.83099999999999996</v>
      </c>
      <c r="AN38" s="88">
        <v>0.86799999999999999</v>
      </c>
      <c r="AO38" s="88">
        <v>0.90800000000000003</v>
      </c>
      <c r="AP38" s="88">
        <v>0.95</v>
      </c>
      <c r="AQ38" s="88">
        <v>0.996</v>
      </c>
    </row>
    <row r="44" spans="1:43" ht="39.6" customHeight="1" x14ac:dyDescent="0.25"/>
    <row r="46" spans="1:43" ht="27.6" customHeight="1" x14ac:dyDescent="0.25"/>
  </sheetData>
  <sheetProtection algorithmName="SHA-512" hashValue="VdQxWxFSkzC34EYwh6vmhY1JOLkk2kOETh0rKn+QPJ9urqNntJP1+p7N6SHNmTuxF0tI1+ZkoXOs9gVcqcnYdQ==" saltValue="TNcsMvxIU2Vxh4QG5kCyUw==" spinCount="100000" sheet="1" objects="1" scenarios="1"/>
  <conditionalFormatting sqref="A6:A21">
    <cfRule type="expression" dxfId="161" priority="1" stopIfTrue="1">
      <formula>MOD(ROW(),2)=0</formula>
    </cfRule>
    <cfRule type="expression" dxfId="160" priority="2" stopIfTrue="1">
      <formula>MOD(ROW(),2)&lt;&gt;0</formula>
    </cfRule>
  </conditionalFormatting>
  <conditionalFormatting sqref="A26:A38">
    <cfRule type="expression" dxfId="159" priority="7" stopIfTrue="1">
      <formula>MOD(ROW(),2)=0</formula>
    </cfRule>
    <cfRule type="expression" dxfId="158" priority="8" stopIfTrue="1">
      <formula>MOD(ROW(),2)&lt;&gt;0</formula>
    </cfRule>
  </conditionalFormatting>
  <conditionalFormatting sqref="B17:B21">
    <cfRule type="expression" dxfId="157" priority="11" stopIfTrue="1">
      <formula>MOD(ROW(),2)=0</formula>
    </cfRule>
    <cfRule type="expression" dxfId="156" priority="12" stopIfTrue="1">
      <formula>MOD(ROW(),2)&lt;&gt;0</formula>
    </cfRule>
  </conditionalFormatting>
  <conditionalFormatting sqref="B6:AQ21 B26:AQ38">
    <cfRule type="expression" dxfId="155" priority="23" stopIfTrue="1">
      <formula>MOD(ROW(),2)=0</formula>
    </cfRule>
    <cfRule type="expression" dxfId="154" priority="24" stopIfTrue="1">
      <formula>MOD(ROW(),2)&lt;&gt;0</formula>
    </cfRule>
  </conditionalFormatting>
  <hyperlinks>
    <hyperlink ref="B24" location="Assumptions!A1" display="Assumptions" xr:uid="{38CAB3F4-E77D-413D-A223-1CA6C7FFD2E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dimension ref="A1:K46"/>
  <sheetViews>
    <sheetView showGridLines="0" topLeftCell="A2"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Scheme pays AA - x-614</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2006</v>
      </c>
      <c r="C8" s="148"/>
      <c r="D8" s="148"/>
      <c r="E8" s="148"/>
      <c r="F8" s="148"/>
      <c r="G8" s="148"/>
      <c r="H8" s="148"/>
      <c r="I8" s="148"/>
      <c r="J8" s="148"/>
      <c r="K8" s="148"/>
    </row>
    <row r="9" spans="1:11" x14ac:dyDescent="0.25">
      <c r="A9" s="76" t="s">
        <v>80</v>
      </c>
      <c r="B9" s="148" t="s">
        <v>257</v>
      </c>
      <c r="C9" s="148"/>
      <c r="D9" s="148"/>
      <c r="E9" s="148"/>
      <c r="F9" s="148"/>
      <c r="G9" s="148"/>
      <c r="H9" s="148"/>
      <c r="I9" s="148"/>
      <c r="J9" s="148"/>
      <c r="K9" s="148"/>
    </row>
    <row r="10" spans="1:11" x14ac:dyDescent="0.25">
      <c r="A10" s="76" t="s">
        <v>6</v>
      </c>
      <c r="B10" s="148" t="s">
        <v>283</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284</v>
      </c>
      <c r="C12" s="148"/>
      <c r="D12" s="148"/>
      <c r="E12" s="148"/>
      <c r="F12" s="148"/>
      <c r="G12" s="148"/>
      <c r="H12" s="148"/>
      <c r="I12" s="148"/>
      <c r="J12" s="148"/>
      <c r="K12" s="148"/>
    </row>
    <row r="13" spans="1:11" x14ac:dyDescent="0.25">
      <c r="A13" s="76" t="s">
        <v>342</v>
      </c>
      <c r="B13" s="148">
        <v>1</v>
      </c>
      <c r="C13" s="148"/>
      <c r="D13" s="148"/>
      <c r="E13" s="148"/>
      <c r="F13" s="148"/>
      <c r="G13" s="148"/>
      <c r="H13" s="148"/>
      <c r="I13" s="148"/>
      <c r="J13" s="148"/>
      <c r="K13" s="148"/>
    </row>
    <row r="14" spans="1:11" x14ac:dyDescent="0.25">
      <c r="A14" s="76" t="s">
        <v>84</v>
      </c>
      <c r="B14" s="148">
        <v>614</v>
      </c>
      <c r="C14" s="148"/>
      <c r="D14" s="148"/>
      <c r="E14" s="148"/>
      <c r="F14" s="148"/>
      <c r="G14" s="148"/>
      <c r="H14" s="148"/>
      <c r="I14" s="148"/>
      <c r="J14" s="148"/>
      <c r="K14" s="148"/>
    </row>
    <row r="15" spans="1:11" x14ac:dyDescent="0.25">
      <c r="A15" s="76" t="s">
        <v>345</v>
      </c>
      <c r="B15" s="148" t="s">
        <v>285</v>
      </c>
      <c r="C15" s="148"/>
      <c r="D15" s="148"/>
      <c r="E15" s="148"/>
      <c r="F15" s="148"/>
      <c r="G15" s="148"/>
      <c r="H15" s="148"/>
      <c r="I15" s="148"/>
      <c r="J15" s="148"/>
      <c r="K15" s="148"/>
    </row>
    <row r="16" spans="1:11" x14ac:dyDescent="0.25">
      <c r="A16" s="76" t="s">
        <v>86</v>
      </c>
      <c r="B16" s="148" t="s">
        <v>111</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45135</v>
      </c>
      <c r="C18" s="148"/>
      <c r="D18" s="148"/>
      <c r="E18" s="148"/>
      <c r="F18" s="148"/>
      <c r="G18" s="148"/>
      <c r="H18" s="148"/>
      <c r="I18" s="148"/>
      <c r="J18" s="148"/>
      <c r="K18" s="148"/>
    </row>
    <row r="19" spans="1:11" x14ac:dyDescent="0.25">
      <c r="A19" s="76" t="s">
        <v>89</v>
      </c>
      <c r="B19" s="152">
        <v>45135</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5" spans="1:11" x14ac:dyDescent="0.25">
      <c r="B25" s="89"/>
    </row>
    <row r="26" spans="1:11" x14ac:dyDescent="0.25">
      <c r="A26" s="85" t="s">
        <v>439</v>
      </c>
      <c r="B26" s="85">
        <v>55</v>
      </c>
      <c r="C26" s="85">
        <v>56</v>
      </c>
      <c r="D26" s="85">
        <v>57</v>
      </c>
      <c r="E26" s="85">
        <v>58</v>
      </c>
      <c r="F26" s="85">
        <v>59</v>
      </c>
      <c r="G26" s="85">
        <v>60</v>
      </c>
      <c r="H26" s="85">
        <v>61</v>
      </c>
      <c r="I26" s="85">
        <v>62</v>
      </c>
      <c r="J26" s="85">
        <v>63</v>
      </c>
      <c r="K26" s="85">
        <v>64</v>
      </c>
    </row>
    <row r="27" spans="1:11" x14ac:dyDescent="0.25">
      <c r="A27" s="86">
        <v>0</v>
      </c>
      <c r="B27" s="88">
        <v>0.62</v>
      </c>
      <c r="C27" s="88">
        <v>0.64600000000000002</v>
      </c>
      <c r="D27" s="88">
        <v>0.67400000000000004</v>
      </c>
      <c r="E27" s="88">
        <v>0.70499999999999996</v>
      </c>
      <c r="F27" s="88">
        <v>0.73699999999999999</v>
      </c>
      <c r="G27" s="88">
        <v>0.77200000000000002</v>
      </c>
      <c r="H27" s="88">
        <v>0.81100000000000005</v>
      </c>
      <c r="I27" s="88">
        <v>0.85199999999999998</v>
      </c>
      <c r="J27" s="88">
        <v>0.89700000000000002</v>
      </c>
      <c r="K27" s="88">
        <v>0.94599999999999995</v>
      </c>
    </row>
    <row r="28" spans="1:11" x14ac:dyDescent="0.25">
      <c r="A28" s="86">
        <v>1</v>
      </c>
      <c r="B28" s="88">
        <v>0.622</v>
      </c>
      <c r="C28" s="88">
        <v>0.64800000000000002</v>
      </c>
      <c r="D28" s="88">
        <v>0.67700000000000005</v>
      </c>
      <c r="E28" s="88">
        <v>0.70699999999999996</v>
      </c>
      <c r="F28" s="88">
        <v>0.74</v>
      </c>
      <c r="G28" s="88">
        <v>0.77600000000000002</v>
      </c>
      <c r="H28" s="88">
        <v>0.81399999999999995</v>
      </c>
      <c r="I28" s="88">
        <v>0.85599999999999998</v>
      </c>
      <c r="J28" s="88">
        <v>0.90100000000000002</v>
      </c>
      <c r="K28" s="88">
        <v>0.95099999999999996</v>
      </c>
    </row>
    <row r="29" spans="1:11" x14ac:dyDescent="0.25">
      <c r="A29" s="86">
        <v>2</v>
      </c>
      <c r="B29" s="88">
        <v>0.624</v>
      </c>
      <c r="C29" s="88">
        <v>0.65100000000000002</v>
      </c>
      <c r="D29" s="88">
        <v>0.67900000000000005</v>
      </c>
      <c r="E29" s="88">
        <v>0.71</v>
      </c>
      <c r="F29" s="88">
        <v>0.74299999999999999</v>
      </c>
      <c r="G29" s="88">
        <v>0.77900000000000003</v>
      </c>
      <c r="H29" s="88">
        <v>0.81699999999999995</v>
      </c>
      <c r="I29" s="88">
        <v>0.85899999999999999</v>
      </c>
      <c r="J29" s="88">
        <v>0.90500000000000003</v>
      </c>
      <c r="K29" s="88">
        <v>0.95499999999999996</v>
      </c>
    </row>
    <row r="30" spans="1:11" x14ac:dyDescent="0.25">
      <c r="A30" s="86">
        <v>3</v>
      </c>
      <c r="B30" s="88">
        <v>0.626</v>
      </c>
      <c r="C30" s="88">
        <v>0.65300000000000002</v>
      </c>
      <c r="D30" s="88">
        <v>0.68200000000000005</v>
      </c>
      <c r="E30" s="88">
        <v>0.71299999999999997</v>
      </c>
      <c r="F30" s="88">
        <v>0.746</v>
      </c>
      <c r="G30" s="88">
        <v>0.78200000000000003</v>
      </c>
      <c r="H30" s="88">
        <v>0.82099999999999995</v>
      </c>
      <c r="I30" s="88">
        <v>0.86299999999999999</v>
      </c>
      <c r="J30" s="88">
        <v>0.90900000000000003</v>
      </c>
      <c r="K30" s="88">
        <v>0.96</v>
      </c>
    </row>
    <row r="31" spans="1:11" x14ac:dyDescent="0.25">
      <c r="A31" s="86">
        <v>4</v>
      </c>
      <c r="B31" s="88">
        <v>0.629</v>
      </c>
      <c r="C31" s="88">
        <v>0.65600000000000003</v>
      </c>
      <c r="D31" s="88">
        <v>0.68400000000000005</v>
      </c>
      <c r="E31" s="88">
        <v>0.71499999999999997</v>
      </c>
      <c r="F31" s="88">
        <v>0.749</v>
      </c>
      <c r="G31" s="88">
        <v>0.78500000000000003</v>
      </c>
      <c r="H31" s="88">
        <v>0.82399999999999995</v>
      </c>
      <c r="I31" s="88">
        <v>0.86699999999999999</v>
      </c>
      <c r="J31" s="88">
        <v>0.91300000000000003</v>
      </c>
      <c r="K31" s="88">
        <v>0.96399999999999997</v>
      </c>
    </row>
    <row r="32" spans="1:11" x14ac:dyDescent="0.25">
      <c r="A32" s="86">
        <v>5</v>
      </c>
      <c r="B32" s="88">
        <v>0.63100000000000001</v>
      </c>
      <c r="C32" s="88">
        <v>0.65800000000000003</v>
      </c>
      <c r="D32" s="88">
        <v>0.68700000000000006</v>
      </c>
      <c r="E32" s="88">
        <v>0.71799999999999997</v>
      </c>
      <c r="F32" s="88">
        <v>0.752</v>
      </c>
      <c r="G32" s="88">
        <v>0.78800000000000003</v>
      </c>
      <c r="H32" s="88">
        <v>0.82799999999999996</v>
      </c>
      <c r="I32" s="88">
        <v>0.871</v>
      </c>
      <c r="J32" s="88">
        <v>0.91700000000000004</v>
      </c>
      <c r="K32" s="88">
        <v>0.96899999999999997</v>
      </c>
    </row>
    <row r="33" spans="1:11" x14ac:dyDescent="0.25">
      <c r="A33" s="86">
        <v>6</v>
      </c>
      <c r="B33" s="88">
        <v>0.63300000000000001</v>
      </c>
      <c r="C33" s="88">
        <v>0.66</v>
      </c>
      <c r="D33" s="88">
        <v>0.68899999999999995</v>
      </c>
      <c r="E33" s="88">
        <v>0.72099999999999997</v>
      </c>
      <c r="F33" s="88">
        <v>0.755</v>
      </c>
      <c r="G33" s="88">
        <v>0.79100000000000004</v>
      </c>
      <c r="H33" s="88">
        <v>0.83099999999999996</v>
      </c>
      <c r="I33" s="88">
        <v>0.874</v>
      </c>
      <c r="J33" s="88">
        <v>0.92200000000000004</v>
      </c>
      <c r="K33" s="88">
        <v>0.97299999999999998</v>
      </c>
    </row>
    <row r="34" spans="1:11" x14ac:dyDescent="0.25">
      <c r="A34" s="86">
        <v>7</v>
      </c>
      <c r="B34" s="88">
        <v>0.63500000000000001</v>
      </c>
      <c r="C34" s="88">
        <v>0.66300000000000003</v>
      </c>
      <c r="D34" s="88">
        <v>0.69199999999999995</v>
      </c>
      <c r="E34" s="88">
        <v>0.72399999999999998</v>
      </c>
      <c r="F34" s="88">
        <v>0.75800000000000001</v>
      </c>
      <c r="G34" s="88">
        <v>0.79500000000000004</v>
      </c>
      <c r="H34" s="88">
        <v>0.83499999999999996</v>
      </c>
      <c r="I34" s="88">
        <v>0.878</v>
      </c>
      <c r="J34" s="88">
        <v>0.92600000000000005</v>
      </c>
      <c r="K34" s="88">
        <v>0.97799999999999998</v>
      </c>
    </row>
    <row r="35" spans="1:11" x14ac:dyDescent="0.25">
      <c r="A35" s="86">
        <v>8</v>
      </c>
      <c r="B35" s="88">
        <v>0.63700000000000001</v>
      </c>
      <c r="C35" s="88">
        <v>0.66500000000000004</v>
      </c>
      <c r="D35" s="88">
        <v>0.69399999999999995</v>
      </c>
      <c r="E35" s="88">
        <v>0.72599999999999998</v>
      </c>
      <c r="F35" s="88">
        <v>0.76100000000000001</v>
      </c>
      <c r="G35" s="88">
        <v>0.79800000000000004</v>
      </c>
      <c r="H35" s="88">
        <v>0.83799999999999997</v>
      </c>
      <c r="I35" s="88">
        <v>0.88200000000000001</v>
      </c>
      <c r="J35" s="88">
        <v>0.93</v>
      </c>
      <c r="K35" s="88">
        <v>0.98199999999999998</v>
      </c>
    </row>
    <row r="36" spans="1:11" x14ac:dyDescent="0.25">
      <c r="A36" s="86">
        <v>9</v>
      </c>
      <c r="B36" s="88">
        <v>0.64</v>
      </c>
      <c r="C36" s="88">
        <v>0.66700000000000004</v>
      </c>
      <c r="D36" s="88">
        <v>0.69699999999999995</v>
      </c>
      <c r="E36" s="88">
        <v>0.72899999999999998</v>
      </c>
      <c r="F36" s="88">
        <v>0.76400000000000001</v>
      </c>
      <c r="G36" s="88">
        <v>0.80100000000000005</v>
      </c>
      <c r="H36" s="88">
        <v>0.84199999999999997</v>
      </c>
      <c r="I36" s="88">
        <v>0.88600000000000001</v>
      </c>
      <c r="J36" s="88">
        <v>0.93400000000000005</v>
      </c>
      <c r="K36" s="88">
        <v>0.98699999999999999</v>
      </c>
    </row>
    <row r="37" spans="1:11" x14ac:dyDescent="0.25">
      <c r="A37" s="86">
        <v>10</v>
      </c>
      <c r="B37" s="88">
        <v>0.64200000000000002</v>
      </c>
      <c r="C37" s="88">
        <v>0.67</v>
      </c>
      <c r="D37" s="88">
        <v>0.7</v>
      </c>
      <c r="E37" s="88">
        <v>0.73199999999999998</v>
      </c>
      <c r="F37" s="88">
        <v>0.76700000000000002</v>
      </c>
      <c r="G37" s="88">
        <v>0.80400000000000005</v>
      </c>
      <c r="H37" s="88">
        <v>0.84499999999999997</v>
      </c>
      <c r="I37" s="88">
        <v>0.88900000000000001</v>
      </c>
      <c r="J37" s="88">
        <v>0.93799999999999994</v>
      </c>
      <c r="K37" s="88">
        <v>0.99099999999999999</v>
      </c>
    </row>
    <row r="38" spans="1:11" x14ac:dyDescent="0.25">
      <c r="A38" s="86">
        <v>11</v>
      </c>
      <c r="B38" s="88">
        <v>0.64400000000000002</v>
      </c>
      <c r="C38" s="88">
        <v>0.67200000000000004</v>
      </c>
      <c r="D38" s="88">
        <v>0.70199999999999996</v>
      </c>
      <c r="E38" s="88">
        <v>0.73399999999999999</v>
      </c>
      <c r="F38" s="88">
        <v>0.76900000000000002</v>
      </c>
      <c r="G38" s="88">
        <v>0.80700000000000005</v>
      </c>
      <c r="H38" s="88">
        <v>0.84799999999999998</v>
      </c>
      <c r="I38" s="88">
        <v>0.89300000000000002</v>
      </c>
      <c r="J38" s="88">
        <v>0.94199999999999995</v>
      </c>
      <c r="K38" s="88">
        <v>0.996</v>
      </c>
    </row>
    <row r="44" spans="1:11" ht="39.6" customHeight="1" x14ac:dyDescent="0.25"/>
    <row r="46" spans="1:11" ht="27.6" customHeight="1" x14ac:dyDescent="0.25"/>
  </sheetData>
  <sheetProtection algorithmName="SHA-512" hashValue="y+X7ws3f/DDEggVEG5/SEC/wRBU1yCX0xLgF61OXB0vk8bCTn+nQzRXQD7Opg3RZlpyOWyj2W8Nx10HbmYsoDA==" saltValue="jy8yi5s9vwwjqk5l0Gi56w==" spinCount="100000" sheet="1" objects="1" scenarios="1"/>
  <conditionalFormatting sqref="A6:A21">
    <cfRule type="expression" dxfId="153" priority="1" stopIfTrue="1">
      <formula>MOD(ROW(),2)=0</formula>
    </cfRule>
    <cfRule type="expression" dxfId="152" priority="2" stopIfTrue="1">
      <formula>MOD(ROW(),2)&lt;&gt;0</formula>
    </cfRule>
  </conditionalFormatting>
  <conditionalFormatting sqref="A26:A38">
    <cfRule type="expression" dxfId="151" priority="7" stopIfTrue="1">
      <formula>MOD(ROW(),2)=0</formula>
    </cfRule>
    <cfRule type="expression" dxfId="150" priority="8" stopIfTrue="1">
      <formula>MOD(ROW(),2)&lt;&gt;0</formula>
    </cfRule>
  </conditionalFormatting>
  <conditionalFormatting sqref="B17:B21">
    <cfRule type="expression" dxfId="149" priority="11" stopIfTrue="1">
      <formula>MOD(ROW(),2)=0</formula>
    </cfRule>
    <cfRule type="expression" dxfId="148" priority="12" stopIfTrue="1">
      <formula>MOD(ROW(),2)&lt;&gt;0</formula>
    </cfRule>
  </conditionalFormatting>
  <conditionalFormatting sqref="B6:K21 B26:K38">
    <cfRule type="expression" dxfId="147" priority="23" stopIfTrue="1">
      <formula>MOD(ROW(),2)=0</formula>
    </cfRule>
    <cfRule type="expression" dxfId="146" priority="24" stopIfTrue="1">
      <formula>MOD(ROW(),2)&lt;&gt;0</formula>
    </cfRule>
  </conditionalFormatting>
  <hyperlinks>
    <hyperlink ref="B24" location="Assumptions!A1" display="Assumptions" xr:uid="{E72BB4E0-3B96-43F9-AAF5-A14D15FF52F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dimension ref="A1:K46"/>
  <sheetViews>
    <sheetView showGridLines="0" topLeftCell="A2"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Scheme pays AA - x-615</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2006</v>
      </c>
      <c r="C8" s="148"/>
      <c r="D8" s="148"/>
      <c r="E8" s="148"/>
      <c r="F8" s="148"/>
      <c r="G8" s="148"/>
      <c r="H8" s="148"/>
      <c r="I8" s="148"/>
      <c r="J8" s="148"/>
      <c r="K8" s="148"/>
    </row>
    <row r="9" spans="1:11" x14ac:dyDescent="0.25">
      <c r="A9" s="76" t="s">
        <v>80</v>
      </c>
      <c r="B9" s="148" t="s">
        <v>257</v>
      </c>
      <c r="C9" s="148"/>
      <c r="D9" s="148"/>
      <c r="E9" s="148"/>
      <c r="F9" s="148"/>
      <c r="G9" s="148"/>
      <c r="H9" s="148"/>
      <c r="I9" s="148"/>
      <c r="J9" s="148"/>
      <c r="K9" s="148"/>
    </row>
    <row r="10" spans="1:11" x14ac:dyDescent="0.25">
      <c r="A10" s="76" t="s">
        <v>6</v>
      </c>
      <c r="B10" s="148" t="s">
        <v>286</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284</v>
      </c>
      <c r="C12" s="148"/>
      <c r="D12" s="148"/>
      <c r="E12" s="148"/>
      <c r="F12" s="148"/>
      <c r="G12" s="148"/>
      <c r="H12" s="148"/>
      <c r="I12" s="148"/>
      <c r="J12" s="148"/>
      <c r="K12" s="148"/>
    </row>
    <row r="13" spans="1:11" x14ac:dyDescent="0.25">
      <c r="A13" s="76" t="s">
        <v>342</v>
      </c>
      <c r="B13" s="148">
        <v>1</v>
      </c>
      <c r="C13" s="148"/>
      <c r="D13" s="148"/>
      <c r="E13" s="148"/>
      <c r="F13" s="148"/>
      <c r="G13" s="148"/>
      <c r="H13" s="148"/>
      <c r="I13" s="148"/>
      <c r="J13" s="148"/>
      <c r="K13" s="148"/>
    </row>
    <row r="14" spans="1:11" x14ac:dyDescent="0.25">
      <c r="A14" s="76" t="s">
        <v>84</v>
      </c>
      <c r="B14" s="148">
        <v>615</v>
      </c>
      <c r="C14" s="148"/>
      <c r="D14" s="148"/>
      <c r="E14" s="148"/>
      <c r="F14" s="148"/>
      <c r="G14" s="148"/>
      <c r="H14" s="148"/>
      <c r="I14" s="148"/>
      <c r="J14" s="148"/>
      <c r="K14" s="148"/>
    </row>
    <row r="15" spans="1:11" x14ac:dyDescent="0.25">
      <c r="A15" s="76" t="s">
        <v>345</v>
      </c>
      <c r="B15" s="148" t="s">
        <v>287</v>
      </c>
      <c r="C15" s="148"/>
      <c r="D15" s="148"/>
      <c r="E15" s="148"/>
      <c r="F15" s="148"/>
      <c r="G15" s="148"/>
      <c r="H15" s="148"/>
      <c r="I15" s="148"/>
      <c r="J15" s="148"/>
      <c r="K15" s="148"/>
    </row>
    <row r="16" spans="1:11" x14ac:dyDescent="0.25">
      <c r="A16" s="76" t="s">
        <v>86</v>
      </c>
      <c r="B16" s="148" t="s">
        <v>113</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45135</v>
      </c>
      <c r="C18" s="148"/>
      <c r="D18" s="148"/>
      <c r="E18" s="148"/>
      <c r="F18" s="148"/>
      <c r="G18" s="148"/>
      <c r="H18" s="148"/>
      <c r="I18" s="148"/>
      <c r="J18" s="148"/>
      <c r="K18" s="148"/>
    </row>
    <row r="19" spans="1:11" x14ac:dyDescent="0.25">
      <c r="A19" s="76" t="s">
        <v>89</v>
      </c>
      <c r="B19" s="152">
        <v>45135</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5" spans="1:11" x14ac:dyDescent="0.25">
      <c r="B25" s="89"/>
    </row>
    <row r="26" spans="1:11" x14ac:dyDescent="0.25">
      <c r="A26" s="85" t="s">
        <v>439</v>
      </c>
      <c r="B26" s="85">
        <v>65</v>
      </c>
      <c r="C26" s="85">
        <v>66</v>
      </c>
      <c r="D26" s="85">
        <v>67</v>
      </c>
      <c r="E26" s="85">
        <v>68</v>
      </c>
      <c r="F26" s="85">
        <v>69</v>
      </c>
      <c r="G26" s="85">
        <v>70</v>
      </c>
      <c r="H26" s="85">
        <v>71</v>
      </c>
      <c r="I26" s="85">
        <v>72</v>
      </c>
      <c r="J26" s="85">
        <v>73</v>
      </c>
      <c r="K26" s="85">
        <v>74</v>
      </c>
    </row>
    <row r="27" spans="1:11" x14ac:dyDescent="0.25">
      <c r="A27" s="86">
        <v>0</v>
      </c>
      <c r="B27" s="88">
        <v>1</v>
      </c>
      <c r="C27" s="88">
        <v>1.0589999999999999</v>
      </c>
      <c r="D27" s="88">
        <v>1.125</v>
      </c>
      <c r="E27" s="88">
        <v>1.1970000000000001</v>
      </c>
      <c r="F27" s="88">
        <v>1.276</v>
      </c>
      <c r="G27" s="88">
        <v>1.363</v>
      </c>
      <c r="H27" s="88">
        <v>1.46</v>
      </c>
      <c r="I27" s="88">
        <v>1.5669999999999999</v>
      </c>
      <c r="J27" s="88">
        <v>1.6859999999999999</v>
      </c>
      <c r="K27" s="88">
        <v>1.819</v>
      </c>
    </row>
    <row r="28" spans="1:11" x14ac:dyDescent="0.25">
      <c r="A28" s="86">
        <v>1</v>
      </c>
      <c r="B28" s="88">
        <v>1.0049999999999999</v>
      </c>
      <c r="C28" s="88">
        <v>1.0649999999999999</v>
      </c>
      <c r="D28" s="88">
        <v>1.131</v>
      </c>
      <c r="E28" s="88">
        <v>1.2030000000000001</v>
      </c>
      <c r="F28" s="88">
        <v>1.2829999999999999</v>
      </c>
      <c r="G28" s="88">
        <v>1.371</v>
      </c>
      <c r="H28" s="88">
        <v>1.4690000000000001</v>
      </c>
      <c r="I28" s="88">
        <v>1.577</v>
      </c>
      <c r="J28" s="88">
        <v>1.6970000000000001</v>
      </c>
      <c r="K28" s="88">
        <v>1.831</v>
      </c>
    </row>
    <row r="29" spans="1:11" x14ac:dyDescent="0.25">
      <c r="A29" s="86">
        <v>2</v>
      </c>
      <c r="B29" s="88">
        <v>1.01</v>
      </c>
      <c r="C29" s="88">
        <v>1.07</v>
      </c>
      <c r="D29" s="88">
        <v>1.137</v>
      </c>
      <c r="E29" s="88">
        <v>1.21</v>
      </c>
      <c r="F29" s="88">
        <v>1.29</v>
      </c>
      <c r="G29" s="88">
        <v>1.379</v>
      </c>
      <c r="H29" s="88">
        <v>1.478</v>
      </c>
      <c r="I29" s="88">
        <v>1.587</v>
      </c>
      <c r="J29" s="88">
        <v>1.708</v>
      </c>
      <c r="K29" s="88">
        <v>1.8440000000000001</v>
      </c>
    </row>
    <row r="30" spans="1:11" x14ac:dyDescent="0.25">
      <c r="A30" s="86">
        <v>3</v>
      </c>
      <c r="B30" s="88">
        <v>1.0149999999999999</v>
      </c>
      <c r="C30" s="88">
        <v>1.0760000000000001</v>
      </c>
      <c r="D30" s="88">
        <v>1.143</v>
      </c>
      <c r="E30" s="88">
        <v>1.2170000000000001</v>
      </c>
      <c r="F30" s="88">
        <v>1.298</v>
      </c>
      <c r="G30" s="88">
        <v>1.387</v>
      </c>
      <c r="H30" s="88">
        <v>1.4870000000000001</v>
      </c>
      <c r="I30" s="88">
        <v>1.597</v>
      </c>
      <c r="J30" s="88">
        <v>1.7190000000000001</v>
      </c>
      <c r="K30" s="88">
        <v>1.8560000000000001</v>
      </c>
    </row>
    <row r="31" spans="1:11" x14ac:dyDescent="0.25">
      <c r="A31" s="86">
        <v>4</v>
      </c>
      <c r="B31" s="88">
        <v>1.02</v>
      </c>
      <c r="C31" s="88">
        <v>1.081</v>
      </c>
      <c r="D31" s="88">
        <v>1.149</v>
      </c>
      <c r="E31" s="88">
        <v>1.2230000000000001</v>
      </c>
      <c r="F31" s="88">
        <v>1.3049999999999999</v>
      </c>
      <c r="G31" s="88">
        <v>1.3959999999999999</v>
      </c>
      <c r="H31" s="88">
        <v>1.496</v>
      </c>
      <c r="I31" s="88">
        <v>1.607</v>
      </c>
      <c r="J31" s="88">
        <v>1.73</v>
      </c>
      <c r="K31" s="88">
        <v>1.869</v>
      </c>
    </row>
    <row r="32" spans="1:11" x14ac:dyDescent="0.25">
      <c r="A32" s="86">
        <v>5</v>
      </c>
      <c r="B32" s="88">
        <v>1.0249999999999999</v>
      </c>
      <c r="C32" s="88">
        <v>1.087</v>
      </c>
      <c r="D32" s="88">
        <v>1.155</v>
      </c>
      <c r="E32" s="88">
        <v>1.23</v>
      </c>
      <c r="F32" s="88">
        <v>1.3120000000000001</v>
      </c>
      <c r="G32" s="88">
        <v>1.4039999999999999</v>
      </c>
      <c r="H32" s="88">
        <v>1.5049999999999999</v>
      </c>
      <c r="I32" s="88">
        <v>1.617</v>
      </c>
      <c r="J32" s="88">
        <v>1.742</v>
      </c>
      <c r="K32" s="88">
        <v>1.881</v>
      </c>
    </row>
    <row r="33" spans="1:11" x14ac:dyDescent="0.25">
      <c r="A33" s="86">
        <v>6</v>
      </c>
      <c r="B33" s="88">
        <v>1.03</v>
      </c>
      <c r="C33" s="88">
        <v>1.0920000000000001</v>
      </c>
      <c r="D33" s="88">
        <v>1.161</v>
      </c>
      <c r="E33" s="88">
        <v>1.236</v>
      </c>
      <c r="F33" s="88">
        <v>1.32</v>
      </c>
      <c r="G33" s="88">
        <v>1.4119999999999999</v>
      </c>
      <c r="H33" s="88">
        <v>1.5129999999999999</v>
      </c>
      <c r="I33" s="88">
        <v>1.627</v>
      </c>
      <c r="J33" s="88">
        <v>1.7529999999999999</v>
      </c>
      <c r="K33" s="88">
        <v>1.893</v>
      </c>
    </row>
    <row r="34" spans="1:11" x14ac:dyDescent="0.25">
      <c r="A34" s="86">
        <v>7</v>
      </c>
      <c r="B34" s="88">
        <v>1.0349999999999999</v>
      </c>
      <c r="C34" s="88">
        <v>1.0980000000000001</v>
      </c>
      <c r="D34" s="88">
        <v>1.167</v>
      </c>
      <c r="E34" s="88">
        <v>1.2430000000000001</v>
      </c>
      <c r="F34" s="88">
        <v>1.327</v>
      </c>
      <c r="G34" s="88">
        <v>1.42</v>
      </c>
      <c r="H34" s="88">
        <v>1.522</v>
      </c>
      <c r="I34" s="88">
        <v>1.637</v>
      </c>
      <c r="J34" s="88">
        <v>1.764</v>
      </c>
      <c r="K34" s="88">
        <v>1.9059999999999999</v>
      </c>
    </row>
    <row r="35" spans="1:11" x14ac:dyDescent="0.25">
      <c r="A35" s="86">
        <v>8</v>
      </c>
      <c r="B35" s="88">
        <v>1.04</v>
      </c>
      <c r="C35" s="88">
        <v>1.103</v>
      </c>
      <c r="D35" s="88">
        <v>1.173</v>
      </c>
      <c r="E35" s="88">
        <v>1.25</v>
      </c>
      <c r="F35" s="88">
        <v>1.3340000000000001</v>
      </c>
      <c r="G35" s="88">
        <v>1.4279999999999999</v>
      </c>
      <c r="H35" s="88">
        <v>1.5309999999999999</v>
      </c>
      <c r="I35" s="88">
        <v>1.6459999999999999</v>
      </c>
      <c r="J35" s="88">
        <v>1.7749999999999999</v>
      </c>
      <c r="K35" s="88">
        <v>1.9179999999999999</v>
      </c>
    </row>
    <row r="36" spans="1:11" x14ac:dyDescent="0.25">
      <c r="A36" s="86">
        <v>9</v>
      </c>
      <c r="B36" s="88">
        <v>1.0449999999999999</v>
      </c>
      <c r="C36" s="88">
        <v>1.1080000000000001</v>
      </c>
      <c r="D36" s="88">
        <v>1.179</v>
      </c>
      <c r="E36" s="88">
        <v>1.256</v>
      </c>
      <c r="F36" s="88">
        <v>1.341</v>
      </c>
      <c r="G36" s="88">
        <v>1.4359999999999999</v>
      </c>
      <c r="H36" s="88">
        <v>1.54</v>
      </c>
      <c r="I36" s="88">
        <v>1.6559999999999999</v>
      </c>
      <c r="J36" s="88">
        <v>1.786</v>
      </c>
      <c r="K36" s="88">
        <v>1.931</v>
      </c>
    </row>
    <row r="37" spans="1:11" x14ac:dyDescent="0.25">
      <c r="A37" s="86">
        <v>10</v>
      </c>
      <c r="B37" s="88">
        <v>1.05</v>
      </c>
      <c r="C37" s="88">
        <v>1.1140000000000001</v>
      </c>
      <c r="D37" s="88">
        <v>1.1850000000000001</v>
      </c>
      <c r="E37" s="88">
        <v>1.2629999999999999</v>
      </c>
      <c r="F37" s="88">
        <v>1.349</v>
      </c>
      <c r="G37" s="88">
        <v>1.444</v>
      </c>
      <c r="H37" s="88">
        <v>1.5489999999999999</v>
      </c>
      <c r="I37" s="88">
        <v>1.6659999999999999</v>
      </c>
      <c r="J37" s="88">
        <v>1.7969999999999999</v>
      </c>
      <c r="K37" s="88">
        <v>1.9430000000000001</v>
      </c>
    </row>
    <row r="38" spans="1:11" x14ac:dyDescent="0.25">
      <c r="A38" s="86">
        <v>11</v>
      </c>
      <c r="B38" s="88">
        <v>1.0549999999999999</v>
      </c>
      <c r="C38" s="88">
        <v>1.119</v>
      </c>
      <c r="D38" s="88">
        <v>1.1910000000000001</v>
      </c>
      <c r="E38" s="88">
        <v>1.2689999999999999</v>
      </c>
      <c r="F38" s="88">
        <v>1.3560000000000001</v>
      </c>
      <c r="G38" s="88">
        <v>1.452</v>
      </c>
      <c r="H38" s="88">
        <v>1.5580000000000001</v>
      </c>
      <c r="I38" s="88">
        <v>1.6759999999999999</v>
      </c>
      <c r="J38" s="88">
        <v>1.8080000000000001</v>
      </c>
      <c r="K38" s="88">
        <v>1.9550000000000001</v>
      </c>
    </row>
    <row r="44" spans="1:11" ht="39.6" customHeight="1" x14ac:dyDescent="0.25"/>
    <row r="46" spans="1:11" ht="27.6" customHeight="1" x14ac:dyDescent="0.25"/>
  </sheetData>
  <sheetProtection algorithmName="SHA-512" hashValue="PlHNJ4VEpNA+Vf8ylQcsMBRMlWsBEQSDayNMqLMY5T9vyYLd5lfjYaoERP08WfIy31vJ16aVRu+rbWm1wuAcqQ==" saltValue="HHUsbhPdW06yFChcMcjBKQ==" spinCount="100000" sheet="1" objects="1" scenarios="1"/>
  <conditionalFormatting sqref="A6:A21">
    <cfRule type="expression" dxfId="145" priority="1" stopIfTrue="1">
      <formula>MOD(ROW(),2)=0</formula>
    </cfRule>
    <cfRule type="expression" dxfId="144" priority="2" stopIfTrue="1">
      <formula>MOD(ROW(),2)&lt;&gt;0</formula>
    </cfRule>
  </conditionalFormatting>
  <conditionalFormatting sqref="A26:A38">
    <cfRule type="expression" dxfId="143" priority="7" stopIfTrue="1">
      <formula>MOD(ROW(),2)=0</formula>
    </cfRule>
    <cfRule type="expression" dxfId="142" priority="8" stopIfTrue="1">
      <formula>MOD(ROW(),2)&lt;&gt;0</formula>
    </cfRule>
  </conditionalFormatting>
  <conditionalFormatting sqref="B17:B21">
    <cfRule type="expression" dxfId="141" priority="11" stopIfTrue="1">
      <formula>MOD(ROW(),2)=0</formula>
    </cfRule>
    <cfRule type="expression" dxfId="140" priority="12" stopIfTrue="1">
      <formula>MOD(ROW(),2)&lt;&gt;0</formula>
    </cfRule>
  </conditionalFormatting>
  <conditionalFormatting sqref="B6:K21 B26:K38">
    <cfRule type="expression" dxfId="139" priority="23" stopIfTrue="1">
      <formula>MOD(ROW(),2)=0</formula>
    </cfRule>
    <cfRule type="expression" dxfId="138" priority="24" stopIfTrue="1">
      <formula>MOD(ROW(),2)&lt;&gt;0</formula>
    </cfRule>
  </conditionalFormatting>
  <hyperlinks>
    <hyperlink ref="B24" location="Assumptions!A1" display="Assumptions" xr:uid="{797DCD00-0B57-4EB4-B5C9-3C06969C73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H46"/>
  <sheetViews>
    <sheetView showGridLines="0" topLeftCell="A3" zoomScale="84" zoomScaleNormal="84" workbookViewId="0">
      <selection activeCell="B6" sqref="B6:F21"/>
    </sheetView>
  </sheetViews>
  <sheetFormatPr defaultColWidth="10" defaultRowHeight="13.2" x14ac:dyDescent="0.25"/>
  <cols>
    <col min="1" max="1" width="31.5546875" style="27" customWidth="1"/>
    <col min="2" max="6" width="22.5546875" style="27" customWidth="1"/>
    <col min="7" max="16384" width="10" style="27"/>
  </cols>
  <sheetData>
    <row r="1" spans="1:8" ht="21" x14ac:dyDescent="0.4">
      <c r="A1" s="39" t="s">
        <v>0</v>
      </c>
      <c r="B1" s="40"/>
      <c r="C1" s="40"/>
      <c r="D1" s="40"/>
      <c r="E1" s="40"/>
      <c r="F1" s="40"/>
      <c r="G1" s="40"/>
      <c r="H1" s="40"/>
    </row>
    <row r="2" spans="1:8" ht="15.6" x14ac:dyDescent="0.3">
      <c r="A2" s="41" t="str">
        <f>IF(title="&gt; Enter workbook title here","Enter workbook title in Cover sheet",title)</f>
        <v>Fire England - Consolidated Factor Spreadsheet</v>
      </c>
      <c r="B2" s="42"/>
      <c r="C2" s="42"/>
      <c r="D2" s="42"/>
      <c r="E2" s="42"/>
      <c r="F2" s="42"/>
      <c r="G2" s="42"/>
      <c r="H2" s="42"/>
    </row>
    <row r="3" spans="1:8" ht="15.6" x14ac:dyDescent="0.3">
      <c r="A3" s="43" t="str">
        <f>TABLE_FACTOR_TYPE_1&amp;" - x-"&amp;TABLE_SERIES_NUMBER_1</f>
        <v>Scheme pays AA - x-616</v>
      </c>
      <c r="B3" s="42"/>
      <c r="C3" s="42"/>
      <c r="D3" s="42"/>
      <c r="E3" s="42"/>
      <c r="F3" s="42"/>
      <c r="G3" s="42"/>
      <c r="H3" s="42"/>
    </row>
    <row r="4" spans="1:8" x14ac:dyDescent="0.25">
      <c r="A4" s="44"/>
    </row>
    <row r="6" spans="1:8" x14ac:dyDescent="0.25">
      <c r="A6" s="74" t="s">
        <v>334</v>
      </c>
      <c r="B6" s="148" t="s">
        <v>335</v>
      </c>
      <c r="C6" s="148"/>
      <c r="D6" s="148"/>
      <c r="E6" s="148"/>
      <c r="F6" s="148"/>
    </row>
    <row r="7" spans="1:8" x14ac:dyDescent="0.25">
      <c r="A7" s="76" t="s">
        <v>78</v>
      </c>
      <c r="B7" s="148" t="s">
        <v>67</v>
      </c>
      <c r="C7" s="148"/>
      <c r="D7" s="148"/>
      <c r="E7" s="148"/>
      <c r="F7" s="148"/>
    </row>
    <row r="8" spans="1:8" x14ac:dyDescent="0.25">
      <c r="A8" s="76" t="s">
        <v>79</v>
      </c>
      <c r="B8" s="148">
        <v>2006</v>
      </c>
      <c r="C8" s="148"/>
      <c r="D8" s="148"/>
      <c r="E8" s="148"/>
      <c r="F8" s="148"/>
    </row>
    <row r="9" spans="1:8" x14ac:dyDescent="0.25">
      <c r="A9" s="76" t="s">
        <v>80</v>
      </c>
      <c r="B9" s="148" t="s">
        <v>257</v>
      </c>
      <c r="C9" s="148"/>
      <c r="D9" s="148"/>
      <c r="E9" s="148"/>
      <c r="F9" s="148"/>
    </row>
    <row r="10" spans="1:8" x14ac:dyDescent="0.25">
      <c r="A10" s="76" t="s">
        <v>6</v>
      </c>
      <c r="B10" s="148" t="s">
        <v>288</v>
      </c>
      <c r="C10" s="148"/>
      <c r="D10" s="148"/>
      <c r="E10" s="148"/>
      <c r="F10" s="148"/>
    </row>
    <row r="11" spans="1:8" x14ac:dyDescent="0.25">
      <c r="A11" s="76" t="s">
        <v>81</v>
      </c>
      <c r="B11" s="148" t="s">
        <v>176</v>
      </c>
      <c r="C11" s="148"/>
      <c r="D11" s="148"/>
      <c r="E11" s="148"/>
      <c r="F11" s="148"/>
    </row>
    <row r="12" spans="1:8" x14ac:dyDescent="0.25">
      <c r="A12" s="76" t="s">
        <v>82</v>
      </c>
      <c r="B12" s="148" t="s">
        <v>284</v>
      </c>
      <c r="C12" s="148"/>
      <c r="D12" s="148"/>
      <c r="E12" s="148"/>
      <c r="F12" s="148"/>
    </row>
    <row r="13" spans="1:8" x14ac:dyDescent="0.25">
      <c r="A13" s="76" t="s">
        <v>342</v>
      </c>
      <c r="B13" s="148">
        <v>1</v>
      </c>
      <c r="C13" s="148"/>
      <c r="D13" s="148"/>
      <c r="E13" s="148"/>
      <c r="F13" s="148"/>
    </row>
    <row r="14" spans="1:8" x14ac:dyDescent="0.25">
      <c r="A14" s="76" t="s">
        <v>84</v>
      </c>
      <c r="B14" s="148">
        <v>616</v>
      </c>
      <c r="C14" s="148"/>
      <c r="D14" s="148"/>
      <c r="E14" s="148"/>
      <c r="F14" s="148"/>
    </row>
    <row r="15" spans="1:8" x14ac:dyDescent="0.25">
      <c r="A15" s="76" t="s">
        <v>345</v>
      </c>
      <c r="B15" s="148" t="s">
        <v>289</v>
      </c>
      <c r="C15" s="148"/>
      <c r="D15" s="148"/>
      <c r="E15" s="148"/>
      <c r="F15" s="148"/>
    </row>
    <row r="16" spans="1:8" x14ac:dyDescent="0.25">
      <c r="A16" s="76" t="s">
        <v>86</v>
      </c>
      <c r="B16" s="148" t="s">
        <v>290</v>
      </c>
      <c r="C16" s="148"/>
      <c r="D16" s="148"/>
      <c r="E16" s="148"/>
      <c r="F16" s="148"/>
    </row>
    <row r="17" spans="1:6" x14ac:dyDescent="0.25">
      <c r="A17" s="76" t="s">
        <v>414</v>
      </c>
      <c r="B17" s="148"/>
      <c r="C17" s="148"/>
      <c r="D17" s="148"/>
      <c r="E17" s="148"/>
      <c r="F17" s="148"/>
    </row>
    <row r="18" spans="1:6" x14ac:dyDescent="0.25">
      <c r="A18" s="76" t="s">
        <v>88</v>
      </c>
      <c r="B18" s="152">
        <v>45135</v>
      </c>
      <c r="C18" s="148"/>
      <c r="D18" s="148"/>
      <c r="E18" s="148"/>
      <c r="F18" s="148"/>
    </row>
    <row r="19" spans="1:6" x14ac:dyDescent="0.25">
      <c r="A19" s="76" t="s">
        <v>89</v>
      </c>
      <c r="B19" s="152">
        <v>45135</v>
      </c>
      <c r="C19" s="148"/>
      <c r="D19" s="148"/>
      <c r="E19" s="148"/>
      <c r="F19" s="148"/>
    </row>
    <row r="20" spans="1:6" x14ac:dyDescent="0.25">
      <c r="A20" s="76" t="s">
        <v>90</v>
      </c>
      <c r="B20" s="148" t="s">
        <v>98</v>
      </c>
      <c r="C20" s="148"/>
      <c r="D20" s="148"/>
      <c r="E20" s="148"/>
      <c r="F20" s="148"/>
    </row>
    <row r="21" spans="1:6" x14ac:dyDescent="0.25">
      <c r="A21" s="72" t="s">
        <v>91</v>
      </c>
      <c r="B21" s="148" t="s">
        <v>99</v>
      </c>
      <c r="C21" s="148"/>
      <c r="D21" s="148"/>
      <c r="E21" s="148"/>
      <c r="F21" s="148"/>
    </row>
    <row r="23" spans="1:6" x14ac:dyDescent="0.25">
      <c r="B23" s="89" t="str">
        <f>HYPERLINK("#'Factor List'!A1","Back to Factor List")</f>
        <v>Back to Factor List</v>
      </c>
    </row>
    <row r="24" spans="1:6" x14ac:dyDescent="0.25">
      <c r="B24" s="89" t="s">
        <v>13</v>
      </c>
    </row>
    <row r="25" spans="1:6" x14ac:dyDescent="0.25">
      <c r="B25" s="89"/>
    </row>
    <row r="26" spans="1:6" x14ac:dyDescent="0.25">
      <c r="A26" s="85" t="s">
        <v>439</v>
      </c>
      <c r="B26" s="85">
        <v>55</v>
      </c>
      <c r="C26" s="85">
        <v>56</v>
      </c>
      <c r="D26" s="85">
        <v>57</v>
      </c>
      <c r="E26" s="85">
        <v>58</v>
      </c>
      <c r="F26" s="85">
        <v>59</v>
      </c>
    </row>
    <row r="27" spans="1:6" x14ac:dyDescent="0.25">
      <c r="A27" s="86">
        <v>0</v>
      </c>
      <c r="B27" s="88">
        <v>0.8</v>
      </c>
      <c r="C27" s="88">
        <v>0.83399999999999996</v>
      </c>
      <c r="D27" s="88">
        <v>0.871</v>
      </c>
      <c r="E27" s="88">
        <v>0.91100000000000003</v>
      </c>
      <c r="F27" s="88">
        <v>0.95399999999999996</v>
      </c>
    </row>
    <row r="28" spans="1:6" x14ac:dyDescent="0.25">
      <c r="A28" s="86">
        <v>1</v>
      </c>
      <c r="B28" s="88">
        <v>0.80200000000000005</v>
      </c>
      <c r="C28" s="88">
        <v>0.83699999999999997</v>
      </c>
      <c r="D28" s="88">
        <v>0.874</v>
      </c>
      <c r="E28" s="88">
        <v>0.91400000000000003</v>
      </c>
      <c r="F28" s="88">
        <v>0.95799999999999996</v>
      </c>
    </row>
    <row r="29" spans="1:6" x14ac:dyDescent="0.25">
      <c r="A29" s="86">
        <v>2</v>
      </c>
      <c r="B29" s="88">
        <v>0.80500000000000005</v>
      </c>
      <c r="C29" s="88">
        <v>0.84</v>
      </c>
      <c r="D29" s="88">
        <v>0.878</v>
      </c>
      <c r="E29" s="88">
        <v>0.91800000000000004</v>
      </c>
      <c r="F29" s="88">
        <v>0.96099999999999997</v>
      </c>
    </row>
    <row r="30" spans="1:6" x14ac:dyDescent="0.25">
      <c r="A30" s="86">
        <v>3</v>
      </c>
      <c r="B30" s="88">
        <v>0.80800000000000005</v>
      </c>
      <c r="C30" s="88">
        <v>0.84299999999999997</v>
      </c>
      <c r="D30" s="88">
        <v>0.88100000000000001</v>
      </c>
      <c r="E30" s="88">
        <v>0.92200000000000004</v>
      </c>
      <c r="F30" s="88">
        <v>0.96499999999999997</v>
      </c>
    </row>
    <row r="31" spans="1:6" x14ac:dyDescent="0.25">
      <c r="A31" s="86">
        <v>4</v>
      </c>
      <c r="B31" s="88">
        <v>0.81100000000000005</v>
      </c>
      <c r="C31" s="88">
        <v>0.84599999999999997</v>
      </c>
      <c r="D31" s="88">
        <v>0.88400000000000001</v>
      </c>
      <c r="E31" s="88">
        <v>0.92500000000000004</v>
      </c>
      <c r="F31" s="88">
        <v>0.96899999999999997</v>
      </c>
    </row>
    <row r="32" spans="1:6" x14ac:dyDescent="0.25">
      <c r="A32" s="86">
        <v>5</v>
      </c>
      <c r="B32" s="88">
        <v>0.81399999999999995</v>
      </c>
      <c r="C32" s="88">
        <v>0.84899999999999998</v>
      </c>
      <c r="D32" s="88">
        <v>0.88800000000000001</v>
      </c>
      <c r="E32" s="88">
        <v>0.92900000000000005</v>
      </c>
      <c r="F32" s="88">
        <v>0.97299999999999998</v>
      </c>
    </row>
    <row r="33" spans="1:6" x14ac:dyDescent="0.25">
      <c r="A33" s="86">
        <v>6</v>
      </c>
      <c r="B33" s="88">
        <v>0.81699999999999995</v>
      </c>
      <c r="C33" s="88">
        <v>0.85299999999999998</v>
      </c>
      <c r="D33" s="88">
        <v>0.89100000000000001</v>
      </c>
      <c r="E33" s="88">
        <v>0.93200000000000005</v>
      </c>
      <c r="F33" s="88">
        <v>0.97699999999999998</v>
      </c>
    </row>
    <row r="34" spans="1:6" x14ac:dyDescent="0.25">
      <c r="A34" s="86">
        <v>7</v>
      </c>
      <c r="B34" s="88">
        <v>0.82</v>
      </c>
      <c r="C34" s="88">
        <v>0.85599999999999998</v>
      </c>
      <c r="D34" s="88">
        <v>0.89400000000000002</v>
      </c>
      <c r="E34" s="88">
        <v>0.93600000000000005</v>
      </c>
      <c r="F34" s="88">
        <v>0.98099999999999998</v>
      </c>
    </row>
    <row r="35" spans="1:6" x14ac:dyDescent="0.25">
      <c r="A35" s="86">
        <v>8</v>
      </c>
      <c r="B35" s="88">
        <v>0.82299999999999995</v>
      </c>
      <c r="C35" s="88">
        <v>0.85899999999999999</v>
      </c>
      <c r="D35" s="88">
        <v>0.89800000000000002</v>
      </c>
      <c r="E35" s="88">
        <v>0.93899999999999995</v>
      </c>
      <c r="F35" s="88">
        <v>0.98499999999999999</v>
      </c>
    </row>
    <row r="36" spans="1:6" x14ac:dyDescent="0.25">
      <c r="A36" s="86">
        <v>9</v>
      </c>
      <c r="B36" s="88">
        <v>0.82499999999999996</v>
      </c>
      <c r="C36" s="88">
        <v>0.86199999999999999</v>
      </c>
      <c r="D36" s="88">
        <v>0.90100000000000002</v>
      </c>
      <c r="E36" s="88">
        <v>0.94299999999999995</v>
      </c>
      <c r="F36" s="88">
        <v>0.98799999999999999</v>
      </c>
    </row>
    <row r="37" spans="1:6" x14ac:dyDescent="0.25">
      <c r="A37" s="86">
        <v>10</v>
      </c>
      <c r="B37" s="88">
        <v>0.82799999999999996</v>
      </c>
      <c r="C37" s="88">
        <v>0.86499999999999999</v>
      </c>
      <c r="D37" s="88">
        <v>0.90400000000000003</v>
      </c>
      <c r="E37" s="88">
        <v>0.94699999999999995</v>
      </c>
      <c r="F37" s="88">
        <v>0.99199999999999999</v>
      </c>
    </row>
    <row r="38" spans="1:6" x14ac:dyDescent="0.25">
      <c r="A38" s="86">
        <v>11</v>
      </c>
      <c r="B38" s="88">
        <v>0.83099999999999996</v>
      </c>
      <c r="C38" s="88">
        <v>0.86799999999999999</v>
      </c>
      <c r="D38" s="88">
        <v>0.90800000000000003</v>
      </c>
      <c r="E38" s="88">
        <v>0.95</v>
      </c>
      <c r="F38" s="88">
        <v>0.996</v>
      </c>
    </row>
    <row r="44" spans="1:6" ht="39.6" customHeight="1" x14ac:dyDescent="0.25"/>
    <row r="46" spans="1:6" ht="27.6" customHeight="1" x14ac:dyDescent="0.25"/>
  </sheetData>
  <sheetProtection algorithmName="SHA-512" hashValue="eDjES1fVw3Al2+irOoD/qT9gye8cHQpnAWBNNGNq/iOszz/UccQhHvTKT/pfDHHoS3H8PexfudAfyNwI7lOcug==" saltValue="N0gBuTRoe1T8AibZVOmDKA==" spinCount="100000" sheet="1" objects="1" scenarios="1"/>
  <conditionalFormatting sqref="A6:A21">
    <cfRule type="expression" dxfId="137" priority="1" stopIfTrue="1">
      <formula>MOD(ROW(),2)=0</formula>
    </cfRule>
    <cfRule type="expression" dxfId="136" priority="2" stopIfTrue="1">
      <formula>MOD(ROW(),2)&lt;&gt;0</formula>
    </cfRule>
  </conditionalFormatting>
  <conditionalFormatting sqref="A26:A38">
    <cfRule type="expression" dxfId="135" priority="7" stopIfTrue="1">
      <formula>MOD(ROW(),2)=0</formula>
    </cfRule>
    <cfRule type="expression" dxfId="134" priority="8" stopIfTrue="1">
      <formula>MOD(ROW(),2)&lt;&gt;0</formula>
    </cfRule>
  </conditionalFormatting>
  <conditionalFormatting sqref="B17:B21">
    <cfRule type="expression" dxfId="133" priority="11" stopIfTrue="1">
      <formula>MOD(ROW(),2)=0</formula>
    </cfRule>
    <cfRule type="expression" dxfId="132" priority="12" stopIfTrue="1">
      <formula>MOD(ROW(),2)&lt;&gt;0</formula>
    </cfRule>
  </conditionalFormatting>
  <conditionalFormatting sqref="B6:F21 B26:F38">
    <cfRule type="expression" dxfId="131" priority="23" stopIfTrue="1">
      <formula>MOD(ROW(),2)=0</formula>
    </cfRule>
    <cfRule type="expression" dxfId="130" priority="24" stopIfTrue="1">
      <formula>MOD(ROW(),2)&lt;&gt;0</formula>
    </cfRule>
  </conditionalFormatting>
  <hyperlinks>
    <hyperlink ref="B24" location="Assumptions!A1" display="Assumptions" xr:uid="{EC87431F-CE3D-4494-83D5-1B0FD39E95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dimension ref="A1:G68"/>
  <sheetViews>
    <sheetView showGridLines="0" zoomScale="85" zoomScaleNormal="85" workbookViewId="0">
      <selection activeCell="A3" sqref="A3"/>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x-201</v>
      </c>
      <c r="B3" s="42"/>
      <c r="C3" s="42"/>
      <c r="D3" s="42"/>
      <c r="E3" s="42"/>
      <c r="F3" s="42"/>
      <c r="G3" s="42"/>
    </row>
    <row r="4" spans="1:7" x14ac:dyDescent="0.25">
      <c r="A4" s="44"/>
    </row>
    <row r="6" spans="1:7" x14ac:dyDescent="0.25">
      <c r="A6" s="146" t="s">
        <v>334</v>
      </c>
      <c r="B6" s="102" t="s">
        <v>335</v>
      </c>
      <c r="C6" s="102"/>
      <c r="D6" s="102"/>
    </row>
    <row r="7" spans="1:7" x14ac:dyDescent="0.25">
      <c r="A7" s="72" t="s">
        <v>78</v>
      </c>
      <c r="B7" s="102" t="s">
        <v>67</v>
      </c>
      <c r="C7" s="102"/>
      <c r="D7" s="102"/>
    </row>
    <row r="8" spans="1:7" x14ac:dyDescent="0.25">
      <c r="A8" s="72" t="s">
        <v>79</v>
      </c>
      <c r="B8" s="102">
        <v>1992</v>
      </c>
      <c r="C8" s="102"/>
      <c r="D8" s="102"/>
    </row>
    <row r="9" spans="1:7" x14ac:dyDescent="0.25">
      <c r="A9" s="72" t="s">
        <v>80</v>
      </c>
      <c r="B9" s="102" t="s">
        <v>92</v>
      </c>
      <c r="C9" s="102"/>
      <c r="D9" s="102"/>
    </row>
    <row r="10" spans="1:7" x14ac:dyDescent="0.25">
      <c r="A10" s="72" t="s">
        <v>6</v>
      </c>
      <c r="B10" s="102" t="s">
        <v>93</v>
      </c>
      <c r="C10" s="102"/>
      <c r="D10" s="102"/>
    </row>
    <row r="11" spans="1:7" x14ac:dyDescent="0.25">
      <c r="A11" s="72" t="s">
        <v>81</v>
      </c>
      <c r="B11" s="102" t="s">
        <v>94</v>
      </c>
      <c r="C11" s="102"/>
      <c r="D11" s="102"/>
    </row>
    <row r="12" spans="1:7" x14ac:dyDescent="0.25">
      <c r="A12" s="72" t="s">
        <v>82</v>
      </c>
      <c r="B12" s="102" t="s">
        <v>95</v>
      </c>
      <c r="C12" s="102"/>
      <c r="D12" s="102"/>
    </row>
    <row r="13" spans="1:7" ht="13.2" hidden="1" customHeight="1" x14ac:dyDescent="0.25">
      <c r="A13" s="72" t="s">
        <v>342</v>
      </c>
      <c r="B13" s="102">
        <v>2</v>
      </c>
      <c r="C13" s="102"/>
      <c r="D13" s="102"/>
    </row>
    <row r="14" spans="1:7" ht="13.2" hidden="1" customHeight="1" x14ac:dyDescent="0.25">
      <c r="A14" s="72" t="s">
        <v>84</v>
      </c>
      <c r="B14" s="102">
        <v>201</v>
      </c>
      <c r="C14" s="102"/>
      <c r="D14" s="102"/>
    </row>
    <row r="15" spans="1:7" x14ac:dyDescent="0.25">
      <c r="A15" s="72" t="s">
        <v>345</v>
      </c>
      <c r="B15" s="102" t="s">
        <v>96</v>
      </c>
      <c r="C15" s="102"/>
      <c r="D15" s="102"/>
    </row>
    <row r="16" spans="1:7" x14ac:dyDescent="0.25">
      <c r="A16" s="72" t="s">
        <v>86</v>
      </c>
      <c r="B16" s="102" t="s">
        <v>97</v>
      </c>
      <c r="C16" s="102"/>
      <c r="D16" s="102"/>
    </row>
    <row r="17" spans="1:4" ht="69"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6" spans="1:4" ht="37.5" customHeight="1" x14ac:dyDescent="0.25">
      <c r="A26" s="85" t="s">
        <v>415</v>
      </c>
      <c r="B26" s="85" t="s">
        <v>416</v>
      </c>
      <c r="C26" s="85" t="s">
        <v>417</v>
      </c>
      <c r="D26" s="85" t="s">
        <v>418</v>
      </c>
    </row>
    <row r="27" spans="1:4" x14ac:dyDescent="0.25">
      <c r="A27" s="86">
        <v>18</v>
      </c>
      <c r="B27" s="87">
        <v>10.87</v>
      </c>
      <c r="C27" s="87">
        <v>2.37</v>
      </c>
      <c r="D27" s="87">
        <v>0</v>
      </c>
    </row>
    <row r="28" spans="1:4" x14ac:dyDescent="0.25">
      <c r="A28" s="86">
        <v>19</v>
      </c>
      <c r="B28" s="87">
        <v>11.02</v>
      </c>
      <c r="C28" s="87">
        <v>2.4700000000000002</v>
      </c>
      <c r="D28" s="87">
        <v>0</v>
      </c>
    </row>
    <row r="29" spans="1:4" x14ac:dyDescent="0.25">
      <c r="A29" s="86">
        <v>20</v>
      </c>
      <c r="B29" s="87">
        <v>11.18</v>
      </c>
      <c r="C29" s="87">
        <v>2.52</v>
      </c>
      <c r="D29" s="87">
        <v>0</v>
      </c>
    </row>
    <row r="30" spans="1:4" x14ac:dyDescent="0.25">
      <c r="A30" s="86">
        <v>21</v>
      </c>
      <c r="B30" s="87">
        <v>11.34</v>
      </c>
      <c r="C30" s="87">
        <v>2.56</v>
      </c>
      <c r="D30" s="87">
        <v>0</v>
      </c>
    </row>
    <row r="31" spans="1:4" x14ac:dyDescent="0.25">
      <c r="A31" s="86">
        <v>22</v>
      </c>
      <c r="B31" s="87">
        <v>11.51</v>
      </c>
      <c r="C31" s="87">
        <v>2.6</v>
      </c>
      <c r="D31" s="87">
        <v>0</v>
      </c>
    </row>
    <row r="32" spans="1:4" x14ac:dyDescent="0.25">
      <c r="A32" s="86">
        <v>23</v>
      </c>
      <c r="B32" s="87">
        <v>11.67</v>
      </c>
      <c r="C32" s="87">
        <v>2.64</v>
      </c>
      <c r="D32" s="87">
        <v>0</v>
      </c>
    </row>
    <row r="33" spans="1:4" x14ac:dyDescent="0.25">
      <c r="A33" s="86">
        <v>24</v>
      </c>
      <c r="B33" s="87">
        <v>11.84</v>
      </c>
      <c r="C33" s="87">
        <v>2.68</v>
      </c>
      <c r="D33" s="87">
        <v>0</v>
      </c>
    </row>
    <row r="34" spans="1:4" x14ac:dyDescent="0.25">
      <c r="A34" s="86">
        <v>25</v>
      </c>
      <c r="B34" s="87">
        <v>12.01</v>
      </c>
      <c r="C34" s="87">
        <v>2.73</v>
      </c>
      <c r="D34" s="87">
        <v>0</v>
      </c>
    </row>
    <row r="35" spans="1:4" x14ac:dyDescent="0.25">
      <c r="A35" s="86">
        <v>26</v>
      </c>
      <c r="B35" s="87">
        <v>12.19</v>
      </c>
      <c r="C35" s="87">
        <v>2.77</v>
      </c>
      <c r="D35" s="87">
        <v>0</v>
      </c>
    </row>
    <row r="36" spans="1:4" x14ac:dyDescent="0.25">
      <c r="A36" s="86">
        <v>27</v>
      </c>
      <c r="B36" s="87">
        <v>12.36</v>
      </c>
      <c r="C36" s="87">
        <v>2.81</v>
      </c>
      <c r="D36" s="87">
        <v>0</v>
      </c>
    </row>
    <row r="37" spans="1:4" x14ac:dyDescent="0.25">
      <c r="A37" s="86">
        <v>28</v>
      </c>
      <c r="B37" s="87">
        <v>12.54</v>
      </c>
      <c r="C37" s="87">
        <v>2.86</v>
      </c>
      <c r="D37" s="87">
        <v>0</v>
      </c>
    </row>
    <row r="38" spans="1:4" x14ac:dyDescent="0.25">
      <c r="A38" s="86">
        <v>29</v>
      </c>
      <c r="B38" s="87">
        <v>12.73</v>
      </c>
      <c r="C38" s="87">
        <v>2.9</v>
      </c>
      <c r="D38" s="87">
        <v>0</v>
      </c>
    </row>
    <row r="39" spans="1:4" x14ac:dyDescent="0.25">
      <c r="A39" s="86">
        <v>30</v>
      </c>
      <c r="B39" s="87">
        <v>12.91</v>
      </c>
      <c r="C39" s="87">
        <v>2.94</v>
      </c>
      <c r="D39" s="87">
        <v>0</v>
      </c>
    </row>
    <row r="40" spans="1:4" x14ac:dyDescent="0.25">
      <c r="A40" s="86">
        <v>31</v>
      </c>
      <c r="B40" s="87">
        <v>13.1</v>
      </c>
      <c r="C40" s="87">
        <v>2.99</v>
      </c>
      <c r="D40" s="87">
        <v>0</v>
      </c>
    </row>
    <row r="41" spans="1:4" x14ac:dyDescent="0.25">
      <c r="A41" s="86">
        <v>32</v>
      </c>
      <c r="B41" s="87">
        <v>13.3</v>
      </c>
      <c r="C41" s="87">
        <v>3.03</v>
      </c>
      <c r="D41" s="87">
        <v>0</v>
      </c>
    </row>
    <row r="42" spans="1:4" x14ac:dyDescent="0.25">
      <c r="A42" s="86">
        <v>33</v>
      </c>
      <c r="B42" s="87">
        <v>13.49</v>
      </c>
      <c r="C42" s="87">
        <v>3.07</v>
      </c>
      <c r="D42" s="87">
        <v>0</v>
      </c>
    </row>
    <row r="43" spans="1:4" x14ac:dyDescent="0.25">
      <c r="A43" s="86">
        <v>34</v>
      </c>
      <c r="B43" s="87">
        <v>13.69</v>
      </c>
      <c r="C43" s="87">
        <v>3.11</v>
      </c>
      <c r="D43" s="87">
        <v>0</v>
      </c>
    </row>
    <row r="44" spans="1:4" x14ac:dyDescent="0.25">
      <c r="A44" s="86">
        <v>35</v>
      </c>
      <c r="B44" s="87">
        <v>13.89</v>
      </c>
      <c r="C44" s="87">
        <v>3.15</v>
      </c>
      <c r="D44" s="87">
        <v>0</v>
      </c>
    </row>
    <row r="45" spans="1:4" x14ac:dyDescent="0.25">
      <c r="A45" s="86">
        <v>36</v>
      </c>
      <c r="B45" s="87">
        <v>14.1</v>
      </c>
      <c r="C45" s="87">
        <v>3.19</v>
      </c>
      <c r="D45" s="87">
        <v>0</v>
      </c>
    </row>
    <row r="46" spans="1:4" x14ac:dyDescent="0.25">
      <c r="A46" s="86">
        <v>37</v>
      </c>
      <c r="B46" s="87">
        <v>14.31</v>
      </c>
      <c r="C46" s="87">
        <v>3.23</v>
      </c>
      <c r="D46" s="87">
        <v>0</v>
      </c>
    </row>
    <row r="47" spans="1:4" x14ac:dyDescent="0.25">
      <c r="A47" s="86">
        <v>38</v>
      </c>
      <c r="B47" s="87">
        <v>14.53</v>
      </c>
      <c r="C47" s="87">
        <v>3.27</v>
      </c>
      <c r="D47" s="87">
        <v>0</v>
      </c>
    </row>
    <row r="48" spans="1:4" x14ac:dyDescent="0.25">
      <c r="A48" s="86">
        <v>39</v>
      </c>
      <c r="B48" s="87">
        <v>14.75</v>
      </c>
      <c r="C48" s="87">
        <v>3.31</v>
      </c>
      <c r="D48" s="87">
        <v>0</v>
      </c>
    </row>
    <row r="49" spans="1:4" x14ac:dyDescent="0.25">
      <c r="A49" s="86">
        <v>40</v>
      </c>
      <c r="B49" s="87">
        <v>14.97</v>
      </c>
      <c r="C49" s="87">
        <v>3.35</v>
      </c>
      <c r="D49" s="87">
        <v>0</v>
      </c>
    </row>
    <row r="50" spans="1:4" x14ac:dyDescent="0.25">
      <c r="A50" s="86">
        <v>41</v>
      </c>
      <c r="B50" s="87">
        <v>15.2</v>
      </c>
      <c r="C50" s="87">
        <v>3.39</v>
      </c>
      <c r="D50" s="87">
        <v>0</v>
      </c>
    </row>
    <row r="51" spans="1:4" x14ac:dyDescent="0.25">
      <c r="A51" s="86">
        <v>42</v>
      </c>
      <c r="B51" s="87">
        <v>15.43</v>
      </c>
      <c r="C51" s="87">
        <v>3.43</v>
      </c>
      <c r="D51" s="87">
        <v>0</v>
      </c>
    </row>
    <row r="52" spans="1:4" x14ac:dyDescent="0.25">
      <c r="A52" s="86">
        <v>43</v>
      </c>
      <c r="B52" s="87">
        <v>15.67</v>
      </c>
      <c r="C52" s="87">
        <v>3.46</v>
      </c>
      <c r="D52" s="87">
        <v>0</v>
      </c>
    </row>
    <row r="53" spans="1:4" x14ac:dyDescent="0.25">
      <c r="A53" s="86">
        <v>44</v>
      </c>
      <c r="B53" s="87">
        <v>15.91</v>
      </c>
      <c r="C53" s="87">
        <v>3.49</v>
      </c>
      <c r="D53" s="87">
        <v>0</v>
      </c>
    </row>
    <row r="54" spans="1:4" x14ac:dyDescent="0.25">
      <c r="A54" s="86">
        <v>45</v>
      </c>
      <c r="B54" s="87">
        <v>16.16</v>
      </c>
      <c r="C54" s="87">
        <v>3.53</v>
      </c>
      <c r="D54" s="87">
        <v>0</v>
      </c>
    </row>
    <row r="55" spans="1:4" x14ac:dyDescent="0.25">
      <c r="A55" s="86">
        <v>46</v>
      </c>
      <c r="B55" s="87">
        <v>16.420000000000002</v>
      </c>
      <c r="C55" s="87">
        <v>3.56</v>
      </c>
      <c r="D55" s="87">
        <v>0</v>
      </c>
    </row>
    <row r="56" spans="1:4" x14ac:dyDescent="0.25">
      <c r="A56" s="86">
        <v>47</v>
      </c>
      <c r="B56" s="87">
        <v>16.68</v>
      </c>
      <c r="C56" s="87">
        <v>3.59</v>
      </c>
      <c r="D56" s="87">
        <v>0</v>
      </c>
    </row>
    <row r="57" spans="1:4" x14ac:dyDescent="0.25">
      <c r="A57" s="86">
        <v>48</v>
      </c>
      <c r="B57" s="87">
        <v>16.940000000000001</v>
      </c>
      <c r="C57" s="87">
        <v>3.62</v>
      </c>
      <c r="D57" s="87">
        <v>0</v>
      </c>
    </row>
    <row r="58" spans="1:4" x14ac:dyDescent="0.25">
      <c r="A58" s="86">
        <v>49</v>
      </c>
      <c r="B58" s="87">
        <v>17.22</v>
      </c>
      <c r="C58" s="87">
        <v>3.64</v>
      </c>
      <c r="D58" s="87">
        <v>0</v>
      </c>
    </row>
    <row r="59" spans="1:4" x14ac:dyDescent="0.25">
      <c r="A59" s="86">
        <v>50</v>
      </c>
      <c r="B59" s="87">
        <v>17.5</v>
      </c>
      <c r="C59" s="87">
        <v>3.67</v>
      </c>
      <c r="D59" s="87">
        <v>0</v>
      </c>
    </row>
    <row r="60" spans="1:4" x14ac:dyDescent="0.25">
      <c r="A60" s="86">
        <v>51</v>
      </c>
      <c r="B60" s="87">
        <v>17.79</v>
      </c>
      <c r="C60" s="87">
        <v>3.69</v>
      </c>
      <c r="D60" s="87">
        <v>0</v>
      </c>
    </row>
    <row r="61" spans="1:4" x14ac:dyDescent="0.25">
      <c r="A61" s="86">
        <v>52</v>
      </c>
      <c r="B61" s="87">
        <v>18.09</v>
      </c>
      <c r="C61" s="87">
        <v>3.72</v>
      </c>
      <c r="D61" s="87">
        <v>0</v>
      </c>
    </row>
    <row r="62" spans="1:4" x14ac:dyDescent="0.25">
      <c r="A62" s="86">
        <v>53</v>
      </c>
      <c r="B62" s="87">
        <v>18.39</v>
      </c>
      <c r="C62" s="87">
        <v>3.74</v>
      </c>
      <c r="D62" s="87">
        <v>0</v>
      </c>
    </row>
    <row r="63" spans="1:4" x14ac:dyDescent="0.25">
      <c r="A63" s="86">
        <v>54</v>
      </c>
      <c r="B63" s="87">
        <v>18.71</v>
      </c>
      <c r="C63" s="87">
        <v>3.76</v>
      </c>
      <c r="D63" s="87">
        <v>0</v>
      </c>
    </row>
    <row r="64" spans="1:4" x14ac:dyDescent="0.25">
      <c r="A64" s="86">
        <v>55</v>
      </c>
      <c r="B64" s="87">
        <v>19.03</v>
      </c>
      <c r="C64" s="87">
        <v>3.78</v>
      </c>
      <c r="D64" s="87">
        <v>0</v>
      </c>
    </row>
    <row r="65" spans="1:4" x14ac:dyDescent="0.25">
      <c r="A65" s="86">
        <v>56</v>
      </c>
      <c r="B65" s="87">
        <v>19.36</v>
      </c>
      <c r="C65" s="87">
        <v>3.79</v>
      </c>
      <c r="D65" s="87">
        <v>0</v>
      </c>
    </row>
    <row r="66" spans="1:4" x14ac:dyDescent="0.25">
      <c r="A66" s="86">
        <v>57</v>
      </c>
      <c r="B66" s="87">
        <v>19.71</v>
      </c>
      <c r="C66" s="87">
        <v>3.81</v>
      </c>
      <c r="D66" s="87">
        <v>0</v>
      </c>
    </row>
    <row r="67" spans="1:4" x14ac:dyDescent="0.25">
      <c r="A67" s="86">
        <v>58</v>
      </c>
      <c r="B67" s="87">
        <v>20.07</v>
      </c>
      <c r="C67" s="87">
        <v>3.82</v>
      </c>
      <c r="D67" s="87">
        <v>0</v>
      </c>
    </row>
    <row r="68" spans="1:4" x14ac:dyDescent="0.25">
      <c r="A68" s="86">
        <v>59</v>
      </c>
      <c r="B68" s="87">
        <v>20.440000000000001</v>
      </c>
      <c r="C68" s="87">
        <v>3.83</v>
      </c>
      <c r="D68" s="87">
        <v>0</v>
      </c>
    </row>
  </sheetData>
  <sheetProtection algorithmName="SHA-512" hashValue="fmEpWj1/MNicIkuMex6UlxP6K/rfy/shP6qMqliguzB5VNWF7S5tBlAjvubiC2Zwsqzr8SN9iHHShd5fCGMzDQ==" saltValue="2jZZuWl2ULExPmDmA8F8qw==" spinCount="100000" sheet="1" objects="1" scenarios="1"/>
  <conditionalFormatting sqref="A6:A21">
    <cfRule type="expression" dxfId="901" priority="11" stopIfTrue="1">
      <formula>MOD(ROW(),2)=0</formula>
    </cfRule>
    <cfRule type="expression" dxfId="900" priority="12" stopIfTrue="1">
      <formula>MOD(ROW(),2)&lt;&gt;0</formula>
    </cfRule>
  </conditionalFormatting>
  <conditionalFormatting sqref="A26:A68">
    <cfRule type="expression" dxfId="899" priority="3" stopIfTrue="1">
      <formula>MOD(ROW(),2)=0</formula>
    </cfRule>
    <cfRule type="expression" dxfId="898" priority="4" stopIfTrue="1">
      <formula>MOD(ROW(),2)&lt;&gt;0</formula>
    </cfRule>
  </conditionalFormatting>
  <conditionalFormatting sqref="B19:B21">
    <cfRule type="expression" dxfId="897" priority="13" stopIfTrue="1">
      <formula>MOD(ROW(),2)=0</formula>
    </cfRule>
    <cfRule type="expression" dxfId="896" priority="14" stopIfTrue="1">
      <formula>MOD(ROW(),2)&lt;&gt;0</formula>
    </cfRule>
  </conditionalFormatting>
  <conditionalFormatting sqref="B6:D21 B26:D68">
    <cfRule type="expression" dxfId="895" priority="9" stopIfTrue="1">
      <formula>MOD(ROW(),2)=0</formula>
    </cfRule>
    <cfRule type="expression" dxfId="894" priority="10" stopIfTrue="1">
      <formula>MOD(ROW(),2)&lt;&gt;0</formula>
    </cfRule>
  </conditionalFormatting>
  <conditionalFormatting sqref="C17:D17">
    <cfRule type="expression" dxfId="893" priority="1" stopIfTrue="1">
      <formula>MOD(ROW(),2)=0</formula>
    </cfRule>
    <cfRule type="expression" dxfId="892" priority="2" stopIfTrue="1">
      <formula>MOD(ROW(),2)&lt;&gt;0</formula>
    </cfRule>
  </conditionalFormatting>
  <hyperlinks>
    <hyperlink ref="B24" location="Assumptions!A1" display="Assumptions" xr:uid="{E5D3F5D5-7E2F-4104-906A-DF82B5C1E15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3"/>
  <dimension ref="A1:K46"/>
  <sheetViews>
    <sheetView showGridLines="0" topLeftCell="A2" zoomScale="84" zoomScaleNormal="84" workbookViewId="0">
      <selection activeCell="B6" sqref="B6:K21"/>
    </sheetView>
  </sheetViews>
  <sheetFormatPr defaultColWidth="10" defaultRowHeight="13.2" x14ac:dyDescent="0.25"/>
  <cols>
    <col min="1" max="1" width="31.5546875" style="27" customWidth="1"/>
    <col min="2" max="11" width="22.5546875" style="27" customWidth="1"/>
    <col min="12" max="16384" width="10" style="27"/>
  </cols>
  <sheetData>
    <row r="1" spans="1:11" ht="21" x14ac:dyDescent="0.4">
      <c r="A1" s="39" t="s">
        <v>0</v>
      </c>
      <c r="B1" s="40"/>
      <c r="C1" s="40"/>
      <c r="D1" s="40"/>
      <c r="E1" s="40"/>
      <c r="F1" s="40"/>
      <c r="G1" s="40"/>
      <c r="H1" s="40"/>
      <c r="I1" s="40"/>
    </row>
    <row r="2" spans="1:11" ht="15.6" x14ac:dyDescent="0.3">
      <c r="A2" s="41" t="str">
        <f>IF(title="&gt; Enter workbook title here","Enter workbook title in Cover sheet",title)</f>
        <v>Fire England - Consolidated Factor Spreadsheet</v>
      </c>
      <c r="B2" s="42"/>
      <c r="C2" s="42"/>
      <c r="D2" s="42"/>
      <c r="E2" s="42"/>
      <c r="F2" s="42"/>
      <c r="G2" s="42"/>
      <c r="H2" s="42"/>
      <c r="I2" s="42"/>
    </row>
    <row r="3" spans="1:11" ht="15.6" x14ac:dyDescent="0.3">
      <c r="A3" s="43" t="str">
        <f>TABLE_FACTOR_TYPE_1&amp;" - x-"&amp;TABLE_SERIES_NUMBER_1</f>
        <v>Scheme pays AA - x-617</v>
      </c>
      <c r="B3" s="42"/>
      <c r="C3" s="42"/>
      <c r="D3" s="42"/>
      <c r="E3" s="42"/>
      <c r="F3" s="42"/>
      <c r="G3" s="42"/>
      <c r="H3" s="42"/>
      <c r="I3" s="42"/>
    </row>
    <row r="4" spans="1:11" x14ac:dyDescent="0.25">
      <c r="A4" s="44"/>
    </row>
    <row r="6" spans="1:11" x14ac:dyDescent="0.25">
      <c r="A6" s="74" t="s">
        <v>334</v>
      </c>
      <c r="B6" s="148" t="s">
        <v>335</v>
      </c>
      <c r="C6" s="148"/>
      <c r="D6" s="148"/>
      <c r="E6" s="148"/>
      <c r="F6" s="148"/>
      <c r="G6" s="148"/>
      <c r="H6" s="148"/>
      <c r="I6" s="148"/>
      <c r="J6" s="148"/>
      <c r="K6" s="148"/>
    </row>
    <row r="7" spans="1:11" x14ac:dyDescent="0.25">
      <c r="A7" s="76" t="s">
        <v>78</v>
      </c>
      <c r="B7" s="148" t="s">
        <v>67</v>
      </c>
      <c r="C7" s="148"/>
      <c r="D7" s="148"/>
      <c r="E7" s="148"/>
      <c r="F7" s="148"/>
      <c r="G7" s="148"/>
      <c r="H7" s="148"/>
      <c r="I7" s="148"/>
      <c r="J7" s="148"/>
      <c r="K7" s="148"/>
    </row>
    <row r="8" spans="1:11" x14ac:dyDescent="0.25">
      <c r="A8" s="76" t="s">
        <v>79</v>
      </c>
      <c r="B8" s="148">
        <v>2006</v>
      </c>
      <c r="C8" s="148"/>
      <c r="D8" s="148"/>
      <c r="E8" s="148"/>
      <c r="F8" s="148"/>
      <c r="G8" s="148"/>
      <c r="H8" s="148"/>
      <c r="I8" s="148"/>
      <c r="J8" s="148"/>
      <c r="K8" s="148"/>
    </row>
    <row r="9" spans="1:11" x14ac:dyDescent="0.25">
      <c r="A9" s="76" t="s">
        <v>80</v>
      </c>
      <c r="B9" s="148" t="s">
        <v>257</v>
      </c>
      <c r="C9" s="148"/>
      <c r="D9" s="148"/>
      <c r="E9" s="148"/>
      <c r="F9" s="148"/>
      <c r="G9" s="148"/>
      <c r="H9" s="148"/>
      <c r="I9" s="148"/>
      <c r="J9" s="148"/>
      <c r="K9" s="148"/>
    </row>
    <row r="10" spans="1:11" x14ac:dyDescent="0.25">
      <c r="A10" s="76" t="s">
        <v>6</v>
      </c>
      <c r="B10" s="148" t="s">
        <v>291</v>
      </c>
      <c r="C10" s="148"/>
      <c r="D10" s="148"/>
      <c r="E10" s="148"/>
      <c r="F10" s="148"/>
      <c r="G10" s="148"/>
      <c r="H10" s="148"/>
      <c r="I10" s="148"/>
      <c r="J10" s="148"/>
      <c r="K10" s="148"/>
    </row>
    <row r="11" spans="1:11" x14ac:dyDescent="0.25">
      <c r="A11" s="76" t="s">
        <v>81</v>
      </c>
      <c r="B11" s="148" t="s">
        <v>176</v>
      </c>
      <c r="C11" s="148"/>
      <c r="D11" s="148"/>
      <c r="E11" s="148"/>
      <c r="F11" s="148"/>
      <c r="G11" s="148"/>
      <c r="H11" s="148"/>
      <c r="I11" s="148"/>
      <c r="J11" s="148"/>
      <c r="K11" s="148"/>
    </row>
    <row r="12" spans="1:11" x14ac:dyDescent="0.25">
      <c r="A12" s="76" t="s">
        <v>82</v>
      </c>
      <c r="B12" s="148" t="s">
        <v>284</v>
      </c>
      <c r="C12" s="148"/>
      <c r="D12" s="148"/>
      <c r="E12" s="148"/>
      <c r="F12" s="148"/>
      <c r="G12" s="148"/>
      <c r="H12" s="148"/>
      <c r="I12" s="148"/>
      <c r="J12" s="148"/>
      <c r="K12" s="148"/>
    </row>
    <row r="13" spans="1:11" x14ac:dyDescent="0.25">
      <c r="A13" s="76" t="s">
        <v>342</v>
      </c>
      <c r="B13" s="148">
        <v>1</v>
      </c>
      <c r="C13" s="148"/>
      <c r="D13" s="148"/>
      <c r="E13" s="148"/>
      <c r="F13" s="148"/>
      <c r="G13" s="148"/>
      <c r="H13" s="148"/>
      <c r="I13" s="148"/>
      <c r="J13" s="148"/>
      <c r="K13" s="148"/>
    </row>
    <row r="14" spans="1:11" x14ac:dyDescent="0.25">
      <c r="A14" s="76" t="s">
        <v>84</v>
      </c>
      <c r="B14" s="148">
        <v>617</v>
      </c>
      <c r="C14" s="148"/>
      <c r="D14" s="148"/>
      <c r="E14" s="148"/>
      <c r="F14" s="148"/>
      <c r="G14" s="148"/>
      <c r="H14" s="148"/>
      <c r="I14" s="148"/>
      <c r="J14" s="148"/>
      <c r="K14" s="148"/>
    </row>
    <row r="15" spans="1:11" x14ac:dyDescent="0.25">
      <c r="A15" s="76" t="s">
        <v>345</v>
      </c>
      <c r="B15" s="148" t="s">
        <v>292</v>
      </c>
      <c r="C15" s="148"/>
      <c r="D15" s="148"/>
      <c r="E15" s="148"/>
      <c r="F15" s="148"/>
      <c r="G15" s="148"/>
      <c r="H15" s="148"/>
      <c r="I15" s="148"/>
      <c r="J15" s="148"/>
      <c r="K15" s="148"/>
    </row>
    <row r="16" spans="1:11" x14ac:dyDescent="0.25">
      <c r="A16" s="76" t="s">
        <v>86</v>
      </c>
      <c r="B16" s="148" t="s">
        <v>293</v>
      </c>
      <c r="C16" s="148"/>
      <c r="D16" s="148"/>
      <c r="E16" s="148"/>
      <c r="F16" s="148"/>
      <c r="G16" s="148"/>
      <c r="H16" s="148"/>
      <c r="I16" s="148"/>
      <c r="J16" s="148"/>
      <c r="K16" s="148"/>
    </row>
    <row r="17" spans="1:11" x14ac:dyDescent="0.25">
      <c r="A17" s="76" t="s">
        <v>414</v>
      </c>
      <c r="B17" s="148"/>
      <c r="C17" s="148"/>
      <c r="D17" s="148"/>
      <c r="E17" s="148"/>
      <c r="F17" s="148"/>
      <c r="G17" s="148"/>
      <c r="H17" s="148"/>
      <c r="I17" s="148"/>
      <c r="J17" s="148"/>
      <c r="K17" s="148"/>
    </row>
    <row r="18" spans="1:11" x14ac:dyDescent="0.25">
      <c r="A18" s="76" t="s">
        <v>88</v>
      </c>
      <c r="B18" s="152">
        <v>45135</v>
      </c>
      <c r="C18" s="148"/>
      <c r="D18" s="148"/>
      <c r="E18" s="148"/>
      <c r="F18" s="148"/>
      <c r="G18" s="148"/>
      <c r="H18" s="148"/>
      <c r="I18" s="148"/>
      <c r="J18" s="148"/>
      <c r="K18" s="148"/>
    </row>
    <row r="19" spans="1:11" x14ac:dyDescent="0.25">
      <c r="A19" s="76" t="s">
        <v>89</v>
      </c>
      <c r="B19" s="152">
        <v>45135</v>
      </c>
      <c r="C19" s="148"/>
      <c r="D19" s="148"/>
      <c r="E19" s="148"/>
      <c r="F19" s="148"/>
      <c r="G19" s="148"/>
      <c r="H19" s="148"/>
      <c r="I19" s="148"/>
      <c r="J19" s="148"/>
      <c r="K19" s="148"/>
    </row>
    <row r="20" spans="1:11" x14ac:dyDescent="0.25">
      <c r="A20" s="76" t="s">
        <v>90</v>
      </c>
      <c r="B20" s="148" t="s">
        <v>98</v>
      </c>
      <c r="C20" s="148"/>
      <c r="D20" s="148"/>
      <c r="E20" s="148"/>
      <c r="F20" s="148"/>
      <c r="G20" s="148"/>
      <c r="H20" s="148"/>
      <c r="I20" s="148"/>
      <c r="J20" s="148"/>
      <c r="K20" s="148"/>
    </row>
    <row r="21" spans="1:11" x14ac:dyDescent="0.25">
      <c r="A21" s="72" t="s">
        <v>91</v>
      </c>
      <c r="B21" s="148" t="s">
        <v>99</v>
      </c>
      <c r="C21" s="148"/>
      <c r="D21" s="148"/>
      <c r="E21" s="148"/>
      <c r="F21" s="148"/>
      <c r="G21" s="148"/>
      <c r="H21" s="148"/>
      <c r="I21" s="148"/>
      <c r="J21" s="148"/>
      <c r="K21" s="148"/>
    </row>
    <row r="23" spans="1:11" x14ac:dyDescent="0.25">
      <c r="B23" s="89" t="str">
        <f>HYPERLINK("#'Factor List'!A1","Back to Factor List")</f>
        <v>Back to Factor List</v>
      </c>
    </row>
    <row r="24" spans="1:11" x14ac:dyDescent="0.25">
      <c r="B24" s="89" t="s">
        <v>13</v>
      </c>
    </row>
    <row r="25" spans="1:11" x14ac:dyDescent="0.25">
      <c r="B25" s="89"/>
    </row>
    <row r="26" spans="1:11" x14ac:dyDescent="0.25">
      <c r="A26" s="85" t="s">
        <v>439</v>
      </c>
      <c r="B26" s="85">
        <v>60</v>
      </c>
      <c r="C26" s="85">
        <v>61</v>
      </c>
      <c r="D26" s="85">
        <v>62</v>
      </c>
      <c r="E26" s="85">
        <v>63</v>
      </c>
      <c r="F26" s="85">
        <v>64</v>
      </c>
      <c r="G26" s="85">
        <v>65</v>
      </c>
      <c r="H26" s="85">
        <v>66</v>
      </c>
      <c r="I26" s="85">
        <v>67</v>
      </c>
      <c r="J26" s="85">
        <v>68</v>
      </c>
      <c r="K26" s="85">
        <v>69</v>
      </c>
    </row>
    <row r="27" spans="1:11" x14ac:dyDescent="0.25">
      <c r="A27" s="86">
        <v>0</v>
      </c>
      <c r="B27" s="88">
        <v>1</v>
      </c>
      <c r="C27" s="88">
        <v>1.05</v>
      </c>
      <c r="D27" s="88">
        <v>1.105</v>
      </c>
      <c r="E27" s="88">
        <v>1.1639999999999999</v>
      </c>
      <c r="F27" s="88">
        <v>1.228</v>
      </c>
      <c r="G27" s="88">
        <v>1.298</v>
      </c>
      <c r="H27" s="88">
        <v>1.3740000000000001</v>
      </c>
      <c r="I27" s="88">
        <v>1.4570000000000001</v>
      </c>
      <c r="J27" s="88">
        <v>1.548</v>
      </c>
      <c r="K27" s="88">
        <v>1.6479999999999999</v>
      </c>
    </row>
    <row r="28" spans="1:11" x14ac:dyDescent="0.25">
      <c r="A28" s="86">
        <v>1</v>
      </c>
      <c r="B28" s="88">
        <v>1.004</v>
      </c>
      <c r="C28" s="88">
        <v>1.0549999999999999</v>
      </c>
      <c r="D28" s="88">
        <v>1.1100000000000001</v>
      </c>
      <c r="E28" s="88">
        <v>1.169</v>
      </c>
      <c r="F28" s="88">
        <v>1.234</v>
      </c>
      <c r="G28" s="88">
        <v>1.304</v>
      </c>
      <c r="H28" s="88">
        <v>1.381</v>
      </c>
      <c r="I28" s="88">
        <v>1.4650000000000001</v>
      </c>
      <c r="J28" s="88">
        <v>1.5569999999999999</v>
      </c>
      <c r="K28" s="88">
        <v>1.6579999999999999</v>
      </c>
    </row>
    <row r="29" spans="1:11" x14ac:dyDescent="0.25">
      <c r="A29" s="86">
        <v>2</v>
      </c>
      <c r="B29" s="88">
        <v>1.008</v>
      </c>
      <c r="C29" s="88">
        <v>1.0589999999999999</v>
      </c>
      <c r="D29" s="88">
        <v>1.115</v>
      </c>
      <c r="E29" s="88">
        <v>1.175</v>
      </c>
      <c r="F29" s="88">
        <v>1.24</v>
      </c>
      <c r="G29" s="88">
        <v>1.3109999999999999</v>
      </c>
      <c r="H29" s="88">
        <v>1.3879999999999999</v>
      </c>
      <c r="I29" s="88">
        <v>1.472</v>
      </c>
      <c r="J29" s="88">
        <v>1.5649999999999999</v>
      </c>
      <c r="K29" s="88">
        <v>1.667</v>
      </c>
    </row>
    <row r="30" spans="1:11" x14ac:dyDescent="0.25">
      <c r="A30" s="86">
        <v>3</v>
      </c>
      <c r="B30" s="88">
        <v>1.0129999999999999</v>
      </c>
      <c r="C30" s="88">
        <v>1.0640000000000001</v>
      </c>
      <c r="D30" s="88">
        <v>1.1200000000000001</v>
      </c>
      <c r="E30" s="88">
        <v>1.18</v>
      </c>
      <c r="F30" s="88">
        <v>1.2450000000000001</v>
      </c>
      <c r="G30" s="88">
        <v>1.3169999999999999</v>
      </c>
      <c r="H30" s="88">
        <v>1.395</v>
      </c>
      <c r="I30" s="88">
        <v>1.48</v>
      </c>
      <c r="J30" s="88">
        <v>1.573</v>
      </c>
      <c r="K30" s="88">
        <v>1.6759999999999999</v>
      </c>
    </row>
    <row r="31" spans="1:11" x14ac:dyDescent="0.25">
      <c r="A31" s="86">
        <v>4</v>
      </c>
      <c r="B31" s="88">
        <v>1.0169999999999999</v>
      </c>
      <c r="C31" s="88">
        <v>1.0680000000000001</v>
      </c>
      <c r="D31" s="88">
        <v>1.1240000000000001</v>
      </c>
      <c r="E31" s="88">
        <v>1.1850000000000001</v>
      </c>
      <c r="F31" s="88">
        <v>1.2509999999999999</v>
      </c>
      <c r="G31" s="88">
        <v>1.323</v>
      </c>
      <c r="H31" s="88">
        <v>1.4019999999999999</v>
      </c>
      <c r="I31" s="88">
        <v>1.4870000000000001</v>
      </c>
      <c r="J31" s="88">
        <v>1.5820000000000001</v>
      </c>
      <c r="K31" s="88">
        <v>1.6850000000000001</v>
      </c>
    </row>
    <row r="32" spans="1:11" x14ac:dyDescent="0.25">
      <c r="A32" s="86">
        <v>5</v>
      </c>
      <c r="B32" s="88">
        <v>1.0209999999999999</v>
      </c>
      <c r="C32" s="88">
        <v>1.073</v>
      </c>
      <c r="D32" s="88">
        <v>1.129</v>
      </c>
      <c r="E32" s="88">
        <v>1.1910000000000001</v>
      </c>
      <c r="F32" s="88">
        <v>1.2569999999999999</v>
      </c>
      <c r="G32" s="88">
        <v>1.33</v>
      </c>
      <c r="H32" s="88">
        <v>1.409</v>
      </c>
      <c r="I32" s="88">
        <v>1.4950000000000001</v>
      </c>
      <c r="J32" s="88">
        <v>1.59</v>
      </c>
      <c r="K32" s="88">
        <v>1.694</v>
      </c>
    </row>
    <row r="33" spans="1:11" x14ac:dyDescent="0.25">
      <c r="A33" s="86">
        <v>6</v>
      </c>
      <c r="B33" s="88">
        <v>1.0249999999999999</v>
      </c>
      <c r="C33" s="88">
        <v>1.0780000000000001</v>
      </c>
      <c r="D33" s="88">
        <v>1.1339999999999999</v>
      </c>
      <c r="E33" s="88">
        <v>1.196</v>
      </c>
      <c r="F33" s="88">
        <v>1.2629999999999999</v>
      </c>
      <c r="G33" s="88">
        <v>1.3360000000000001</v>
      </c>
      <c r="H33" s="88">
        <v>1.4159999999999999</v>
      </c>
      <c r="I33" s="88">
        <v>1.5029999999999999</v>
      </c>
      <c r="J33" s="88">
        <v>1.5980000000000001</v>
      </c>
      <c r="K33" s="88">
        <v>1.7030000000000001</v>
      </c>
    </row>
    <row r="34" spans="1:11" x14ac:dyDescent="0.25">
      <c r="A34" s="86">
        <v>7</v>
      </c>
      <c r="B34" s="88">
        <v>1.0289999999999999</v>
      </c>
      <c r="C34" s="88">
        <v>1.0820000000000001</v>
      </c>
      <c r="D34" s="88">
        <v>1.139</v>
      </c>
      <c r="E34" s="88">
        <v>1.2010000000000001</v>
      </c>
      <c r="F34" s="88">
        <v>1.2689999999999999</v>
      </c>
      <c r="G34" s="88">
        <v>1.3420000000000001</v>
      </c>
      <c r="H34" s="88">
        <v>1.4219999999999999</v>
      </c>
      <c r="I34" s="88">
        <v>1.51</v>
      </c>
      <c r="J34" s="88">
        <v>1.607</v>
      </c>
      <c r="K34" s="88">
        <v>1.7130000000000001</v>
      </c>
    </row>
    <row r="35" spans="1:11" x14ac:dyDescent="0.25">
      <c r="A35" s="86">
        <v>8</v>
      </c>
      <c r="B35" s="88">
        <v>1.034</v>
      </c>
      <c r="C35" s="88">
        <v>1.087</v>
      </c>
      <c r="D35" s="88">
        <v>1.1439999999999999</v>
      </c>
      <c r="E35" s="88">
        <v>1.2070000000000001</v>
      </c>
      <c r="F35" s="88">
        <v>1.2749999999999999</v>
      </c>
      <c r="G35" s="88">
        <v>1.349</v>
      </c>
      <c r="H35" s="88">
        <v>1.429</v>
      </c>
      <c r="I35" s="88">
        <v>1.518</v>
      </c>
      <c r="J35" s="88">
        <v>1.615</v>
      </c>
      <c r="K35" s="88">
        <v>1.722</v>
      </c>
    </row>
    <row r="36" spans="1:11" x14ac:dyDescent="0.25">
      <c r="A36" s="86">
        <v>9</v>
      </c>
      <c r="B36" s="88">
        <v>1.038</v>
      </c>
      <c r="C36" s="88">
        <v>1.091</v>
      </c>
      <c r="D36" s="88">
        <v>1.149</v>
      </c>
      <c r="E36" s="88">
        <v>1.212</v>
      </c>
      <c r="F36" s="88">
        <v>1.28</v>
      </c>
      <c r="G36" s="88">
        <v>1.355</v>
      </c>
      <c r="H36" s="88">
        <v>1.4359999999999999</v>
      </c>
      <c r="I36" s="88">
        <v>1.5249999999999999</v>
      </c>
      <c r="J36" s="88">
        <v>1.623</v>
      </c>
      <c r="K36" s="88">
        <v>1.7310000000000001</v>
      </c>
    </row>
    <row r="37" spans="1:11" x14ac:dyDescent="0.25">
      <c r="A37" s="86">
        <v>10</v>
      </c>
      <c r="B37" s="88">
        <v>1.042</v>
      </c>
      <c r="C37" s="88">
        <v>1.0960000000000001</v>
      </c>
      <c r="D37" s="88">
        <v>1.1539999999999999</v>
      </c>
      <c r="E37" s="88">
        <v>1.2170000000000001</v>
      </c>
      <c r="F37" s="88">
        <v>1.286</v>
      </c>
      <c r="G37" s="88">
        <v>1.361</v>
      </c>
      <c r="H37" s="88">
        <v>1.4430000000000001</v>
      </c>
      <c r="I37" s="88">
        <v>1.5329999999999999</v>
      </c>
      <c r="J37" s="88">
        <v>1.6319999999999999</v>
      </c>
      <c r="K37" s="88">
        <v>1.74</v>
      </c>
    </row>
    <row r="38" spans="1:11" x14ac:dyDescent="0.25">
      <c r="A38" s="86">
        <v>11</v>
      </c>
      <c r="B38" s="88">
        <v>1.046</v>
      </c>
      <c r="C38" s="88">
        <v>1.1000000000000001</v>
      </c>
      <c r="D38" s="88">
        <v>1.159</v>
      </c>
      <c r="E38" s="88">
        <v>1.2230000000000001</v>
      </c>
      <c r="F38" s="88">
        <v>1.292</v>
      </c>
      <c r="G38" s="88">
        <v>1.3680000000000001</v>
      </c>
      <c r="H38" s="88">
        <v>1.45</v>
      </c>
      <c r="I38" s="88">
        <v>1.5409999999999999</v>
      </c>
      <c r="J38" s="88">
        <v>1.64</v>
      </c>
      <c r="K38" s="88">
        <v>1.7490000000000001</v>
      </c>
    </row>
    <row r="44" spans="1:11" ht="39.6" customHeight="1" x14ac:dyDescent="0.25"/>
    <row r="46" spans="1:11" ht="27.6" customHeight="1" x14ac:dyDescent="0.25"/>
  </sheetData>
  <sheetProtection algorithmName="SHA-512" hashValue="OKOV3/PlJfFwuRSJG/N73glsZeSpbii5V+pKXagTDmymC4aemxHsAajHVQerUOBGroX5PRldBI/9hJNwqVs8pA==" saltValue="oSSwmF8rtzCyWY2wQrVPMg==" spinCount="100000" sheet="1" objects="1" scenarios="1"/>
  <conditionalFormatting sqref="A6:A21">
    <cfRule type="expression" dxfId="129" priority="1" stopIfTrue="1">
      <formula>MOD(ROW(),2)=0</formula>
    </cfRule>
    <cfRule type="expression" dxfId="128" priority="2" stopIfTrue="1">
      <formula>MOD(ROW(),2)&lt;&gt;0</formula>
    </cfRule>
  </conditionalFormatting>
  <conditionalFormatting sqref="A26:A38">
    <cfRule type="expression" dxfId="127" priority="7" stopIfTrue="1">
      <formula>MOD(ROW(),2)=0</formula>
    </cfRule>
    <cfRule type="expression" dxfId="126" priority="8" stopIfTrue="1">
      <formula>MOD(ROW(),2)&lt;&gt;0</formula>
    </cfRule>
  </conditionalFormatting>
  <conditionalFormatting sqref="B17:B21">
    <cfRule type="expression" dxfId="125" priority="11" stopIfTrue="1">
      <formula>MOD(ROW(),2)=0</formula>
    </cfRule>
    <cfRule type="expression" dxfId="124" priority="12" stopIfTrue="1">
      <formula>MOD(ROW(),2)&lt;&gt;0</formula>
    </cfRule>
  </conditionalFormatting>
  <conditionalFormatting sqref="B6:K21 B26:K38">
    <cfRule type="expression" dxfId="123" priority="23" stopIfTrue="1">
      <formula>MOD(ROW(),2)=0</formula>
    </cfRule>
    <cfRule type="expression" dxfId="122" priority="24" stopIfTrue="1">
      <formula>MOD(ROW(),2)&lt;&gt;0</formula>
    </cfRule>
  </conditionalFormatting>
  <hyperlinks>
    <hyperlink ref="B24" location="Assumptions!A1" display="Assumptions" xr:uid="{669C557F-1A36-492A-A7E1-34284FF3DD9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dimension ref="A1:AV46"/>
  <sheetViews>
    <sheetView showGridLines="0" topLeftCell="N1" zoomScale="84" zoomScaleNormal="84" workbookViewId="0">
      <selection activeCell="B6" sqref="B6:AV21"/>
    </sheetView>
  </sheetViews>
  <sheetFormatPr defaultColWidth="10" defaultRowHeight="13.2" x14ac:dyDescent="0.25"/>
  <cols>
    <col min="1" max="1" width="31.5546875" style="27" customWidth="1"/>
    <col min="2" max="48" width="22.5546875" style="27" customWidth="1"/>
    <col min="49" max="16384" width="10" style="27"/>
  </cols>
  <sheetData>
    <row r="1" spans="1:48" ht="21" x14ac:dyDescent="0.4">
      <c r="A1" s="39" t="s">
        <v>0</v>
      </c>
      <c r="B1" s="40"/>
      <c r="C1" s="40"/>
      <c r="D1" s="40"/>
      <c r="E1" s="40"/>
      <c r="F1" s="40"/>
      <c r="G1" s="40"/>
      <c r="H1" s="40"/>
      <c r="I1" s="40"/>
    </row>
    <row r="2" spans="1:48" ht="15.6" x14ac:dyDescent="0.3">
      <c r="A2" s="41" t="str">
        <f>IF(title="&gt; Enter workbook title here","Enter workbook title in Cover sheet",title)</f>
        <v>Fire England - Consolidated Factor Spreadsheet</v>
      </c>
      <c r="B2" s="42"/>
      <c r="C2" s="42"/>
      <c r="D2" s="42"/>
      <c r="E2" s="42"/>
      <c r="F2" s="42"/>
      <c r="G2" s="42"/>
      <c r="H2" s="42"/>
      <c r="I2" s="42"/>
    </row>
    <row r="3" spans="1:48" ht="15.6" x14ac:dyDescent="0.3">
      <c r="A3" s="43" t="str">
        <f>TABLE_FACTOR_TYPE_1&amp;" - x-"&amp;TABLE_SERIES_NUMBER_1</f>
        <v>Scheme pays AA - x-618</v>
      </c>
      <c r="B3" s="42"/>
      <c r="C3" s="42"/>
      <c r="D3" s="42"/>
      <c r="E3" s="42"/>
      <c r="F3" s="42"/>
      <c r="G3" s="42"/>
      <c r="H3" s="42"/>
      <c r="I3" s="42"/>
    </row>
    <row r="4" spans="1:48" x14ac:dyDescent="0.25">
      <c r="A4" s="44"/>
    </row>
    <row r="6" spans="1:48" x14ac:dyDescent="0.25">
      <c r="A6" s="74" t="s">
        <v>334</v>
      </c>
      <c r="B6" s="148" t="s">
        <v>335</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row>
    <row r="7" spans="1:48" x14ac:dyDescent="0.25">
      <c r="A7" s="76" t="s">
        <v>78</v>
      </c>
      <c r="B7" s="148" t="s">
        <v>67</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row>
    <row r="8" spans="1:48" x14ac:dyDescent="0.25">
      <c r="A8" s="76" t="s">
        <v>79</v>
      </c>
      <c r="B8" s="148">
        <v>2006</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row>
    <row r="9" spans="1:48" x14ac:dyDescent="0.25">
      <c r="A9" s="76" t="s">
        <v>80</v>
      </c>
      <c r="B9" s="148" t="s">
        <v>257</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row>
    <row r="10" spans="1:48" x14ac:dyDescent="0.25">
      <c r="A10" s="76" t="s">
        <v>6</v>
      </c>
      <c r="B10" s="148" t="s">
        <v>294</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row>
    <row r="11" spans="1:48" x14ac:dyDescent="0.25">
      <c r="A11" s="76" t="s">
        <v>81</v>
      </c>
      <c r="B11" s="148" t="s">
        <v>176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row>
    <row r="12" spans="1:48" x14ac:dyDescent="0.25">
      <c r="A12" s="76" t="s">
        <v>82</v>
      </c>
      <c r="B12" s="148" t="s">
        <v>284</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row>
    <row r="13" spans="1:48" x14ac:dyDescent="0.25">
      <c r="A13" s="76" t="s">
        <v>342</v>
      </c>
      <c r="B13" s="148">
        <v>1</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row>
    <row r="14" spans="1:48" x14ac:dyDescent="0.25">
      <c r="A14" s="76" t="s">
        <v>84</v>
      </c>
      <c r="B14" s="148">
        <v>618</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row>
    <row r="15" spans="1:48" x14ac:dyDescent="0.25">
      <c r="A15" s="76" t="s">
        <v>345</v>
      </c>
      <c r="B15" s="148" t="s">
        <v>295</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row>
    <row r="16" spans="1:48" x14ac:dyDescent="0.25">
      <c r="A16" s="76" t="s">
        <v>86</v>
      </c>
      <c r="B16" s="148" t="s">
        <v>282</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row>
    <row r="17" spans="1:48" x14ac:dyDescent="0.25">
      <c r="A17" s="76" t="s">
        <v>414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row>
    <row r="18" spans="1:48" x14ac:dyDescent="0.25">
      <c r="A18" s="76" t="s">
        <v>88</v>
      </c>
      <c r="B18" s="152">
        <v>45135</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row>
    <row r="19" spans="1:48" x14ac:dyDescent="0.25">
      <c r="A19" s="76" t="s">
        <v>89</v>
      </c>
      <c r="B19" s="152">
        <v>45135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row>
    <row r="20" spans="1:48" x14ac:dyDescent="0.25">
      <c r="A20" s="76" t="s">
        <v>90</v>
      </c>
      <c r="B20" s="148" t="s">
        <v>98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row>
    <row r="21" spans="1:48" x14ac:dyDescent="0.25">
      <c r="A21" s="72" t="s">
        <v>91</v>
      </c>
      <c r="B21" s="148" t="s">
        <v>99</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row>
    <row r="23" spans="1:48" x14ac:dyDescent="0.25">
      <c r="B23" s="89" t="str">
        <f>HYPERLINK("#'Factor List'!A1","Back to Factor List")</f>
        <v>Back to Factor List</v>
      </c>
    </row>
    <row r="24" spans="1:48" x14ac:dyDescent="0.25">
      <c r="B24" s="89" t="s">
        <v>13</v>
      </c>
    </row>
    <row r="25" spans="1:48" x14ac:dyDescent="0.25">
      <c r="B25" s="89"/>
    </row>
    <row r="26" spans="1:48" x14ac:dyDescent="0.25">
      <c r="A26" s="85" t="s">
        <v>439</v>
      </c>
      <c r="B26" s="85">
        <v>18</v>
      </c>
      <c r="C26" s="85">
        <v>19</v>
      </c>
      <c r="D26" s="85">
        <v>20</v>
      </c>
      <c r="E26" s="85">
        <v>21</v>
      </c>
      <c r="F26" s="85">
        <v>22</v>
      </c>
      <c r="G26" s="85">
        <v>23</v>
      </c>
      <c r="H26" s="85">
        <v>24</v>
      </c>
      <c r="I26" s="85">
        <v>25</v>
      </c>
      <c r="J26" s="85">
        <v>26</v>
      </c>
      <c r="K26" s="85">
        <v>27</v>
      </c>
      <c r="L26" s="85">
        <v>28</v>
      </c>
      <c r="M26" s="85">
        <v>29</v>
      </c>
      <c r="N26" s="85">
        <v>30</v>
      </c>
      <c r="O26" s="85">
        <v>31</v>
      </c>
      <c r="P26" s="85">
        <v>32</v>
      </c>
      <c r="Q26" s="85">
        <v>33</v>
      </c>
      <c r="R26" s="85">
        <v>34</v>
      </c>
      <c r="S26" s="85">
        <v>35</v>
      </c>
      <c r="T26" s="85">
        <v>36</v>
      </c>
      <c r="U26" s="85">
        <v>37</v>
      </c>
      <c r="V26" s="85">
        <v>38</v>
      </c>
      <c r="W26" s="85">
        <v>39</v>
      </c>
      <c r="X26" s="85">
        <v>40</v>
      </c>
      <c r="Y26" s="85">
        <v>41</v>
      </c>
      <c r="Z26" s="85">
        <v>42</v>
      </c>
      <c r="AA26" s="85">
        <v>43</v>
      </c>
      <c r="AB26" s="85">
        <v>44</v>
      </c>
      <c r="AC26" s="85">
        <v>45</v>
      </c>
      <c r="AD26" s="85">
        <v>46</v>
      </c>
      <c r="AE26" s="85">
        <v>47</v>
      </c>
      <c r="AF26" s="85">
        <v>48</v>
      </c>
      <c r="AG26" s="85">
        <v>49</v>
      </c>
      <c r="AH26" s="85">
        <v>50</v>
      </c>
      <c r="AI26" s="85">
        <v>51</v>
      </c>
      <c r="AJ26" s="85">
        <v>52</v>
      </c>
      <c r="AK26" s="85">
        <v>53</v>
      </c>
      <c r="AL26" s="85">
        <v>54</v>
      </c>
      <c r="AM26" s="85">
        <v>55</v>
      </c>
      <c r="AN26" s="85">
        <v>56</v>
      </c>
      <c r="AO26" s="85">
        <v>57</v>
      </c>
      <c r="AP26" s="85">
        <v>58</v>
      </c>
      <c r="AQ26" s="85">
        <v>59</v>
      </c>
      <c r="AR26" s="85">
        <v>60</v>
      </c>
      <c r="AS26" s="85">
        <v>61</v>
      </c>
      <c r="AT26" s="85">
        <v>62</v>
      </c>
      <c r="AU26" s="85">
        <v>63</v>
      </c>
      <c r="AV26" s="85">
        <v>64</v>
      </c>
    </row>
    <row r="27" spans="1:48" x14ac:dyDescent="0.25">
      <c r="A27" s="86">
        <v>0</v>
      </c>
      <c r="B27" s="88">
        <v>0.21199999999999999</v>
      </c>
      <c r="C27" s="88">
        <v>0.216</v>
      </c>
      <c r="D27" s="88">
        <v>0.221</v>
      </c>
      <c r="E27" s="88">
        <v>0.22700000000000001</v>
      </c>
      <c r="F27" s="88">
        <v>0.23200000000000001</v>
      </c>
      <c r="G27" s="88">
        <v>0.23699999999999999</v>
      </c>
      <c r="H27" s="88">
        <v>0.24299999999999999</v>
      </c>
      <c r="I27" s="88">
        <v>0.249</v>
      </c>
      <c r="J27" s="88">
        <v>0.255</v>
      </c>
      <c r="K27" s="88">
        <v>0.26100000000000001</v>
      </c>
      <c r="L27" s="88">
        <v>0.26700000000000002</v>
      </c>
      <c r="M27" s="88">
        <v>0.27400000000000002</v>
      </c>
      <c r="N27" s="88">
        <v>0.28100000000000003</v>
      </c>
      <c r="O27" s="88">
        <v>0.28799999999999998</v>
      </c>
      <c r="P27" s="88">
        <v>0.29599999999999999</v>
      </c>
      <c r="Q27" s="88">
        <v>0.30399999999999999</v>
      </c>
      <c r="R27" s="88">
        <v>0.312</v>
      </c>
      <c r="S27" s="88">
        <v>0.32100000000000001</v>
      </c>
      <c r="T27" s="88">
        <v>0.33</v>
      </c>
      <c r="U27" s="88">
        <v>0.33900000000000002</v>
      </c>
      <c r="V27" s="88">
        <v>0.34899999999999998</v>
      </c>
      <c r="W27" s="88">
        <v>0.35899999999999999</v>
      </c>
      <c r="X27" s="88">
        <v>0.36899999999999999</v>
      </c>
      <c r="Y27" s="88">
        <v>0.38100000000000001</v>
      </c>
      <c r="Z27" s="88">
        <v>0.39200000000000002</v>
      </c>
      <c r="AA27" s="88">
        <v>0.40500000000000003</v>
      </c>
      <c r="AB27" s="88">
        <v>0.41799999999999998</v>
      </c>
      <c r="AC27" s="88">
        <v>0.43099999999999999</v>
      </c>
      <c r="AD27" s="88">
        <v>0.44600000000000001</v>
      </c>
      <c r="AE27" s="88">
        <v>0.46100000000000002</v>
      </c>
      <c r="AF27" s="88">
        <v>0.47699999999999998</v>
      </c>
      <c r="AG27" s="88">
        <v>0.49399999999999999</v>
      </c>
      <c r="AH27" s="88">
        <v>0.51200000000000001</v>
      </c>
      <c r="AI27" s="88">
        <v>0.53100000000000003</v>
      </c>
      <c r="AJ27" s="88">
        <v>0.55100000000000005</v>
      </c>
      <c r="AK27" s="88">
        <v>0.57199999999999995</v>
      </c>
      <c r="AL27" s="88">
        <v>0.59499999999999997</v>
      </c>
      <c r="AM27" s="88">
        <v>0.62</v>
      </c>
      <c r="AN27" s="88">
        <v>0.64600000000000002</v>
      </c>
      <c r="AO27" s="88">
        <v>0.67400000000000004</v>
      </c>
      <c r="AP27" s="88">
        <v>0.70499999999999996</v>
      </c>
      <c r="AQ27" s="88">
        <v>0.73699999999999999</v>
      </c>
      <c r="AR27" s="88">
        <v>0.77200000000000002</v>
      </c>
      <c r="AS27" s="88">
        <v>0.81100000000000005</v>
      </c>
      <c r="AT27" s="88">
        <v>0.85199999999999998</v>
      </c>
      <c r="AU27" s="88">
        <v>0.89700000000000002</v>
      </c>
      <c r="AV27" s="88">
        <v>0.94599999999999995</v>
      </c>
    </row>
    <row r="28" spans="1:48" x14ac:dyDescent="0.25">
      <c r="A28" s="86">
        <v>1</v>
      </c>
      <c r="B28" s="88">
        <v>0.21199999999999999</v>
      </c>
      <c r="C28" s="88">
        <v>0.217</v>
      </c>
      <c r="D28" s="88">
        <v>0.222</v>
      </c>
      <c r="E28" s="88">
        <v>0.22700000000000001</v>
      </c>
      <c r="F28" s="88">
        <v>0.23200000000000001</v>
      </c>
      <c r="G28" s="88">
        <v>0.23799999999999999</v>
      </c>
      <c r="H28" s="88">
        <v>0.24299999999999999</v>
      </c>
      <c r="I28" s="88">
        <v>0.249</v>
      </c>
      <c r="J28" s="88">
        <v>0.255</v>
      </c>
      <c r="K28" s="88">
        <v>0.26200000000000001</v>
      </c>
      <c r="L28" s="88">
        <v>0.26800000000000002</v>
      </c>
      <c r="M28" s="88">
        <v>0.27500000000000002</v>
      </c>
      <c r="N28" s="88">
        <v>0.28199999999999997</v>
      </c>
      <c r="O28" s="88">
        <v>0.28899999999999998</v>
      </c>
      <c r="P28" s="88">
        <v>0.29699999999999999</v>
      </c>
      <c r="Q28" s="88">
        <v>0.30499999999999999</v>
      </c>
      <c r="R28" s="88">
        <v>0.313</v>
      </c>
      <c r="S28" s="88">
        <v>0.32100000000000001</v>
      </c>
      <c r="T28" s="88">
        <v>0.33</v>
      </c>
      <c r="U28" s="88">
        <v>0.34</v>
      </c>
      <c r="V28" s="88">
        <v>0.35</v>
      </c>
      <c r="W28" s="88">
        <v>0.36</v>
      </c>
      <c r="X28" s="88">
        <v>0.37</v>
      </c>
      <c r="Y28" s="88">
        <v>0.38200000000000001</v>
      </c>
      <c r="Z28" s="88">
        <v>0.39300000000000002</v>
      </c>
      <c r="AA28" s="88">
        <v>0.40600000000000003</v>
      </c>
      <c r="AB28" s="88">
        <v>0.41899999999999998</v>
      </c>
      <c r="AC28" s="88">
        <v>0.432</v>
      </c>
      <c r="AD28" s="88">
        <v>0.44700000000000001</v>
      </c>
      <c r="AE28" s="88">
        <v>0.46200000000000002</v>
      </c>
      <c r="AF28" s="88">
        <v>0.47799999999999998</v>
      </c>
      <c r="AG28" s="88">
        <v>0.495</v>
      </c>
      <c r="AH28" s="88">
        <v>0.51300000000000001</v>
      </c>
      <c r="AI28" s="88">
        <v>0.53200000000000003</v>
      </c>
      <c r="AJ28" s="88">
        <v>0.55300000000000005</v>
      </c>
      <c r="AK28" s="88">
        <v>0.57399999999999995</v>
      </c>
      <c r="AL28" s="88">
        <v>0.59699999999999998</v>
      </c>
      <c r="AM28" s="88">
        <v>0.622</v>
      </c>
      <c r="AN28" s="88">
        <v>0.64800000000000002</v>
      </c>
      <c r="AO28" s="88">
        <v>0.67700000000000005</v>
      </c>
      <c r="AP28" s="88">
        <v>0.70699999999999996</v>
      </c>
      <c r="AQ28" s="88">
        <v>0.74</v>
      </c>
      <c r="AR28" s="88">
        <v>0.77600000000000002</v>
      </c>
      <c r="AS28" s="88">
        <v>0.81399999999999995</v>
      </c>
      <c r="AT28" s="88">
        <v>0.85599999999999998</v>
      </c>
      <c r="AU28" s="88">
        <v>0.90100000000000002</v>
      </c>
      <c r="AV28" s="88">
        <v>0.95099999999999996</v>
      </c>
    </row>
    <row r="29" spans="1:48" x14ac:dyDescent="0.25">
      <c r="A29" s="86">
        <v>2</v>
      </c>
      <c r="B29" s="88">
        <v>0.21299999999999999</v>
      </c>
      <c r="C29" s="88">
        <v>0.217</v>
      </c>
      <c r="D29" s="88">
        <v>0.222</v>
      </c>
      <c r="E29" s="88">
        <v>0.22700000000000001</v>
      </c>
      <c r="F29" s="88">
        <v>0.23300000000000001</v>
      </c>
      <c r="G29" s="88">
        <v>0.23799999999999999</v>
      </c>
      <c r="H29" s="88">
        <v>0.24399999999999999</v>
      </c>
      <c r="I29" s="88">
        <v>0.25</v>
      </c>
      <c r="J29" s="88">
        <v>0.25600000000000001</v>
      </c>
      <c r="K29" s="88">
        <v>0.26200000000000001</v>
      </c>
      <c r="L29" s="88">
        <v>0.26900000000000002</v>
      </c>
      <c r="M29" s="88">
        <v>0.27500000000000002</v>
      </c>
      <c r="N29" s="88">
        <v>0.28199999999999997</v>
      </c>
      <c r="O29" s="88">
        <v>0.28999999999999998</v>
      </c>
      <c r="P29" s="88">
        <v>0.29699999999999999</v>
      </c>
      <c r="Q29" s="88">
        <v>0.30499999999999999</v>
      </c>
      <c r="R29" s="88">
        <v>0.314</v>
      </c>
      <c r="S29" s="88">
        <v>0.32200000000000001</v>
      </c>
      <c r="T29" s="88">
        <v>0.33100000000000002</v>
      </c>
      <c r="U29" s="88">
        <v>0.34100000000000003</v>
      </c>
      <c r="V29" s="88">
        <v>0.35</v>
      </c>
      <c r="W29" s="88">
        <v>0.36099999999999999</v>
      </c>
      <c r="X29" s="88">
        <v>0.371</v>
      </c>
      <c r="Y29" s="88">
        <v>0.38300000000000001</v>
      </c>
      <c r="Z29" s="88">
        <v>0.39400000000000002</v>
      </c>
      <c r="AA29" s="88">
        <v>0.40699999999999997</v>
      </c>
      <c r="AB29" s="88">
        <v>0.42</v>
      </c>
      <c r="AC29" s="88">
        <v>0.434</v>
      </c>
      <c r="AD29" s="88">
        <v>0.44800000000000001</v>
      </c>
      <c r="AE29" s="88">
        <v>0.46300000000000002</v>
      </c>
      <c r="AF29" s="88">
        <v>0.48</v>
      </c>
      <c r="AG29" s="88">
        <v>0.497</v>
      </c>
      <c r="AH29" s="88">
        <v>0.51500000000000001</v>
      </c>
      <c r="AI29" s="88">
        <v>0.53400000000000003</v>
      </c>
      <c r="AJ29" s="88">
        <v>0.55400000000000005</v>
      </c>
      <c r="AK29" s="88">
        <v>0.57599999999999996</v>
      </c>
      <c r="AL29" s="88">
        <v>0.59899999999999998</v>
      </c>
      <c r="AM29" s="88">
        <v>0.624</v>
      </c>
      <c r="AN29" s="88">
        <v>0.65100000000000002</v>
      </c>
      <c r="AO29" s="88">
        <v>0.67900000000000005</v>
      </c>
      <c r="AP29" s="88">
        <v>0.71</v>
      </c>
      <c r="AQ29" s="88">
        <v>0.74299999999999999</v>
      </c>
      <c r="AR29" s="88">
        <v>0.77900000000000003</v>
      </c>
      <c r="AS29" s="88">
        <v>0.81699999999999995</v>
      </c>
      <c r="AT29" s="88">
        <v>0.85899999999999999</v>
      </c>
      <c r="AU29" s="88">
        <v>0.90500000000000003</v>
      </c>
      <c r="AV29" s="88">
        <v>0.95499999999999996</v>
      </c>
    </row>
    <row r="30" spans="1:48" x14ac:dyDescent="0.25">
      <c r="A30" s="86">
        <v>3</v>
      </c>
      <c r="B30" s="88">
        <v>0.21299999999999999</v>
      </c>
      <c r="C30" s="88">
        <v>0.218</v>
      </c>
      <c r="D30" s="88">
        <v>0.223</v>
      </c>
      <c r="E30" s="88">
        <v>0.22800000000000001</v>
      </c>
      <c r="F30" s="88">
        <v>0.23300000000000001</v>
      </c>
      <c r="G30" s="88">
        <v>0.23899999999999999</v>
      </c>
      <c r="H30" s="88">
        <v>0.24399999999999999</v>
      </c>
      <c r="I30" s="88">
        <v>0.25</v>
      </c>
      <c r="J30" s="88">
        <v>0.25600000000000001</v>
      </c>
      <c r="K30" s="88">
        <v>0.26300000000000001</v>
      </c>
      <c r="L30" s="88">
        <v>0.26900000000000002</v>
      </c>
      <c r="M30" s="88">
        <v>0.27600000000000002</v>
      </c>
      <c r="N30" s="88">
        <v>0.28299999999999997</v>
      </c>
      <c r="O30" s="88">
        <v>0.28999999999999998</v>
      </c>
      <c r="P30" s="88">
        <v>0.29799999999999999</v>
      </c>
      <c r="Q30" s="88">
        <v>0.30599999999999999</v>
      </c>
      <c r="R30" s="88">
        <v>0.314</v>
      </c>
      <c r="S30" s="88">
        <v>0.32300000000000001</v>
      </c>
      <c r="T30" s="88">
        <v>0.33200000000000002</v>
      </c>
      <c r="U30" s="88">
        <v>0.34100000000000003</v>
      </c>
      <c r="V30" s="88">
        <v>0.35099999999999998</v>
      </c>
      <c r="W30" s="88">
        <v>0.36199999999999999</v>
      </c>
      <c r="X30" s="88">
        <v>0.372</v>
      </c>
      <c r="Y30" s="88">
        <v>0.38400000000000001</v>
      </c>
      <c r="Z30" s="88">
        <v>0.39500000000000002</v>
      </c>
      <c r="AA30" s="88">
        <v>0.40799999999999997</v>
      </c>
      <c r="AB30" s="88">
        <v>0.42099999999999999</v>
      </c>
      <c r="AC30" s="88">
        <v>0.435</v>
      </c>
      <c r="AD30" s="88">
        <v>0.44900000000000001</v>
      </c>
      <c r="AE30" s="88">
        <v>0.46500000000000002</v>
      </c>
      <c r="AF30" s="88">
        <v>0.48099999999999998</v>
      </c>
      <c r="AG30" s="88">
        <v>0.498</v>
      </c>
      <c r="AH30" s="88">
        <v>0.51600000000000001</v>
      </c>
      <c r="AI30" s="88">
        <v>0.53600000000000003</v>
      </c>
      <c r="AJ30" s="88">
        <v>0.55600000000000005</v>
      </c>
      <c r="AK30" s="88">
        <v>0.57799999999999996</v>
      </c>
      <c r="AL30" s="88">
        <v>0.60099999999999998</v>
      </c>
      <c r="AM30" s="88">
        <v>0.626</v>
      </c>
      <c r="AN30" s="88">
        <v>0.65300000000000002</v>
      </c>
      <c r="AO30" s="88">
        <v>0.68200000000000005</v>
      </c>
      <c r="AP30" s="88">
        <v>0.71299999999999997</v>
      </c>
      <c r="AQ30" s="88">
        <v>0.746</v>
      </c>
      <c r="AR30" s="88">
        <v>0.78200000000000003</v>
      </c>
      <c r="AS30" s="88">
        <v>0.82099999999999995</v>
      </c>
      <c r="AT30" s="88">
        <v>0.86299999999999999</v>
      </c>
      <c r="AU30" s="88">
        <v>0.90900000000000003</v>
      </c>
      <c r="AV30" s="88">
        <v>0.96</v>
      </c>
    </row>
    <row r="31" spans="1:48" x14ac:dyDescent="0.25">
      <c r="A31" s="86">
        <v>4</v>
      </c>
      <c r="B31" s="88">
        <v>0.21299999999999999</v>
      </c>
      <c r="C31" s="88">
        <v>0.218</v>
      </c>
      <c r="D31" s="88">
        <v>0.223</v>
      </c>
      <c r="E31" s="88">
        <v>0.22800000000000001</v>
      </c>
      <c r="F31" s="88">
        <v>0.23400000000000001</v>
      </c>
      <c r="G31" s="88">
        <v>0.23899999999999999</v>
      </c>
      <c r="H31" s="88">
        <v>0.245</v>
      </c>
      <c r="I31" s="88">
        <v>0.251</v>
      </c>
      <c r="J31" s="88">
        <v>0.25700000000000001</v>
      </c>
      <c r="K31" s="88">
        <v>0.26300000000000001</v>
      </c>
      <c r="L31" s="88">
        <v>0.27</v>
      </c>
      <c r="M31" s="88">
        <v>0.27700000000000002</v>
      </c>
      <c r="N31" s="88">
        <v>0.28399999999999997</v>
      </c>
      <c r="O31" s="88">
        <v>0.29099999999999998</v>
      </c>
      <c r="P31" s="88">
        <v>0.29899999999999999</v>
      </c>
      <c r="Q31" s="88">
        <v>0.307</v>
      </c>
      <c r="R31" s="88">
        <v>0.315</v>
      </c>
      <c r="S31" s="88">
        <v>0.32400000000000001</v>
      </c>
      <c r="T31" s="88">
        <v>0.33300000000000002</v>
      </c>
      <c r="U31" s="88">
        <v>0.34200000000000003</v>
      </c>
      <c r="V31" s="88">
        <v>0.35199999999999998</v>
      </c>
      <c r="W31" s="88">
        <v>0.36199999999999999</v>
      </c>
      <c r="X31" s="88">
        <v>0.373</v>
      </c>
      <c r="Y31" s="88">
        <v>0.38500000000000001</v>
      </c>
      <c r="Z31" s="88">
        <v>0.39600000000000002</v>
      </c>
      <c r="AA31" s="88">
        <v>0.40899999999999997</v>
      </c>
      <c r="AB31" s="88">
        <v>0.42199999999999999</v>
      </c>
      <c r="AC31" s="88">
        <v>0.436</v>
      </c>
      <c r="AD31" s="88">
        <v>0.45100000000000001</v>
      </c>
      <c r="AE31" s="88">
        <v>0.46600000000000003</v>
      </c>
      <c r="AF31" s="88">
        <v>0.48199999999999998</v>
      </c>
      <c r="AG31" s="88">
        <v>0.5</v>
      </c>
      <c r="AH31" s="88">
        <v>0.51800000000000002</v>
      </c>
      <c r="AI31" s="88">
        <v>0.53700000000000003</v>
      </c>
      <c r="AJ31" s="88">
        <v>0.55800000000000005</v>
      </c>
      <c r="AK31" s="88">
        <v>0.57999999999999996</v>
      </c>
      <c r="AL31" s="88">
        <v>0.60299999999999998</v>
      </c>
      <c r="AM31" s="88">
        <v>0.629</v>
      </c>
      <c r="AN31" s="88">
        <v>0.65600000000000003</v>
      </c>
      <c r="AO31" s="88">
        <v>0.68400000000000005</v>
      </c>
      <c r="AP31" s="88">
        <v>0.71499999999999997</v>
      </c>
      <c r="AQ31" s="88">
        <v>0.749</v>
      </c>
      <c r="AR31" s="88">
        <v>0.78500000000000003</v>
      </c>
      <c r="AS31" s="88">
        <v>0.82399999999999995</v>
      </c>
      <c r="AT31" s="88">
        <v>0.86699999999999999</v>
      </c>
      <c r="AU31" s="88">
        <v>0.91300000000000003</v>
      </c>
      <c r="AV31" s="88">
        <v>0.96399999999999997</v>
      </c>
    </row>
    <row r="32" spans="1:48" x14ac:dyDescent="0.25">
      <c r="A32" s="86">
        <v>5</v>
      </c>
      <c r="B32" s="88">
        <v>0.214</v>
      </c>
      <c r="C32" s="88">
        <v>0.219</v>
      </c>
      <c r="D32" s="88">
        <v>0.224</v>
      </c>
      <c r="E32" s="88">
        <v>0.22900000000000001</v>
      </c>
      <c r="F32" s="88">
        <v>0.23400000000000001</v>
      </c>
      <c r="G32" s="88">
        <v>0.24</v>
      </c>
      <c r="H32" s="88">
        <v>0.245</v>
      </c>
      <c r="I32" s="88">
        <v>0.251</v>
      </c>
      <c r="J32" s="88">
        <v>0.25700000000000001</v>
      </c>
      <c r="K32" s="88">
        <v>0.26400000000000001</v>
      </c>
      <c r="L32" s="88">
        <v>0.27</v>
      </c>
      <c r="M32" s="88">
        <v>0.27700000000000002</v>
      </c>
      <c r="N32" s="88">
        <v>0.28399999999999997</v>
      </c>
      <c r="O32" s="88">
        <v>0.29199999999999998</v>
      </c>
      <c r="P32" s="88">
        <v>0.29899999999999999</v>
      </c>
      <c r="Q32" s="88">
        <v>0.307</v>
      </c>
      <c r="R32" s="88">
        <v>0.316</v>
      </c>
      <c r="S32" s="88">
        <v>0.32400000000000001</v>
      </c>
      <c r="T32" s="88">
        <v>0.33300000000000002</v>
      </c>
      <c r="U32" s="88">
        <v>0.34300000000000003</v>
      </c>
      <c r="V32" s="88">
        <v>0.35299999999999998</v>
      </c>
      <c r="W32" s="88">
        <v>0.36299999999999999</v>
      </c>
      <c r="X32" s="88">
        <v>0.374</v>
      </c>
      <c r="Y32" s="88">
        <v>0.38600000000000001</v>
      </c>
      <c r="Z32" s="88">
        <v>0.39800000000000002</v>
      </c>
      <c r="AA32" s="88">
        <v>0.41</v>
      </c>
      <c r="AB32" s="88">
        <v>0.42299999999999999</v>
      </c>
      <c r="AC32" s="88">
        <v>0.437</v>
      </c>
      <c r="AD32" s="88">
        <v>0.45200000000000001</v>
      </c>
      <c r="AE32" s="88">
        <v>0.46700000000000003</v>
      </c>
      <c r="AF32" s="88">
        <v>0.48399999999999999</v>
      </c>
      <c r="AG32" s="88">
        <v>0.501</v>
      </c>
      <c r="AH32" s="88">
        <v>0.52</v>
      </c>
      <c r="AI32" s="88">
        <v>0.53900000000000003</v>
      </c>
      <c r="AJ32" s="88">
        <v>0.56000000000000005</v>
      </c>
      <c r="AK32" s="88">
        <v>0.58199999999999996</v>
      </c>
      <c r="AL32" s="88">
        <v>0.60599999999999998</v>
      </c>
      <c r="AM32" s="88">
        <v>0.63100000000000001</v>
      </c>
      <c r="AN32" s="88">
        <v>0.65800000000000003</v>
      </c>
      <c r="AO32" s="88">
        <v>0.68700000000000006</v>
      </c>
      <c r="AP32" s="88">
        <v>0.71799999999999997</v>
      </c>
      <c r="AQ32" s="88">
        <v>0.752</v>
      </c>
      <c r="AR32" s="88">
        <v>0.78800000000000003</v>
      </c>
      <c r="AS32" s="88">
        <v>0.82799999999999996</v>
      </c>
      <c r="AT32" s="88">
        <v>0.871</v>
      </c>
      <c r="AU32" s="88">
        <v>0.91700000000000004</v>
      </c>
      <c r="AV32" s="88">
        <v>0.96899999999999997</v>
      </c>
    </row>
    <row r="33" spans="1:48" x14ac:dyDescent="0.25">
      <c r="A33" s="86">
        <v>6</v>
      </c>
      <c r="B33" s="88">
        <v>0.214</v>
      </c>
      <c r="C33" s="88">
        <v>0.219</v>
      </c>
      <c r="D33" s="88">
        <v>0.224</v>
      </c>
      <c r="E33" s="88">
        <v>0.22900000000000001</v>
      </c>
      <c r="F33" s="88">
        <v>0.23400000000000001</v>
      </c>
      <c r="G33" s="88">
        <v>0.24</v>
      </c>
      <c r="H33" s="88">
        <v>0.246</v>
      </c>
      <c r="I33" s="88">
        <v>0.252</v>
      </c>
      <c r="J33" s="88">
        <v>0.25800000000000001</v>
      </c>
      <c r="K33" s="88">
        <v>0.26400000000000001</v>
      </c>
      <c r="L33" s="88">
        <v>0.27100000000000002</v>
      </c>
      <c r="M33" s="88">
        <v>0.27800000000000002</v>
      </c>
      <c r="N33" s="88">
        <v>0.28499999999999998</v>
      </c>
      <c r="O33" s="88">
        <v>0.29199999999999998</v>
      </c>
      <c r="P33" s="88">
        <v>0.3</v>
      </c>
      <c r="Q33" s="88">
        <v>0.308</v>
      </c>
      <c r="R33" s="88">
        <v>0.316</v>
      </c>
      <c r="S33" s="88">
        <v>0.32500000000000001</v>
      </c>
      <c r="T33" s="88">
        <v>0.33400000000000002</v>
      </c>
      <c r="U33" s="88">
        <v>0.34399999999999997</v>
      </c>
      <c r="V33" s="88">
        <v>0.35399999999999998</v>
      </c>
      <c r="W33" s="88">
        <v>0.36399999999999999</v>
      </c>
      <c r="X33" s="88">
        <v>0.375</v>
      </c>
      <c r="Y33" s="88">
        <v>0.38700000000000001</v>
      </c>
      <c r="Z33" s="88">
        <v>0.39900000000000002</v>
      </c>
      <c r="AA33" s="88">
        <v>0.41099999999999998</v>
      </c>
      <c r="AB33" s="88">
        <v>0.42399999999999999</v>
      </c>
      <c r="AC33" s="88">
        <v>0.438</v>
      </c>
      <c r="AD33" s="88">
        <v>0.45300000000000001</v>
      </c>
      <c r="AE33" s="88">
        <v>0.46899999999999997</v>
      </c>
      <c r="AF33" s="88">
        <v>0.48499999999999999</v>
      </c>
      <c r="AG33" s="88">
        <v>0.503</v>
      </c>
      <c r="AH33" s="88">
        <v>0.52100000000000002</v>
      </c>
      <c r="AI33" s="88">
        <v>0.54100000000000004</v>
      </c>
      <c r="AJ33" s="88">
        <v>0.56200000000000006</v>
      </c>
      <c r="AK33" s="88">
        <v>0.58399999999999996</v>
      </c>
      <c r="AL33" s="88">
        <v>0.60799999999999998</v>
      </c>
      <c r="AM33" s="88">
        <v>0.63300000000000001</v>
      </c>
      <c r="AN33" s="88">
        <v>0.66</v>
      </c>
      <c r="AO33" s="88">
        <v>0.68899999999999995</v>
      </c>
      <c r="AP33" s="88">
        <v>0.72099999999999997</v>
      </c>
      <c r="AQ33" s="88">
        <v>0.755</v>
      </c>
      <c r="AR33" s="88">
        <v>0.79100000000000004</v>
      </c>
      <c r="AS33" s="88">
        <v>0.83099999999999996</v>
      </c>
      <c r="AT33" s="88">
        <v>0.874</v>
      </c>
      <c r="AU33" s="88">
        <v>0.92200000000000004</v>
      </c>
      <c r="AV33" s="88">
        <v>0.97299999999999998</v>
      </c>
    </row>
    <row r="34" spans="1:48" x14ac:dyDescent="0.25">
      <c r="A34" s="86">
        <v>7</v>
      </c>
      <c r="B34" s="88">
        <v>0.215</v>
      </c>
      <c r="C34" s="88">
        <v>0.219</v>
      </c>
      <c r="D34" s="88">
        <v>0.224</v>
      </c>
      <c r="E34" s="88">
        <v>0.23</v>
      </c>
      <c r="F34" s="88">
        <v>0.23499999999999999</v>
      </c>
      <c r="G34" s="88">
        <v>0.24</v>
      </c>
      <c r="H34" s="88">
        <v>0.246</v>
      </c>
      <c r="I34" s="88">
        <v>0.252</v>
      </c>
      <c r="J34" s="88">
        <v>0.25800000000000001</v>
      </c>
      <c r="K34" s="88">
        <v>0.26500000000000001</v>
      </c>
      <c r="L34" s="88">
        <v>0.27100000000000002</v>
      </c>
      <c r="M34" s="88">
        <v>0.27800000000000002</v>
      </c>
      <c r="N34" s="88">
        <v>0.28499999999999998</v>
      </c>
      <c r="O34" s="88">
        <v>0.29299999999999998</v>
      </c>
      <c r="P34" s="88">
        <v>0.30099999999999999</v>
      </c>
      <c r="Q34" s="88">
        <v>0.309</v>
      </c>
      <c r="R34" s="88">
        <v>0.317</v>
      </c>
      <c r="S34" s="88">
        <v>0.32600000000000001</v>
      </c>
      <c r="T34" s="88">
        <v>0.33500000000000002</v>
      </c>
      <c r="U34" s="88">
        <v>0.34499999999999997</v>
      </c>
      <c r="V34" s="88">
        <v>0.35499999999999998</v>
      </c>
      <c r="W34" s="88">
        <v>0.36499999999999999</v>
      </c>
      <c r="X34" s="88">
        <v>0.376</v>
      </c>
      <c r="Y34" s="88">
        <v>0.38800000000000001</v>
      </c>
      <c r="Z34" s="88">
        <v>0.4</v>
      </c>
      <c r="AA34" s="88">
        <v>0.41199999999999998</v>
      </c>
      <c r="AB34" s="88">
        <v>0.42599999999999999</v>
      </c>
      <c r="AC34" s="88">
        <v>0.44</v>
      </c>
      <c r="AD34" s="88">
        <v>0.45400000000000001</v>
      </c>
      <c r="AE34" s="88">
        <v>0.47</v>
      </c>
      <c r="AF34" s="88">
        <v>0.48699999999999999</v>
      </c>
      <c r="AG34" s="88">
        <v>0.504</v>
      </c>
      <c r="AH34" s="88">
        <v>0.52300000000000002</v>
      </c>
      <c r="AI34" s="88">
        <v>0.54200000000000004</v>
      </c>
      <c r="AJ34" s="88">
        <v>0.56299999999999994</v>
      </c>
      <c r="AK34" s="88">
        <v>0.58599999999999997</v>
      </c>
      <c r="AL34" s="88">
        <v>0.61</v>
      </c>
      <c r="AM34" s="88">
        <v>0.63500000000000001</v>
      </c>
      <c r="AN34" s="88">
        <v>0.66300000000000003</v>
      </c>
      <c r="AO34" s="88">
        <v>0.69199999999999995</v>
      </c>
      <c r="AP34" s="88">
        <v>0.72399999999999998</v>
      </c>
      <c r="AQ34" s="88">
        <v>0.75800000000000001</v>
      </c>
      <c r="AR34" s="88">
        <v>0.79500000000000004</v>
      </c>
      <c r="AS34" s="88">
        <v>0.83499999999999996</v>
      </c>
      <c r="AT34" s="88">
        <v>0.878</v>
      </c>
      <c r="AU34" s="88">
        <v>0.92600000000000005</v>
      </c>
      <c r="AV34" s="88">
        <v>0.97799999999999998</v>
      </c>
    </row>
    <row r="35" spans="1:48" x14ac:dyDescent="0.25">
      <c r="A35" s="86">
        <v>8</v>
      </c>
      <c r="B35" s="88">
        <v>0.215</v>
      </c>
      <c r="C35" s="88">
        <v>0.22</v>
      </c>
      <c r="D35" s="88">
        <v>0.22500000000000001</v>
      </c>
      <c r="E35" s="88">
        <v>0.23</v>
      </c>
      <c r="F35" s="88">
        <v>0.23499999999999999</v>
      </c>
      <c r="G35" s="88">
        <v>0.24099999999999999</v>
      </c>
      <c r="H35" s="88">
        <v>0.247</v>
      </c>
      <c r="I35" s="88">
        <v>0.253</v>
      </c>
      <c r="J35" s="88">
        <v>0.25900000000000001</v>
      </c>
      <c r="K35" s="88">
        <v>0.26500000000000001</v>
      </c>
      <c r="L35" s="88">
        <v>0.27200000000000002</v>
      </c>
      <c r="M35" s="88">
        <v>0.27900000000000003</v>
      </c>
      <c r="N35" s="88">
        <v>0.28599999999999998</v>
      </c>
      <c r="O35" s="88">
        <v>0.29399999999999998</v>
      </c>
      <c r="P35" s="88">
        <v>0.30099999999999999</v>
      </c>
      <c r="Q35" s="88">
        <v>0.309</v>
      </c>
      <c r="R35" s="88">
        <v>0.318</v>
      </c>
      <c r="S35" s="88">
        <v>0.32700000000000001</v>
      </c>
      <c r="T35" s="88">
        <v>0.33600000000000002</v>
      </c>
      <c r="U35" s="88">
        <v>0.34499999999999997</v>
      </c>
      <c r="V35" s="88">
        <v>0.35499999999999998</v>
      </c>
      <c r="W35" s="88">
        <v>0.36599999999999999</v>
      </c>
      <c r="X35" s="88">
        <v>0.377</v>
      </c>
      <c r="Y35" s="88">
        <v>0.38800000000000001</v>
      </c>
      <c r="Z35" s="88">
        <v>0.40100000000000002</v>
      </c>
      <c r="AA35" s="88">
        <v>0.41299999999999998</v>
      </c>
      <c r="AB35" s="88">
        <v>0.42699999999999999</v>
      </c>
      <c r="AC35" s="88">
        <v>0.441</v>
      </c>
      <c r="AD35" s="88">
        <v>0.45600000000000002</v>
      </c>
      <c r="AE35" s="88">
        <v>0.47099999999999997</v>
      </c>
      <c r="AF35" s="88">
        <v>0.48799999999999999</v>
      </c>
      <c r="AG35" s="88">
        <v>0.50600000000000001</v>
      </c>
      <c r="AH35" s="88">
        <v>0.52400000000000002</v>
      </c>
      <c r="AI35" s="88">
        <v>0.54400000000000004</v>
      </c>
      <c r="AJ35" s="88">
        <v>0.56499999999999995</v>
      </c>
      <c r="AK35" s="88">
        <v>0.58799999999999997</v>
      </c>
      <c r="AL35" s="88">
        <v>0.61199999999999999</v>
      </c>
      <c r="AM35" s="88">
        <v>0.63700000000000001</v>
      </c>
      <c r="AN35" s="88">
        <v>0.66500000000000004</v>
      </c>
      <c r="AO35" s="88">
        <v>0.69399999999999995</v>
      </c>
      <c r="AP35" s="88">
        <v>0.72599999999999998</v>
      </c>
      <c r="AQ35" s="88">
        <v>0.76100000000000001</v>
      </c>
      <c r="AR35" s="88">
        <v>0.79800000000000004</v>
      </c>
      <c r="AS35" s="88">
        <v>0.83799999999999997</v>
      </c>
      <c r="AT35" s="88">
        <v>0.88200000000000001</v>
      </c>
      <c r="AU35" s="88">
        <v>0.93</v>
      </c>
      <c r="AV35" s="88">
        <v>0.98199999999999998</v>
      </c>
    </row>
    <row r="36" spans="1:48" x14ac:dyDescent="0.25">
      <c r="A36" s="86">
        <v>9</v>
      </c>
      <c r="B36" s="88">
        <v>0.215</v>
      </c>
      <c r="C36" s="88">
        <v>0.22</v>
      </c>
      <c r="D36" s="88">
        <v>0.22500000000000001</v>
      </c>
      <c r="E36" s="88">
        <v>0.23</v>
      </c>
      <c r="F36" s="88">
        <v>0.23599999999999999</v>
      </c>
      <c r="G36" s="88">
        <v>0.24099999999999999</v>
      </c>
      <c r="H36" s="88">
        <v>0.247</v>
      </c>
      <c r="I36" s="88">
        <v>0.253</v>
      </c>
      <c r="J36" s="88">
        <v>0.25900000000000001</v>
      </c>
      <c r="K36" s="88">
        <v>0.26600000000000001</v>
      </c>
      <c r="L36" s="88">
        <v>0.27300000000000002</v>
      </c>
      <c r="M36" s="88">
        <v>0.27900000000000003</v>
      </c>
      <c r="N36" s="88">
        <v>0.28699999999999998</v>
      </c>
      <c r="O36" s="88">
        <v>0.29399999999999998</v>
      </c>
      <c r="P36" s="88">
        <v>0.30199999999999999</v>
      </c>
      <c r="Q36" s="88">
        <v>0.31</v>
      </c>
      <c r="R36" s="88">
        <v>0.31900000000000001</v>
      </c>
      <c r="S36" s="88">
        <v>0.32700000000000001</v>
      </c>
      <c r="T36" s="88">
        <v>0.33700000000000002</v>
      </c>
      <c r="U36" s="88">
        <v>0.34599999999999997</v>
      </c>
      <c r="V36" s="88">
        <v>0.35599999999999998</v>
      </c>
      <c r="W36" s="88">
        <v>0.36699999999999999</v>
      </c>
      <c r="X36" s="88">
        <v>0.378</v>
      </c>
      <c r="Y36" s="88">
        <v>0.38900000000000001</v>
      </c>
      <c r="Z36" s="88">
        <v>0.40200000000000002</v>
      </c>
      <c r="AA36" s="88">
        <v>0.41399999999999998</v>
      </c>
      <c r="AB36" s="88">
        <v>0.42799999999999999</v>
      </c>
      <c r="AC36" s="88">
        <v>0.442</v>
      </c>
      <c r="AD36" s="88">
        <v>0.45700000000000002</v>
      </c>
      <c r="AE36" s="88">
        <v>0.47299999999999998</v>
      </c>
      <c r="AF36" s="88">
        <v>0.48899999999999999</v>
      </c>
      <c r="AG36" s="88">
        <v>0.50700000000000001</v>
      </c>
      <c r="AH36" s="88">
        <v>0.52600000000000002</v>
      </c>
      <c r="AI36" s="88">
        <v>0.54600000000000004</v>
      </c>
      <c r="AJ36" s="88">
        <v>0.56699999999999995</v>
      </c>
      <c r="AK36" s="88">
        <v>0.59</v>
      </c>
      <c r="AL36" s="88">
        <v>0.61399999999999999</v>
      </c>
      <c r="AM36" s="88">
        <v>0.64</v>
      </c>
      <c r="AN36" s="88">
        <v>0.66700000000000004</v>
      </c>
      <c r="AO36" s="88">
        <v>0.69699999999999995</v>
      </c>
      <c r="AP36" s="88">
        <v>0.72899999999999998</v>
      </c>
      <c r="AQ36" s="88">
        <v>0.76400000000000001</v>
      </c>
      <c r="AR36" s="88">
        <v>0.80100000000000005</v>
      </c>
      <c r="AS36" s="88">
        <v>0.84199999999999997</v>
      </c>
      <c r="AT36" s="88">
        <v>0.88600000000000001</v>
      </c>
      <c r="AU36" s="88">
        <v>0.93400000000000005</v>
      </c>
      <c r="AV36" s="88">
        <v>0.98699999999999999</v>
      </c>
    </row>
    <row r="37" spans="1:48" x14ac:dyDescent="0.25">
      <c r="A37" s="86">
        <v>10</v>
      </c>
      <c r="B37" s="88">
        <v>0.216</v>
      </c>
      <c r="C37" s="88">
        <v>0.221</v>
      </c>
      <c r="D37" s="88">
        <v>0.22600000000000001</v>
      </c>
      <c r="E37" s="88">
        <v>0.23100000000000001</v>
      </c>
      <c r="F37" s="88">
        <v>0.23599999999999999</v>
      </c>
      <c r="G37" s="88">
        <v>0.24199999999999999</v>
      </c>
      <c r="H37" s="88">
        <v>0.248</v>
      </c>
      <c r="I37" s="88">
        <v>0.254</v>
      </c>
      <c r="J37" s="88">
        <v>0.26</v>
      </c>
      <c r="K37" s="88">
        <v>0.26600000000000001</v>
      </c>
      <c r="L37" s="88">
        <v>0.27300000000000002</v>
      </c>
      <c r="M37" s="88">
        <v>0.28000000000000003</v>
      </c>
      <c r="N37" s="88">
        <v>0.28699999999999998</v>
      </c>
      <c r="O37" s="88">
        <v>0.29499999999999998</v>
      </c>
      <c r="P37" s="88">
        <v>0.30299999999999999</v>
      </c>
      <c r="Q37" s="88">
        <v>0.311</v>
      </c>
      <c r="R37" s="88">
        <v>0.31900000000000001</v>
      </c>
      <c r="S37" s="88">
        <v>0.32800000000000001</v>
      </c>
      <c r="T37" s="88">
        <v>0.33700000000000002</v>
      </c>
      <c r="U37" s="88">
        <v>0.34699999999999998</v>
      </c>
      <c r="V37" s="88">
        <v>0.35699999999999998</v>
      </c>
      <c r="W37" s="88">
        <v>0.36799999999999999</v>
      </c>
      <c r="X37" s="88">
        <v>0.379</v>
      </c>
      <c r="Y37" s="88">
        <v>0.39</v>
      </c>
      <c r="Z37" s="88">
        <v>0.40300000000000002</v>
      </c>
      <c r="AA37" s="88">
        <v>0.41499999999999998</v>
      </c>
      <c r="AB37" s="88">
        <v>0.42899999999999999</v>
      </c>
      <c r="AC37" s="88">
        <v>0.443</v>
      </c>
      <c r="AD37" s="88">
        <v>0.45800000000000002</v>
      </c>
      <c r="AE37" s="88">
        <v>0.47399999999999998</v>
      </c>
      <c r="AF37" s="88">
        <v>0.49099999999999999</v>
      </c>
      <c r="AG37" s="88">
        <v>0.50900000000000001</v>
      </c>
      <c r="AH37" s="88">
        <v>0.52700000000000002</v>
      </c>
      <c r="AI37" s="88">
        <v>0.54700000000000004</v>
      </c>
      <c r="AJ37" s="88">
        <v>0.56899999999999995</v>
      </c>
      <c r="AK37" s="88">
        <v>0.59099999999999997</v>
      </c>
      <c r="AL37" s="88">
        <v>0.61599999999999999</v>
      </c>
      <c r="AM37" s="88">
        <v>0.64200000000000002</v>
      </c>
      <c r="AN37" s="88">
        <v>0.67</v>
      </c>
      <c r="AO37" s="88">
        <v>0.7</v>
      </c>
      <c r="AP37" s="88">
        <v>0.73199999999999998</v>
      </c>
      <c r="AQ37" s="88">
        <v>0.76700000000000002</v>
      </c>
      <c r="AR37" s="88">
        <v>0.80400000000000005</v>
      </c>
      <c r="AS37" s="88">
        <v>0.84499999999999997</v>
      </c>
      <c r="AT37" s="88">
        <v>0.88900000000000001</v>
      </c>
      <c r="AU37" s="88">
        <v>0.93799999999999994</v>
      </c>
      <c r="AV37" s="88">
        <v>0.99099999999999999</v>
      </c>
    </row>
    <row r="38" spans="1:48" x14ac:dyDescent="0.25">
      <c r="A38" s="86">
        <v>11</v>
      </c>
      <c r="B38" s="88">
        <v>0.216</v>
      </c>
      <c r="C38" s="88">
        <v>0.221</v>
      </c>
      <c r="D38" s="88">
        <v>0.22600000000000001</v>
      </c>
      <c r="E38" s="88">
        <v>0.23100000000000001</v>
      </c>
      <c r="F38" s="88">
        <v>0.23699999999999999</v>
      </c>
      <c r="G38" s="88">
        <v>0.24199999999999999</v>
      </c>
      <c r="H38" s="88">
        <v>0.248</v>
      </c>
      <c r="I38" s="88">
        <v>0.254</v>
      </c>
      <c r="J38" s="88">
        <v>0.26</v>
      </c>
      <c r="K38" s="88">
        <v>0.26700000000000002</v>
      </c>
      <c r="L38" s="88">
        <v>0.27400000000000002</v>
      </c>
      <c r="M38" s="88">
        <v>0.28100000000000003</v>
      </c>
      <c r="N38" s="88">
        <v>0.28799999999999998</v>
      </c>
      <c r="O38" s="88">
        <v>0.29499999999999998</v>
      </c>
      <c r="P38" s="88">
        <v>0.30299999999999999</v>
      </c>
      <c r="Q38" s="88">
        <v>0.311</v>
      </c>
      <c r="R38" s="88">
        <v>0.32</v>
      </c>
      <c r="S38" s="88">
        <v>0.32900000000000001</v>
      </c>
      <c r="T38" s="88">
        <v>0.33800000000000002</v>
      </c>
      <c r="U38" s="88">
        <v>0.34799999999999998</v>
      </c>
      <c r="V38" s="88">
        <v>0.35799999999999998</v>
      </c>
      <c r="W38" s="88">
        <v>0.36899999999999999</v>
      </c>
      <c r="X38" s="88">
        <v>0.38</v>
      </c>
      <c r="Y38" s="88">
        <v>0.39100000000000001</v>
      </c>
      <c r="Z38" s="88">
        <v>0.40400000000000003</v>
      </c>
      <c r="AA38" s="88">
        <v>0.41699999999999998</v>
      </c>
      <c r="AB38" s="88">
        <v>0.43</v>
      </c>
      <c r="AC38" s="88">
        <v>0.44400000000000001</v>
      </c>
      <c r="AD38" s="88">
        <v>0.45900000000000002</v>
      </c>
      <c r="AE38" s="88">
        <v>0.47499999999999998</v>
      </c>
      <c r="AF38" s="88">
        <v>0.49199999999999999</v>
      </c>
      <c r="AG38" s="88">
        <v>0.51</v>
      </c>
      <c r="AH38" s="88">
        <v>0.52900000000000003</v>
      </c>
      <c r="AI38" s="88">
        <v>0.54900000000000004</v>
      </c>
      <c r="AJ38" s="88">
        <v>0.57099999999999995</v>
      </c>
      <c r="AK38" s="88">
        <v>0.59299999999999997</v>
      </c>
      <c r="AL38" s="88">
        <v>0.61799999999999999</v>
      </c>
      <c r="AM38" s="88">
        <v>0.64400000000000002</v>
      </c>
      <c r="AN38" s="88">
        <v>0.67200000000000004</v>
      </c>
      <c r="AO38" s="88">
        <v>0.70199999999999996</v>
      </c>
      <c r="AP38" s="88">
        <v>0.73399999999999999</v>
      </c>
      <c r="AQ38" s="88">
        <v>0.76900000000000002</v>
      </c>
      <c r="AR38" s="88">
        <v>0.80700000000000005</v>
      </c>
      <c r="AS38" s="88">
        <v>0.84799999999999998</v>
      </c>
      <c r="AT38" s="88">
        <v>0.89300000000000002</v>
      </c>
      <c r="AU38" s="88">
        <v>0.94199999999999995</v>
      </c>
      <c r="AV38" s="88">
        <v>0.996</v>
      </c>
    </row>
    <row r="44" spans="1:48" ht="39.6" customHeight="1" x14ac:dyDescent="0.25"/>
    <row r="46" spans="1:48" ht="27.6" customHeight="1" x14ac:dyDescent="0.25"/>
  </sheetData>
  <sheetProtection algorithmName="SHA-512" hashValue="m345/kt8hvq8rx8pqXXRLhUdOeVwbEAKagy1CpWNSeTUMJXOG2hPMN5J2ASKibDpTDLJUXv0XYsvOSiiDMMYhA==" saltValue="K2n4llewsUcbaGDJzyT2iQ==" spinCount="100000" sheet="1" objects="1" scenarios="1"/>
  <conditionalFormatting sqref="A6:A21">
    <cfRule type="expression" dxfId="121" priority="1" stopIfTrue="1">
      <formula>MOD(ROW(),2)=0</formula>
    </cfRule>
    <cfRule type="expression" dxfId="120" priority="2" stopIfTrue="1">
      <formula>MOD(ROW(),2)&lt;&gt;0</formula>
    </cfRule>
  </conditionalFormatting>
  <conditionalFormatting sqref="A26:A38">
    <cfRule type="expression" dxfId="119" priority="7" stopIfTrue="1">
      <formula>MOD(ROW(),2)=0</formula>
    </cfRule>
    <cfRule type="expression" dxfId="118" priority="8" stopIfTrue="1">
      <formula>MOD(ROW(),2)&lt;&gt;0</formula>
    </cfRule>
  </conditionalFormatting>
  <conditionalFormatting sqref="B17:B21">
    <cfRule type="expression" dxfId="117" priority="11" stopIfTrue="1">
      <formula>MOD(ROW(),2)=0</formula>
    </cfRule>
    <cfRule type="expression" dxfId="116" priority="12" stopIfTrue="1">
      <formula>MOD(ROW(),2)&lt;&gt;0</formula>
    </cfRule>
  </conditionalFormatting>
  <conditionalFormatting sqref="B6:AV21 B26:AV38">
    <cfRule type="expression" dxfId="115" priority="23" stopIfTrue="1">
      <formula>MOD(ROW(),2)=0</formula>
    </cfRule>
    <cfRule type="expression" dxfId="114" priority="24" stopIfTrue="1">
      <formula>MOD(ROW(),2)&lt;&gt;0</formula>
    </cfRule>
  </conditionalFormatting>
  <hyperlinks>
    <hyperlink ref="B24" location="Assumptions!A1" display="Assumptions" xr:uid="{3B4DFC05-DA88-4A1F-8B2F-ACC4706E53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dimension ref="A1:AQ46"/>
  <sheetViews>
    <sheetView showGridLines="0" topLeftCell="M1" zoomScale="84" zoomScaleNormal="84" workbookViewId="0">
      <selection activeCell="B6" sqref="B6:AQ21"/>
    </sheetView>
  </sheetViews>
  <sheetFormatPr defaultColWidth="10" defaultRowHeight="13.2" x14ac:dyDescent="0.25"/>
  <cols>
    <col min="1" max="1" width="31.5546875" style="27" customWidth="1"/>
    <col min="2" max="43" width="22.5546875" style="27" customWidth="1"/>
    <col min="44" max="16384" width="10" style="27"/>
  </cols>
  <sheetData>
    <row r="1" spans="1:43" ht="21" x14ac:dyDescent="0.4">
      <c r="A1" s="39" t="s">
        <v>0</v>
      </c>
      <c r="B1" s="40"/>
      <c r="C1" s="40"/>
      <c r="D1" s="40"/>
      <c r="E1" s="40"/>
      <c r="F1" s="40"/>
      <c r="G1" s="40"/>
      <c r="H1" s="40"/>
      <c r="I1" s="40"/>
    </row>
    <row r="2" spans="1:43" ht="15.6" x14ac:dyDescent="0.3">
      <c r="A2" s="41" t="str">
        <f>IF(title="&gt; Enter workbook title here","Enter workbook title in Cover sheet",title)</f>
        <v>Fire England - Consolidated Factor Spreadsheet</v>
      </c>
      <c r="B2" s="42"/>
      <c r="C2" s="42"/>
      <c r="D2" s="42"/>
      <c r="E2" s="42"/>
      <c r="F2" s="42"/>
      <c r="G2" s="42"/>
      <c r="H2" s="42"/>
      <c r="I2" s="42"/>
    </row>
    <row r="3" spans="1:43" ht="15.6" x14ac:dyDescent="0.3">
      <c r="A3" s="43" t="str">
        <f>TABLE_FACTOR_TYPE_1&amp;" - x-"&amp;TABLE_SERIES_NUMBER_1</f>
        <v>Scheme pays AA - x-619</v>
      </c>
      <c r="B3" s="42"/>
      <c r="C3" s="42"/>
      <c r="D3" s="42"/>
      <c r="E3" s="42"/>
      <c r="F3" s="42"/>
      <c r="G3" s="42"/>
      <c r="H3" s="42"/>
      <c r="I3" s="42"/>
    </row>
    <row r="4" spans="1:43" x14ac:dyDescent="0.25">
      <c r="A4" s="44"/>
    </row>
    <row r="6" spans="1:43" x14ac:dyDescent="0.25">
      <c r="A6" s="74" t="s">
        <v>334</v>
      </c>
      <c r="B6" s="148" t="s">
        <v>335</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row>
    <row r="7" spans="1:43" x14ac:dyDescent="0.25">
      <c r="A7" s="76" t="s">
        <v>78</v>
      </c>
      <c r="B7" s="148" t="s">
        <v>67</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row>
    <row r="8" spans="1:43" x14ac:dyDescent="0.25">
      <c r="A8" s="76" t="s">
        <v>79</v>
      </c>
      <c r="B8" s="148">
        <v>2006</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row>
    <row r="9" spans="1:43" x14ac:dyDescent="0.25">
      <c r="A9" s="76" t="s">
        <v>80</v>
      </c>
      <c r="B9" s="148" t="s">
        <v>257</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row>
    <row r="10" spans="1:43" x14ac:dyDescent="0.25">
      <c r="A10" s="76" t="s">
        <v>6</v>
      </c>
      <c r="B10" s="148" t="s">
        <v>296</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row>
    <row r="11" spans="1:43" x14ac:dyDescent="0.25">
      <c r="A11" s="76" t="s">
        <v>81</v>
      </c>
      <c r="B11" s="148" t="s">
        <v>176</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row>
    <row r="12" spans="1:43" x14ac:dyDescent="0.25">
      <c r="A12" s="76" t="s">
        <v>82</v>
      </c>
      <c r="B12" s="148" t="s">
        <v>284</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row>
    <row r="13" spans="1:43" x14ac:dyDescent="0.25">
      <c r="A13" s="76" t="s">
        <v>342</v>
      </c>
      <c r="B13" s="148">
        <v>1</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row>
    <row r="14" spans="1:43" x14ac:dyDescent="0.25">
      <c r="A14" s="76" t="s">
        <v>84</v>
      </c>
      <c r="B14" s="148">
        <v>619</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row>
    <row r="15" spans="1:43" x14ac:dyDescent="0.25">
      <c r="A15" s="76" t="s">
        <v>345</v>
      </c>
      <c r="B15" s="148" t="s">
        <v>297</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row>
    <row r="16" spans="1:43" x14ac:dyDescent="0.25">
      <c r="A16" s="76" t="s">
        <v>86</v>
      </c>
      <c r="B16" s="148" t="s">
        <v>298</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row>
    <row r="17" spans="1:43" x14ac:dyDescent="0.25">
      <c r="A17" s="76" t="s">
        <v>414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row>
    <row r="18" spans="1:43" x14ac:dyDescent="0.25">
      <c r="A18" s="76" t="s">
        <v>88</v>
      </c>
      <c r="B18" s="152">
        <v>45135</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row>
    <row r="19" spans="1:43" x14ac:dyDescent="0.25">
      <c r="A19" s="76" t="s">
        <v>89</v>
      </c>
      <c r="B19" s="152">
        <v>45135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row>
    <row r="20" spans="1:43" x14ac:dyDescent="0.25">
      <c r="A20" s="76" t="s">
        <v>90</v>
      </c>
      <c r="B20" s="148" t="s">
        <v>98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row>
    <row r="21" spans="1:43" x14ac:dyDescent="0.25">
      <c r="A21" s="72" t="s">
        <v>91</v>
      </c>
      <c r="B21" s="148" t="s">
        <v>99</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row>
    <row r="23" spans="1:43" x14ac:dyDescent="0.25">
      <c r="B23" s="89" t="str">
        <f>HYPERLINK("#'Factor List'!A1","Back to Factor List")</f>
        <v>Back to Factor List</v>
      </c>
    </row>
    <row r="24" spans="1:43" x14ac:dyDescent="0.25">
      <c r="B24" s="89" t="s">
        <v>13</v>
      </c>
    </row>
    <row r="25" spans="1:43" x14ac:dyDescent="0.25">
      <c r="B25" s="89"/>
    </row>
    <row r="26" spans="1:43" x14ac:dyDescent="0.25">
      <c r="A26" s="85" t="s">
        <v>439</v>
      </c>
      <c r="B26" s="85">
        <v>18</v>
      </c>
      <c r="C26" s="85">
        <v>19</v>
      </c>
      <c r="D26" s="85">
        <v>20</v>
      </c>
      <c r="E26" s="85">
        <v>21</v>
      </c>
      <c r="F26" s="85">
        <v>22</v>
      </c>
      <c r="G26" s="85">
        <v>23</v>
      </c>
      <c r="H26" s="85">
        <v>24</v>
      </c>
      <c r="I26" s="85">
        <v>25</v>
      </c>
      <c r="J26" s="85">
        <v>26</v>
      </c>
      <c r="K26" s="85">
        <v>27</v>
      </c>
      <c r="L26" s="85">
        <v>28</v>
      </c>
      <c r="M26" s="85">
        <v>29</v>
      </c>
      <c r="N26" s="85">
        <v>30</v>
      </c>
      <c r="O26" s="85">
        <v>31</v>
      </c>
      <c r="P26" s="85">
        <v>32</v>
      </c>
      <c r="Q26" s="85">
        <v>33</v>
      </c>
      <c r="R26" s="85">
        <v>34</v>
      </c>
      <c r="S26" s="85">
        <v>35</v>
      </c>
      <c r="T26" s="85">
        <v>36</v>
      </c>
      <c r="U26" s="85">
        <v>37</v>
      </c>
      <c r="V26" s="85">
        <v>38</v>
      </c>
      <c r="W26" s="85">
        <v>39</v>
      </c>
      <c r="X26" s="85">
        <v>40</v>
      </c>
      <c r="Y26" s="85">
        <v>41</v>
      </c>
      <c r="Z26" s="85">
        <v>42</v>
      </c>
      <c r="AA26" s="85">
        <v>43</v>
      </c>
      <c r="AB26" s="85">
        <v>44</v>
      </c>
      <c r="AC26" s="85">
        <v>45</v>
      </c>
      <c r="AD26" s="85">
        <v>46</v>
      </c>
      <c r="AE26" s="85">
        <v>47</v>
      </c>
      <c r="AF26" s="85">
        <v>48</v>
      </c>
      <c r="AG26" s="85">
        <v>49</v>
      </c>
      <c r="AH26" s="85">
        <v>50</v>
      </c>
      <c r="AI26" s="85">
        <v>51</v>
      </c>
      <c r="AJ26" s="85">
        <v>52</v>
      </c>
      <c r="AK26" s="85">
        <v>53</v>
      </c>
      <c r="AL26" s="85">
        <v>54</v>
      </c>
      <c r="AM26" s="85">
        <v>55</v>
      </c>
      <c r="AN26" s="85">
        <v>56</v>
      </c>
      <c r="AO26" s="85">
        <v>57</v>
      </c>
      <c r="AP26" s="85">
        <v>58</v>
      </c>
      <c r="AQ26" s="85">
        <v>59</v>
      </c>
    </row>
    <row r="27" spans="1:43" x14ac:dyDescent="0.25">
      <c r="A27" s="86">
        <v>0</v>
      </c>
      <c r="B27" s="88">
        <v>0.26700000000000002</v>
      </c>
      <c r="C27" s="88">
        <v>0.27300000000000002</v>
      </c>
      <c r="D27" s="88">
        <v>0.27900000000000003</v>
      </c>
      <c r="E27" s="88">
        <v>0.28599999999999998</v>
      </c>
      <c r="F27" s="88">
        <v>0.29299999999999998</v>
      </c>
      <c r="G27" s="88">
        <v>0.3</v>
      </c>
      <c r="H27" s="88">
        <v>0.307</v>
      </c>
      <c r="I27" s="88">
        <v>0.315</v>
      </c>
      <c r="J27" s="88">
        <v>0.32200000000000001</v>
      </c>
      <c r="K27" s="88">
        <v>0.33</v>
      </c>
      <c r="L27" s="88">
        <v>0.33900000000000002</v>
      </c>
      <c r="M27" s="88">
        <v>0.34799999999999998</v>
      </c>
      <c r="N27" s="88">
        <v>0.35699999999999998</v>
      </c>
      <c r="O27" s="88">
        <v>0.36599999999999999</v>
      </c>
      <c r="P27" s="88">
        <v>0.376</v>
      </c>
      <c r="Q27" s="88">
        <v>0.38600000000000001</v>
      </c>
      <c r="R27" s="88">
        <v>0.39700000000000002</v>
      </c>
      <c r="S27" s="88">
        <v>0.40799999999999997</v>
      </c>
      <c r="T27" s="88">
        <v>0.42</v>
      </c>
      <c r="U27" s="88">
        <v>0.432</v>
      </c>
      <c r="V27" s="88">
        <v>0.44500000000000001</v>
      </c>
      <c r="W27" s="88">
        <v>0.45800000000000002</v>
      </c>
      <c r="X27" s="88">
        <v>0.47199999999999998</v>
      </c>
      <c r="Y27" s="88">
        <v>0.48599999999999999</v>
      </c>
      <c r="Z27" s="88">
        <v>0.502</v>
      </c>
      <c r="AA27" s="88">
        <v>0.51800000000000002</v>
      </c>
      <c r="AB27" s="88">
        <v>0.53500000000000003</v>
      </c>
      <c r="AC27" s="88">
        <v>0.55200000000000005</v>
      </c>
      <c r="AD27" s="88">
        <v>0.57099999999999995</v>
      </c>
      <c r="AE27" s="88">
        <v>0.59099999999999997</v>
      </c>
      <c r="AF27" s="88">
        <v>0.61199999999999999</v>
      </c>
      <c r="AG27" s="88">
        <v>0.63400000000000001</v>
      </c>
      <c r="AH27" s="88">
        <v>0.65800000000000003</v>
      </c>
      <c r="AI27" s="88">
        <v>0.68300000000000005</v>
      </c>
      <c r="AJ27" s="88">
        <v>0.70899999999999996</v>
      </c>
      <c r="AK27" s="88">
        <v>0.73699999999999999</v>
      </c>
      <c r="AL27" s="88">
        <v>0.76700000000000002</v>
      </c>
      <c r="AM27" s="88">
        <v>0.8</v>
      </c>
      <c r="AN27" s="88">
        <v>0.83399999999999996</v>
      </c>
      <c r="AO27" s="88">
        <v>0.871</v>
      </c>
      <c r="AP27" s="88">
        <v>0.91100000000000003</v>
      </c>
      <c r="AQ27" s="88">
        <v>0.95399999999999996</v>
      </c>
    </row>
    <row r="28" spans="1:43" x14ac:dyDescent="0.25">
      <c r="A28" s="86">
        <v>1</v>
      </c>
      <c r="B28" s="88">
        <v>0.26700000000000002</v>
      </c>
      <c r="C28" s="88">
        <v>0.27300000000000002</v>
      </c>
      <c r="D28" s="88">
        <v>0.28000000000000003</v>
      </c>
      <c r="E28" s="88">
        <v>0.28599999999999998</v>
      </c>
      <c r="F28" s="88">
        <v>0.29299999999999998</v>
      </c>
      <c r="G28" s="88">
        <v>0.3</v>
      </c>
      <c r="H28" s="88">
        <v>0.308</v>
      </c>
      <c r="I28" s="88">
        <v>0.315</v>
      </c>
      <c r="J28" s="88">
        <v>0.32300000000000001</v>
      </c>
      <c r="K28" s="88">
        <v>0.33100000000000002</v>
      </c>
      <c r="L28" s="88">
        <v>0.34</v>
      </c>
      <c r="M28" s="88">
        <v>0.34799999999999998</v>
      </c>
      <c r="N28" s="88">
        <v>0.35799999999999998</v>
      </c>
      <c r="O28" s="88">
        <v>0.36699999999999999</v>
      </c>
      <c r="P28" s="88">
        <v>0.377</v>
      </c>
      <c r="Q28" s="88">
        <v>0.38700000000000001</v>
      </c>
      <c r="R28" s="88">
        <v>0.39800000000000002</v>
      </c>
      <c r="S28" s="88">
        <v>0.40899999999999997</v>
      </c>
      <c r="T28" s="88">
        <v>0.42099999999999999</v>
      </c>
      <c r="U28" s="88">
        <v>0.433</v>
      </c>
      <c r="V28" s="88">
        <v>0.44600000000000001</v>
      </c>
      <c r="W28" s="88">
        <v>0.45900000000000002</v>
      </c>
      <c r="X28" s="88">
        <v>0.47299999999999998</v>
      </c>
      <c r="Y28" s="88">
        <v>0.48799999999999999</v>
      </c>
      <c r="Z28" s="88">
        <v>0.503</v>
      </c>
      <c r="AA28" s="88">
        <v>0.51900000000000002</v>
      </c>
      <c r="AB28" s="88">
        <v>0.53600000000000003</v>
      </c>
      <c r="AC28" s="88">
        <v>0.55400000000000005</v>
      </c>
      <c r="AD28" s="88">
        <v>0.57299999999999995</v>
      </c>
      <c r="AE28" s="88">
        <v>0.59299999999999997</v>
      </c>
      <c r="AF28" s="88">
        <v>0.61399999999999999</v>
      </c>
      <c r="AG28" s="88">
        <v>0.63600000000000001</v>
      </c>
      <c r="AH28" s="88">
        <v>0.66</v>
      </c>
      <c r="AI28" s="88">
        <v>0.68500000000000005</v>
      </c>
      <c r="AJ28" s="88">
        <v>0.71099999999999997</v>
      </c>
      <c r="AK28" s="88">
        <v>0.74</v>
      </c>
      <c r="AL28" s="88">
        <v>0.77</v>
      </c>
      <c r="AM28" s="88">
        <v>0.80200000000000005</v>
      </c>
      <c r="AN28" s="88">
        <v>0.83699999999999997</v>
      </c>
      <c r="AO28" s="88">
        <v>0.874</v>
      </c>
      <c r="AP28" s="88">
        <v>0.91400000000000003</v>
      </c>
      <c r="AQ28" s="88">
        <v>0.95799999999999996</v>
      </c>
    </row>
    <row r="29" spans="1:43" x14ac:dyDescent="0.25">
      <c r="A29" s="86">
        <v>2</v>
      </c>
      <c r="B29" s="88">
        <v>0.26800000000000002</v>
      </c>
      <c r="C29" s="88">
        <v>0.27400000000000002</v>
      </c>
      <c r="D29" s="88">
        <v>0.28000000000000003</v>
      </c>
      <c r="E29" s="88">
        <v>0.28699999999999998</v>
      </c>
      <c r="F29" s="88">
        <v>0.29399999999999998</v>
      </c>
      <c r="G29" s="88">
        <v>0.30099999999999999</v>
      </c>
      <c r="H29" s="88">
        <v>0.308</v>
      </c>
      <c r="I29" s="88">
        <v>0.316</v>
      </c>
      <c r="J29" s="88">
        <v>0.32400000000000001</v>
      </c>
      <c r="K29" s="88">
        <v>0.33200000000000002</v>
      </c>
      <c r="L29" s="88">
        <v>0.34</v>
      </c>
      <c r="M29" s="88">
        <v>0.34899999999999998</v>
      </c>
      <c r="N29" s="88">
        <v>0.35799999999999998</v>
      </c>
      <c r="O29" s="88">
        <v>0.36799999999999999</v>
      </c>
      <c r="P29" s="88">
        <v>0.378</v>
      </c>
      <c r="Q29" s="88">
        <v>0.38800000000000001</v>
      </c>
      <c r="R29" s="88">
        <v>0.39900000000000002</v>
      </c>
      <c r="S29" s="88">
        <v>0.41</v>
      </c>
      <c r="T29" s="88">
        <v>0.42199999999999999</v>
      </c>
      <c r="U29" s="88">
        <v>0.434</v>
      </c>
      <c r="V29" s="88">
        <v>0.44700000000000001</v>
      </c>
      <c r="W29" s="88">
        <v>0.46</v>
      </c>
      <c r="X29" s="88">
        <v>0.47399999999999998</v>
      </c>
      <c r="Y29" s="88">
        <v>0.48899999999999999</v>
      </c>
      <c r="Z29" s="88">
        <v>0.504</v>
      </c>
      <c r="AA29" s="88">
        <v>0.52100000000000002</v>
      </c>
      <c r="AB29" s="88">
        <v>0.53800000000000003</v>
      </c>
      <c r="AC29" s="88">
        <v>0.55600000000000005</v>
      </c>
      <c r="AD29" s="88">
        <v>0.57399999999999995</v>
      </c>
      <c r="AE29" s="88">
        <v>0.59399999999999997</v>
      </c>
      <c r="AF29" s="88">
        <v>0.61599999999999999</v>
      </c>
      <c r="AG29" s="88">
        <v>0.63800000000000001</v>
      </c>
      <c r="AH29" s="88">
        <v>0.66200000000000003</v>
      </c>
      <c r="AI29" s="88">
        <v>0.68700000000000006</v>
      </c>
      <c r="AJ29" s="88">
        <v>0.71399999999999997</v>
      </c>
      <c r="AK29" s="88">
        <v>0.74199999999999999</v>
      </c>
      <c r="AL29" s="88">
        <v>0.77300000000000002</v>
      </c>
      <c r="AM29" s="88">
        <v>0.80500000000000005</v>
      </c>
      <c r="AN29" s="88">
        <v>0.84</v>
      </c>
      <c r="AO29" s="88">
        <v>0.878</v>
      </c>
      <c r="AP29" s="88">
        <v>0.91800000000000004</v>
      </c>
      <c r="AQ29" s="88">
        <v>0.96099999999999997</v>
      </c>
    </row>
    <row r="30" spans="1:43" x14ac:dyDescent="0.25">
      <c r="A30" s="86">
        <v>3</v>
      </c>
      <c r="B30" s="88">
        <v>0.26800000000000002</v>
      </c>
      <c r="C30" s="88">
        <v>0.27500000000000002</v>
      </c>
      <c r="D30" s="88">
        <v>0.28100000000000003</v>
      </c>
      <c r="E30" s="88">
        <v>0.28799999999999998</v>
      </c>
      <c r="F30" s="88">
        <v>0.29399999999999998</v>
      </c>
      <c r="G30" s="88">
        <v>0.30199999999999999</v>
      </c>
      <c r="H30" s="88">
        <v>0.309</v>
      </c>
      <c r="I30" s="88">
        <v>0.316</v>
      </c>
      <c r="J30" s="88">
        <v>0.32400000000000001</v>
      </c>
      <c r="K30" s="88">
        <v>0.33300000000000002</v>
      </c>
      <c r="L30" s="88">
        <v>0.34100000000000003</v>
      </c>
      <c r="M30" s="88">
        <v>0.35</v>
      </c>
      <c r="N30" s="88">
        <v>0.35899999999999999</v>
      </c>
      <c r="O30" s="88">
        <v>0.36899999999999999</v>
      </c>
      <c r="P30" s="88">
        <v>0.379</v>
      </c>
      <c r="Q30" s="88">
        <v>0.38900000000000001</v>
      </c>
      <c r="R30" s="88">
        <v>0.4</v>
      </c>
      <c r="S30" s="88">
        <v>0.41099999999999998</v>
      </c>
      <c r="T30" s="88">
        <v>0.42299999999999999</v>
      </c>
      <c r="U30" s="88">
        <v>0.435</v>
      </c>
      <c r="V30" s="88">
        <v>0.44800000000000001</v>
      </c>
      <c r="W30" s="88">
        <v>0.46100000000000002</v>
      </c>
      <c r="X30" s="88">
        <v>0.47499999999999998</v>
      </c>
      <c r="Y30" s="88">
        <v>0.49</v>
      </c>
      <c r="Z30" s="88">
        <v>0.50600000000000001</v>
      </c>
      <c r="AA30" s="88">
        <v>0.52200000000000002</v>
      </c>
      <c r="AB30" s="88">
        <v>0.53900000000000003</v>
      </c>
      <c r="AC30" s="88">
        <v>0.55700000000000005</v>
      </c>
      <c r="AD30" s="88">
        <v>0.57599999999999996</v>
      </c>
      <c r="AE30" s="88">
        <v>0.59599999999999997</v>
      </c>
      <c r="AF30" s="88">
        <v>0.61699999999999999</v>
      </c>
      <c r="AG30" s="88">
        <v>0.64</v>
      </c>
      <c r="AH30" s="88">
        <v>0.66400000000000003</v>
      </c>
      <c r="AI30" s="88">
        <v>0.68899999999999995</v>
      </c>
      <c r="AJ30" s="88">
        <v>0.71599999999999997</v>
      </c>
      <c r="AK30" s="88">
        <v>0.745</v>
      </c>
      <c r="AL30" s="88">
        <v>0.77500000000000002</v>
      </c>
      <c r="AM30" s="88">
        <v>0.80800000000000005</v>
      </c>
      <c r="AN30" s="88">
        <v>0.84299999999999997</v>
      </c>
      <c r="AO30" s="88">
        <v>0.88100000000000001</v>
      </c>
      <c r="AP30" s="88">
        <v>0.92200000000000004</v>
      </c>
      <c r="AQ30" s="88">
        <v>0.96499999999999997</v>
      </c>
    </row>
    <row r="31" spans="1:43" x14ac:dyDescent="0.25">
      <c r="A31" s="86">
        <v>4</v>
      </c>
      <c r="B31" s="88">
        <v>0.26900000000000002</v>
      </c>
      <c r="C31" s="88">
        <v>0.27500000000000002</v>
      </c>
      <c r="D31" s="88">
        <v>0.28100000000000003</v>
      </c>
      <c r="E31" s="88">
        <v>0.28799999999999998</v>
      </c>
      <c r="F31" s="88">
        <v>0.29499999999999998</v>
      </c>
      <c r="G31" s="88">
        <v>0.30199999999999999</v>
      </c>
      <c r="H31" s="88">
        <v>0.31</v>
      </c>
      <c r="I31" s="88">
        <v>0.317</v>
      </c>
      <c r="J31" s="88">
        <v>0.32500000000000001</v>
      </c>
      <c r="K31" s="88">
        <v>0.33300000000000002</v>
      </c>
      <c r="L31" s="88">
        <v>0.34200000000000003</v>
      </c>
      <c r="M31" s="88">
        <v>0.35099999999999998</v>
      </c>
      <c r="N31" s="88">
        <v>0.36</v>
      </c>
      <c r="O31" s="88">
        <v>0.36899999999999999</v>
      </c>
      <c r="P31" s="88">
        <v>0.379</v>
      </c>
      <c r="Q31" s="88">
        <v>0.39</v>
      </c>
      <c r="R31" s="88">
        <v>0.40100000000000002</v>
      </c>
      <c r="S31" s="88">
        <v>0.41199999999999998</v>
      </c>
      <c r="T31" s="88">
        <v>0.42399999999999999</v>
      </c>
      <c r="U31" s="88">
        <v>0.436</v>
      </c>
      <c r="V31" s="88">
        <v>0.44900000000000001</v>
      </c>
      <c r="W31" s="88">
        <v>0.46200000000000002</v>
      </c>
      <c r="X31" s="88">
        <v>0.47699999999999998</v>
      </c>
      <c r="Y31" s="88">
        <v>0.49099999999999999</v>
      </c>
      <c r="Z31" s="88">
        <v>0.50700000000000001</v>
      </c>
      <c r="AA31" s="88">
        <v>0.52300000000000002</v>
      </c>
      <c r="AB31" s="88">
        <v>0.54100000000000004</v>
      </c>
      <c r="AC31" s="88">
        <v>0.55900000000000005</v>
      </c>
      <c r="AD31" s="88">
        <v>0.57799999999999996</v>
      </c>
      <c r="AE31" s="88">
        <v>0.59799999999999998</v>
      </c>
      <c r="AF31" s="88">
        <v>0.61899999999999999</v>
      </c>
      <c r="AG31" s="88">
        <v>0.64200000000000002</v>
      </c>
      <c r="AH31" s="88">
        <v>0.66600000000000004</v>
      </c>
      <c r="AI31" s="88">
        <v>0.69099999999999995</v>
      </c>
      <c r="AJ31" s="88">
        <v>0.71799999999999997</v>
      </c>
      <c r="AK31" s="88">
        <v>0.747</v>
      </c>
      <c r="AL31" s="88">
        <v>0.77800000000000002</v>
      </c>
      <c r="AM31" s="88">
        <v>0.81100000000000005</v>
      </c>
      <c r="AN31" s="88">
        <v>0.84599999999999997</v>
      </c>
      <c r="AO31" s="88">
        <v>0.88400000000000001</v>
      </c>
      <c r="AP31" s="88">
        <v>0.92500000000000004</v>
      </c>
      <c r="AQ31" s="88">
        <v>0.96899999999999997</v>
      </c>
    </row>
    <row r="32" spans="1:43" x14ac:dyDescent="0.25">
      <c r="A32" s="86">
        <v>5</v>
      </c>
      <c r="B32" s="88">
        <v>0.26900000000000002</v>
      </c>
      <c r="C32" s="88">
        <v>0.27600000000000002</v>
      </c>
      <c r="D32" s="88">
        <v>0.28199999999999997</v>
      </c>
      <c r="E32" s="88">
        <v>0.28899999999999998</v>
      </c>
      <c r="F32" s="88">
        <v>0.29599999999999999</v>
      </c>
      <c r="G32" s="88">
        <v>0.30299999999999999</v>
      </c>
      <c r="H32" s="88">
        <v>0.31</v>
      </c>
      <c r="I32" s="88">
        <v>0.318</v>
      </c>
      <c r="J32" s="88">
        <v>0.32600000000000001</v>
      </c>
      <c r="K32" s="88">
        <v>0.33400000000000002</v>
      </c>
      <c r="L32" s="88">
        <v>0.34300000000000003</v>
      </c>
      <c r="M32" s="88">
        <v>0.35099999999999998</v>
      </c>
      <c r="N32" s="88">
        <v>0.36099999999999999</v>
      </c>
      <c r="O32" s="88">
        <v>0.37</v>
      </c>
      <c r="P32" s="88">
        <v>0.38</v>
      </c>
      <c r="Q32" s="88">
        <v>0.39100000000000001</v>
      </c>
      <c r="R32" s="88">
        <v>0.40200000000000002</v>
      </c>
      <c r="S32" s="88">
        <v>0.41299999999999998</v>
      </c>
      <c r="T32" s="88">
        <v>0.42499999999999999</v>
      </c>
      <c r="U32" s="88">
        <v>0.437</v>
      </c>
      <c r="V32" s="88">
        <v>0.45</v>
      </c>
      <c r="W32" s="88">
        <v>0.46400000000000002</v>
      </c>
      <c r="X32" s="88">
        <v>0.47799999999999998</v>
      </c>
      <c r="Y32" s="88">
        <v>0.49299999999999999</v>
      </c>
      <c r="Z32" s="88">
        <v>0.50800000000000001</v>
      </c>
      <c r="AA32" s="88">
        <v>0.52500000000000002</v>
      </c>
      <c r="AB32" s="88">
        <v>0.54200000000000004</v>
      </c>
      <c r="AC32" s="88">
        <v>0.56000000000000005</v>
      </c>
      <c r="AD32" s="88">
        <v>0.57899999999999996</v>
      </c>
      <c r="AE32" s="88">
        <v>0.6</v>
      </c>
      <c r="AF32" s="88">
        <v>0.621</v>
      </c>
      <c r="AG32" s="88">
        <v>0.64400000000000002</v>
      </c>
      <c r="AH32" s="88">
        <v>0.66800000000000004</v>
      </c>
      <c r="AI32" s="88">
        <v>0.69399999999999995</v>
      </c>
      <c r="AJ32" s="88">
        <v>0.72099999999999997</v>
      </c>
      <c r="AK32" s="88">
        <v>0.75</v>
      </c>
      <c r="AL32" s="88">
        <v>0.78100000000000003</v>
      </c>
      <c r="AM32" s="88">
        <v>0.81399999999999995</v>
      </c>
      <c r="AN32" s="88">
        <v>0.84899999999999998</v>
      </c>
      <c r="AO32" s="88">
        <v>0.88800000000000001</v>
      </c>
      <c r="AP32" s="88">
        <v>0.92900000000000005</v>
      </c>
      <c r="AQ32" s="88">
        <v>0.97299999999999998</v>
      </c>
    </row>
    <row r="33" spans="1:43" x14ac:dyDescent="0.25">
      <c r="A33" s="86">
        <v>6</v>
      </c>
      <c r="B33" s="88">
        <v>0.27</v>
      </c>
      <c r="C33" s="88">
        <v>0.27600000000000002</v>
      </c>
      <c r="D33" s="88">
        <v>0.28299999999999997</v>
      </c>
      <c r="E33" s="88">
        <v>0.28899999999999998</v>
      </c>
      <c r="F33" s="88">
        <v>0.29599999999999999</v>
      </c>
      <c r="G33" s="88">
        <v>0.30299999999999999</v>
      </c>
      <c r="H33" s="88">
        <v>0.311</v>
      </c>
      <c r="I33" s="88">
        <v>0.318</v>
      </c>
      <c r="J33" s="88">
        <v>0.32600000000000001</v>
      </c>
      <c r="K33" s="88">
        <v>0.33500000000000002</v>
      </c>
      <c r="L33" s="88">
        <v>0.34300000000000003</v>
      </c>
      <c r="M33" s="88">
        <v>0.35199999999999998</v>
      </c>
      <c r="N33" s="88">
        <v>0.36099999999999999</v>
      </c>
      <c r="O33" s="88">
        <v>0.371</v>
      </c>
      <c r="P33" s="88">
        <v>0.38100000000000001</v>
      </c>
      <c r="Q33" s="88">
        <v>0.39200000000000002</v>
      </c>
      <c r="R33" s="88">
        <v>0.40300000000000002</v>
      </c>
      <c r="S33" s="88">
        <v>0.41399999999999998</v>
      </c>
      <c r="T33" s="88">
        <v>0.42599999999999999</v>
      </c>
      <c r="U33" s="88">
        <v>0.438</v>
      </c>
      <c r="V33" s="88">
        <v>0.45100000000000001</v>
      </c>
      <c r="W33" s="88">
        <v>0.46500000000000002</v>
      </c>
      <c r="X33" s="88">
        <v>0.47899999999999998</v>
      </c>
      <c r="Y33" s="88">
        <v>0.49399999999999999</v>
      </c>
      <c r="Z33" s="88">
        <v>0.51</v>
      </c>
      <c r="AA33" s="88">
        <v>0.52600000000000002</v>
      </c>
      <c r="AB33" s="88">
        <v>0.54400000000000004</v>
      </c>
      <c r="AC33" s="88">
        <v>0.56200000000000006</v>
      </c>
      <c r="AD33" s="88">
        <v>0.58099999999999996</v>
      </c>
      <c r="AE33" s="88">
        <v>0.60099999999999998</v>
      </c>
      <c r="AF33" s="88">
        <v>0.623</v>
      </c>
      <c r="AG33" s="88">
        <v>0.64600000000000002</v>
      </c>
      <c r="AH33" s="88">
        <v>0.67</v>
      </c>
      <c r="AI33" s="88">
        <v>0.69599999999999995</v>
      </c>
      <c r="AJ33" s="88">
        <v>0.72299999999999998</v>
      </c>
      <c r="AK33" s="88">
        <v>0.752</v>
      </c>
      <c r="AL33" s="88">
        <v>0.78300000000000003</v>
      </c>
      <c r="AM33" s="88">
        <v>0.81699999999999995</v>
      </c>
      <c r="AN33" s="88">
        <v>0.85299999999999998</v>
      </c>
      <c r="AO33" s="88">
        <v>0.89100000000000001</v>
      </c>
      <c r="AP33" s="88">
        <v>0.93200000000000005</v>
      </c>
      <c r="AQ33" s="88">
        <v>0.97699999999999998</v>
      </c>
    </row>
    <row r="34" spans="1:43" x14ac:dyDescent="0.25">
      <c r="A34" s="86">
        <v>7</v>
      </c>
      <c r="B34" s="88">
        <v>0.27</v>
      </c>
      <c r="C34" s="88">
        <v>0.27700000000000002</v>
      </c>
      <c r="D34" s="88">
        <v>0.28299999999999997</v>
      </c>
      <c r="E34" s="88">
        <v>0.28999999999999998</v>
      </c>
      <c r="F34" s="88">
        <v>0.29699999999999999</v>
      </c>
      <c r="G34" s="88">
        <v>0.30399999999999999</v>
      </c>
      <c r="H34" s="88">
        <v>0.311</v>
      </c>
      <c r="I34" s="88">
        <v>0.31900000000000001</v>
      </c>
      <c r="J34" s="88">
        <v>0.32700000000000001</v>
      </c>
      <c r="K34" s="88">
        <v>0.33500000000000002</v>
      </c>
      <c r="L34" s="88">
        <v>0.34399999999999997</v>
      </c>
      <c r="M34" s="88">
        <v>0.35299999999999998</v>
      </c>
      <c r="N34" s="88">
        <v>0.36199999999999999</v>
      </c>
      <c r="O34" s="88">
        <v>0.372</v>
      </c>
      <c r="P34" s="88">
        <v>0.38200000000000001</v>
      </c>
      <c r="Q34" s="88">
        <v>0.39300000000000002</v>
      </c>
      <c r="R34" s="88">
        <v>0.40300000000000002</v>
      </c>
      <c r="S34" s="88">
        <v>0.41499999999999998</v>
      </c>
      <c r="T34" s="88">
        <v>0.42699999999999999</v>
      </c>
      <c r="U34" s="88">
        <v>0.439</v>
      </c>
      <c r="V34" s="88">
        <v>0.45200000000000001</v>
      </c>
      <c r="W34" s="88">
        <v>0.46600000000000003</v>
      </c>
      <c r="X34" s="88">
        <v>0.48</v>
      </c>
      <c r="Y34" s="88">
        <v>0.495</v>
      </c>
      <c r="Z34" s="88">
        <v>0.51100000000000001</v>
      </c>
      <c r="AA34" s="88">
        <v>0.52800000000000002</v>
      </c>
      <c r="AB34" s="88">
        <v>0.54500000000000004</v>
      </c>
      <c r="AC34" s="88">
        <v>0.56299999999999994</v>
      </c>
      <c r="AD34" s="88">
        <v>0.58299999999999996</v>
      </c>
      <c r="AE34" s="88">
        <v>0.60299999999999998</v>
      </c>
      <c r="AF34" s="88">
        <v>0.625</v>
      </c>
      <c r="AG34" s="88">
        <v>0.64800000000000002</v>
      </c>
      <c r="AH34" s="88">
        <v>0.67200000000000004</v>
      </c>
      <c r="AI34" s="88">
        <v>0.69799999999999995</v>
      </c>
      <c r="AJ34" s="88">
        <v>0.72499999999999998</v>
      </c>
      <c r="AK34" s="88">
        <v>0.755</v>
      </c>
      <c r="AL34" s="88">
        <v>0.78600000000000003</v>
      </c>
      <c r="AM34" s="88">
        <v>0.82</v>
      </c>
      <c r="AN34" s="88">
        <v>0.85599999999999998</v>
      </c>
      <c r="AO34" s="88">
        <v>0.89400000000000002</v>
      </c>
      <c r="AP34" s="88">
        <v>0.93600000000000005</v>
      </c>
      <c r="AQ34" s="88">
        <v>0.98099999999999998</v>
      </c>
    </row>
    <row r="35" spans="1:43" x14ac:dyDescent="0.25">
      <c r="A35" s="86">
        <v>8</v>
      </c>
      <c r="B35" s="88">
        <v>0.27100000000000002</v>
      </c>
      <c r="C35" s="88">
        <v>0.27700000000000002</v>
      </c>
      <c r="D35" s="88">
        <v>0.28399999999999997</v>
      </c>
      <c r="E35" s="88">
        <v>0.28999999999999998</v>
      </c>
      <c r="F35" s="88">
        <v>0.29699999999999999</v>
      </c>
      <c r="G35" s="88">
        <v>0.30499999999999999</v>
      </c>
      <c r="H35" s="88">
        <v>0.312</v>
      </c>
      <c r="I35" s="88">
        <v>0.32</v>
      </c>
      <c r="J35" s="88">
        <v>0.32800000000000001</v>
      </c>
      <c r="K35" s="88">
        <v>0.33600000000000002</v>
      </c>
      <c r="L35" s="88">
        <v>0.34499999999999997</v>
      </c>
      <c r="M35" s="88">
        <v>0.35399999999999998</v>
      </c>
      <c r="N35" s="88">
        <v>0.36299999999999999</v>
      </c>
      <c r="O35" s="88">
        <v>0.373</v>
      </c>
      <c r="P35" s="88">
        <v>0.38300000000000001</v>
      </c>
      <c r="Q35" s="88">
        <v>0.39300000000000002</v>
      </c>
      <c r="R35" s="88">
        <v>0.40400000000000003</v>
      </c>
      <c r="S35" s="88">
        <v>0.41599999999999998</v>
      </c>
      <c r="T35" s="88">
        <v>0.42799999999999999</v>
      </c>
      <c r="U35" s="88">
        <v>0.44</v>
      </c>
      <c r="V35" s="88">
        <v>0.45300000000000001</v>
      </c>
      <c r="W35" s="88">
        <v>0.46700000000000003</v>
      </c>
      <c r="X35" s="88">
        <v>0.48099999999999998</v>
      </c>
      <c r="Y35" s="88">
        <v>0.497</v>
      </c>
      <c r="Z35" s="88">
        <v>0.51200000000000001</v>
      </c>
      <c r="AA35" s="88">
        <v>0.52900000000000003</v>
      </c>
      <c r="AB35" s="88">
        <v>0.54600000000000004</v>
      </c>
      <c r="AC35" s="88">
        <v>0.56499999999999995</v>
      </c>
      <c r="AD35" s="88">
        <v>0.58399999999999996</v>
      </c>
      <c r="AE35" s="88">
        <v>0.60499999999999998</v>
      </c>
      <c r="AF35" s="88">
        <v>0.627</v>
      </c>
      <c r="AG35" s="88">
        <v>0.65</v>
      </c>
      <c r="AH35" s="88">
        <v>0.67400000000000004</v>
      </c>
      <c r="AI35" s="88">
        <v>0.7</v>
      </c>
      <c r="AJ35" s="88">
        <v>0.72799999999999998</v>
      </c>
      <c r="AK35" s="88">
        <v>0.75700000000000001</v>
      </c>
      <c r="AL35" s="88">
        <v>0.78900000000000003</v>
      </c>
      <c r="AM35" s="88">
        <v>0.82299999999999995</v>
      </c>
      <c r="AN35" s="88">
        <v>0.85899999999999999</v>
      </c>
      <c r="AO35" s="88">
        <v>0.89800000000000002</v>
      </c>
      <c r="AP35" s="88">
        <v>0.93899999999999995</v>
      </c>
      <c r="AQ35" s="88">
        <v>0.98499999999999999</v>
      </c>
    </row>
    <row r="36" spans="1:43" x14ac:dyDescent="0.25">
      <c r="A36" s="86">
        <v>9</v>
      </c>
      <c r="B36" s="88">
        <v>0.27100000000000002</v>
      </c>
      <c r="C36" s="88">
        <v>0.27800000000000002</v>
      </c>
      <c r="D36" s="88">
        <v>0.28399999999999997</v>
      </c>
      <c r="E36" s="88">
        <v>0.29099999999999998</v>
      </c>
      <c r="F36" s="88">
        <v>0.29799999999999999</v>
      </c>
      <c r="G36" s="88">
        <v>0.30499999999999999</v>
      </c>
      <c r="H36" s="88">
        <v>0.313</v>
      </c>
      <c r="I36" s="88">
        <v>0.32</v>
      </c>
      <c r="J36" s="88">
        <v>0.32800000000000001</v>
      </c>
      <c r="K36" s="88">
        <v>0.33700000000000002</v>
      </c>
      <c r="L36" s="88">
        <v>0.34499999999999997</v>
      </c>
      <c r="M36" s="88">
        <v>0.35399999999999998</v>
      </c>
      <c r="N36" s="88">
        <v>0.36399999999999999</v>
      </c>
      <c r="O36" s="88">
        <v>0.374</v>
      </c>
      <c r="P36" s="88">
        <v>0.38400000000000001</v>
      </c>
      <c r="Q36" s="88">
        <v>0.39400000000000002</v>
      </c>
      <c r="R36" s="88">
        <v>0.40500000000000003</v>
      </c>
      <c r="S36" s="88">
        <v>0.41699999999999998</v>
      </c>
      <c r="T36" s="88">
        <v>0.42899999999999999</v>
      </c>
      <c r="U36" s="88">
        <v>0.441</v>
      </c>
      <c r="V36" s="88">
        <v>0.45500000000000002</v>
      </c>
      <c r="W36" s="88">
        <v>0.46800000000000003</v>
      </c>
      <c r="X36" s="88">
        <v>0.48299999999999998</v>
      </c>
      <c r="Y36" s="88">
        <v>0.498</v>
      </c>
      <c r="Z36" s="88">
        <v>0.51400000000000001</v>
      </c>
      <c r="AA36" s="88">
        <v>0.53</v>
      </c>
      <c r="AB36" s="88">
        <v>0.54800000000000004</v>
      </c>
      <c r="AC36" s="88">
        <v>0.56599999999999995</v>
      </c>
      <c r="AD36" s="88">
        <v>0.58599999999999997</v>
      </c>
      <c r="AE36" s="88">
        <v>0.60699999999999998</v>
      </c>
      <c r="AF36" s="88">
        <v>0.629</v>
      </c>
      <c r="AG36" s="88">
        <v>0.65200000000000002</v>
      </c>
      <c r="AH36" s="88">
        <v>0.67600000000000005</v>
      </c>
      <c r="AI36" s="88">
        <v>0.70199999999999996</v>
      </c>
      <c r="AJ36" s="88">
        <v>0.73</v>
      </c>
      <c r="AK36" s="88">
        <v>0.76</v>
      </c>
      <c r="AL36" s="88">
        <v>0.79200000000000004</v>
      </c>
      <c r="AM36" s="88">
        <v>0.82499999999999996</v>
      </c>
      <c r="AN36" s="88">
        <v>0.86199999999999999</v>
      </c>
      <c r="AO36" s="88">
        <v>0.90100000000000002</v>
      </c>
      <c r="AP36" s="88">
        <v>0.94299999999999995</v>
      </c>
      <c r="AQ36" s="88">
        <v>0.98799999999999999</v>
      </c>
    </row>
    <row r="37" spans="1:43" x14ac:dyDescent="0.25">
      <c r="A37" s="86">
        <v>10</v>
      </c>
      <c r="B37" s="88">
        <v>0.27200000000000002</v>
      </c>
      <c r="C37" s="88">
        <v>0.27800000000000002</v>
      </c>
      <c r="D37" s="88">
        <v>0.28499999999999998</v>
      </c>
      <c r="E37" s="88">
        <v>0.29199999999999998</v>
      </c>
      <c r="F37" s="88">
        <v>0.29899999999999999</v>
      </c>
      <c r="G37" s="88">
        <v>0.30599999999999999</v>
      </c>
      <c r="H37" s="88">
        <v>0.313</v>
      </c>
      <c r="I37" s="88">
        <v>0.32100000000000001</v>
      </c>
      <c r="J37" s="88">
        <v>0.32900000000000001</v>
      </c>
      <c r="K37" s="88">
        <v>0.33800000000000002</v>
      </c>
      <c r="L37" s="88">
        <v>0.34599999999999997</v>
      </c>
      <c r="M37" s="88">
        <v>0.35499999999999998</v>
      </c>
      <c r="N37" s="88">
        <v>0.36499999999999999</v>
      </c>
      <c r="O37" s="88">
        <v>0.374</v>
      </c>
      <c r="P37" s="88">
        <v>0.38500000000000001</v>
      </c>
      <c r="Q37" s="88">
        <v>0.39500000000000002</v>
      </c>
      <c r="R37" s="88">
        <v>0.40600000000000003</v>
      </c>
      <c r="S37" s="88">
        <v>0.41799999999999998</v>
      </c>
      <c r="T37" s="88">
        <v>0.43</v>
      </c>
      <c r="U37" s="88">
        <v>0.442</v>
      </c>
      <c r="V37" s="88">
        <v>0.45600000000000002</v>
      </c>
      <c r="W37" s="88">
        <v>0.46899999999999997</v>
      </c>
      <c r="X37" s="88">
        <v>0.48399999999999999</v>
      </c>
      <c r="Y37" s="88">
        <v>0.499</v>
      </c>
      <c r="Z37" s="88">
        <v>0.51500000000000001</v>
      </c>
      <c r="AA37" s="88">
        <v>0.53200000000000003</v>
      </c>
      <c r="AB37" s="88">
        <v>0.54900000000000004</v>
      </c>
      <c r="AC37" s="88">
        <v>0.56799999999999995</v>
      </c>
      <c r="AD37" s="88">
        <v>0.58799999999999997</v>
      </c>
      <c r="AE37" s="88">
        <v>0.60799999999999998</v>
      </c>
      <c r="AF37" s="88">
        <v>0.63</v>
      </c>
      <c r="AG37" s="88">
        <v>0.65400000000000003</v>
      </c>
      <c r="AH37" s="88">
        <v>0.67800000000000005</v>
      </c>
      <c r="AI37" s="88">
        <v>0.70499999999999996</v>
      </c>
      <c r="AJ37" s="88">
        <v>0.73299999999999998</v>
      </c>
      <c r="AK37" s="88">
        <v>0.76200000000000001</v>
      </c>
      <c r="AL37" s="88">
        <v>0.79400000000000004</v>
      </c>
      <c r="AM37" s="88">
        <v>0.82799999999999996</v>
      </c>
      <c r="AN37" s="88">
        <v>0.86499999999999999</v>
      </c>
      <c r="AO37" s="88">
        <v>0.90400000000000003</v>
      </c>
      <c r="AP37" s="88">
        <v>0.94699999999999995</v>
      </c>
      <c r="AQ37" s="88">
        <v>0.99199999999999999</v>
      </c>
    </row>
    <row r="38" spans="1:43" x14ac:dyDescent="0.25">
      <c r="A38" s="86">
        <v>11</v>
      </c>
      <c r="B38" s="88">
        <v>0.27200000000000002</v>
      </c>
      <c r="C38" s="88">
        <v>0.27900000000000003</v>
      </c>
      <c r="D38" s="88">
        <v>0.28499999999999998</v>
      </c>
      <c r="E38" s="88">
        <v>0.29199999999999998</v>
      </c>
      <c r="F38" s="88">
        <v>0.29899999999999999</v>
      </c>
      <c r="G38" s="88">
        <v>0.30599999999999999</v>
      </c>
      <c r="H38" s="88">
        <v>0.314</v>
      </c>
      <c r="I38" s="88">
        <v>0.32200000000000001</v>
      </c>
      <c r="J38" s="88">
        <v>0.33</v>
      </c>
      <c r="K38" s="88">
        <v>0.33800000000000002</v>
      </c>
      <c r="L38" s="88">
        <v>0.34699999999999998</v>
      </c>
      <c r="M38" s="88">
        <v>0.35599999999999998</v>
      </c>
      <c r="N38" s="88">
        <v>0.36499999999999999</v>
      </c>
      <c r="O38" s="88">
        <v>0.375</v>
      </c>
      <c r="P38" s="88">
        <v>0.38500000000000001</v>
      </c>
      <c r="Q38" s="88">
        <v>0.39600000000000002</v>
      </c>
      <c r="R38" s="88">
        <v>0.40699999999999997</v>
      </c>
      <c r="S38" s="88">
        <v>0.41899999999999998</v>
      </c>
      <c r="T38" s="88">
        <v>0.43099999999999999</v>
      </c>
      <c r="U38" s="88">
        <v>0.443</v>
      </c>
      <c r="V38" s="88">
        <v>0.45700000000000002</v>
      </c>
      <c r="W38" s="88">
        <v>0.47099999999999997</v>
      </c>
      <c r="X38" s="88">
        <v>0.48499999999999999</v>
      </c>
      <c r="Y38" s="88">
        <v>0.5</v>
      </c>
      <c r="Z38" s="88">
        <v>0.51600000000000001</v>
      </c>
      <c r="AA38" s="88">
        <v>0.53300000000000003</v>
      </c>
      <c r="AB38" s="88">
        <v>0.55100000000000005</v>
      </c>
      <c r="AC38" s="88">
        <v>0.56999999999999995</v>
      </c>
      <c r="AD38" s="88">
        <v>0.58899999999999997</v>
      </c>
      <c r="AE38" s="88">
        <v>0.61</v>
      </c>
      <c r="AF38" s="88">
        <v>0.63200000000000001</v>
      </c>
      <c r="AG38" s="88">
        <v>0.65600000000000003</v>
      </c>
      <c r="AH38" s="88">
        <v>0.68</v>
      </c>
      <c r="AI38" s="88">
        <v>0.70699999999999996</v>
      </c>
      <c r="AJ38" s="88">
        <v>0.73499999999999999</v>
      </c>
      <c r="AK38" s="88">
        <v>0.76500000000000001</v>
      </c>
      <c r="AL38" s="88">
        <v>0.79700000000000004</v>
      </c>
      <c r="AM38" s="88">
        <v>0.83099999999999996</v>
      </c>
      <c r="AN38" s="88">
        <v>0.86799999999999999</v>
      </c>
      <c r="AO38" s="88">
        <v>0.90800000000000003</v>
      </c>
      <c r="AP38" s="88">
        <v>0.95</v>
      </c>
      <c r="AQ38" s="88">
        <v>0.996</v>
      </c>
    </row>
    <row r="44" spans="1:43" ht="39.6" customHeight="1" x14ac:dyDescent="0.25"/>
    <row r="46" spans="1:43" ht="27.6" customHeight="1" x14ac:dyDescent="0.25"/>
  </sheetData>
  <sheetProtection algorithmName="SHA-512" hashValue="7FskY9RJxGI/Hu2mmcnqxi23R2IwWfMfB+Ga+7HWdtIRmK3k4SLwX86w58dDHkKlef750Gs5MyZzkqM6lnHKog==" saltValue="ell1+0TiuLPECxPICxFXUA==" spinCount="100000" sheet="1" objects="1" scenarios="1"/>
  <conditionalFormatting sqref="A6:A21">
    <cfRule type="expression" dxfId="113" priority="1" stopIfTrue="1">
      <formula>MOD(ROW(),2)=0</formula>
    </cfRule>
    <cfRule type="expression" dxfId="112" priority="2" stopIfTrue="1">
      <formula>MOD(ROW(),2)&lt;&gt;0</formula>
    </cfRule>
  </conditionalFormatting>
  <conditionalFormatting sqref="A26:A38">
    <cfRule type="expression" dxfId="111" priority="7" stopIfTrue="1">
      <formula>MOD(ROW(),2)=0</formula>
    </cfRule>
    <cfRule type="expression" dxfId="110" priority="8" stopIfTrue="1">
      <formula>MOD(ROW(),2)&lt;&gt;0</formula>
    </cfRule>
  </conditionalFormatting>
  <conditionalFormatting sqref="B17:B21">
    <cfRule type="expression" dxfId="109" priority="11" stopIfTrue="1">
      <formula>MOD(ROW(),2)=0</formula>
    </cfRule>
    <cfRule type="expression" dxfId="108" priority="12" stopIfTrue="1">
      <formula>MOD(ROW(),2)&lt;&gt;0</formula>
    </cfRule>
  </conditionalFormatting>
  <conditionalFormatting sqref="B6:AQ21 B26:AQ38">
    <cfRule type="expression" dxfId="107" priority="23" stopIfTrue="1">
      <formula>MOD(ROW(),2)=0</formula>
    </cfRule>
    <cfRule type="expression" dxfId="106" priority="24" stopIfTrue="1">
      <formula>MOD(ROW(),2)&lt;&gt;0</formula>
    </cfRule>
  </conditionalFormatting>
  <hyperlinks>
    <hyperlink ref="B24" location="Assumptions!A1" display="Assumptions" xr:uid="{F9BDE893-3A28-4319-8539-89D2F50C2B8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dimension ref="A1:I77"/>
  <sheetViews>
    <sheetView showGridLines="0" topLeftCell="A3" zoomScale="84" zoomScaleNormal="84" workbookViewId="0">
      <selection activeCell="B6" sqref="B6:B21"/>
    </sheetView>
  </sheetViews>
  <sheetFormatPr defaultColWidth="10" defaultRowHeight="13.2" x14ac:dyDescent="0.25"/>
  <cols>
    <col min="1" max="1" width="31.5546875" style="27" customWidth="1"/>
    <col min="2" max="2" width="25.77734375" style="27" customWidth="1"/>
    <col min="3"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x-620</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257</v>
      </c>
    </row>
    <row r="10" spans="1:9" x14ac:dyDescent="0.25">
      <c r="A10" s="76" t="s">
        <v>6</v>
      </c>
      <c r="B10" s="148" t="s">
        <v>299</v>
      </c>
    </row>
    <row r="11" spans="1:9" x14ac:dyDescent="0.25">
      <c r="A11" s="76" t="s">
        <v>81</v>
      </c>
      <c r="B11" s="148" t="s">
        <v>176</v>
      </c>
    </row>
    <row r="12" spans="1:9" x14ac:dyDescent="0.25">
      <c r="A12" s="76" t="s">
        <v>82</v>
      </c>
      <c r="B12" s="148" t="s">
        <v>203</v>
      </c>
    </row>
    <row r="13" spans="1:9" x14ac:dyDescent="0.25">
      <c r="A13" s="76" t="s">
        <v>342</v>
      </c>
      <c r="B13" s="148">
        <v>0</v>
      </c>
    </row>
    <row r="14" spans="1:9" x14ac:dyDescent="0.25">
      <c r="A14" s="76" t="s">
        <v>84</v>
      </c>
      <c r="B14" s="148">
        <v>620</v>
      </c>
    </row>
    <row r="15" spans="1:9" x14ac:dyDescent="0.25">
      <c r="A15" s="76" t="s">
        <v>345</v>
      </c>
      <c r="B15" s="148" t="s">
        <v>300</v>
      </c>
    </row>
    <row r="16" spans="1:9" x14ac:dyDescent="0.25">
      <c r="A16" s="76" t="s">
        <v>86</v>
      </c>
      <c r="B16" s="148" t="s">
        <v>111</v>
      </c>
    </row>
    <row r="17" spans="1:2" ht="74.55" customHeight="1" x14ac:dyDescent="0.25">
      <c r="A17" s="76" t="s">
        <v>414</v>
      </c>
      <c r="B17" s="148"/>
    </row>
    <row r="18" spans="1:2" x14ac:dyDescent="0.25">
      <c r="A18" s="76" t="s">
        <v>88</v>
      </c>
      <c r="B18" s="152">
        <v>45135</v>
      </c>
    </row>
    <row r="19" spans="1:2" x14ac:dyDescent="0.25">
      <c r="A19" s="76" t="s">
        <v>89</v>
      </c>
      <c r="B19" s="152">
        <v>45135</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5" spans="1:2" x14ac:dyDescent="0.25">
      <c r="B25" s="89"/>
    </row>
    <row r="26" spans="1:2" ht="26.4" x14ac:dyDescent="0.25">
      <c r="A26" s="79" t="s">
        <v>203</v>
      </c>
      <c r="B26" s="79" t="s">
        <v>466</v>
      </c>
    </row>
    <row r="27" spans="1:2" x14ac:dyDescent="0.25">
      <c r="A27" s="86">
        <v>0</v>
      </c>
      <c r="B27" s="88">
        <v>1</v>
      </c>
    </row>
    <row r="28" spans="1:2" x14ac:dyDescent="0.25">
      <c r="A28" s="86">
        <v>1</v>
      </c>
      <c r="B28" s="88">
        <v>0.94199999999999995</v>
      </c>
    </row>
    <row r="29" spans="1:2" x14ac:dyDescent="0.25">
      <c r="A29" s="86">
        <v>2</v>
      </c>
      <c r="B29" s="88">
        <v>0.89</v>
      </c>
    </row>
    <row r="30" spans="1:2" x14ac:dyDescent="0.25">
      <c r="A30" s="86">
        <v>3</v>
      </c>
      <c r="B30" s="88">
        <v>0.84199999999999997</v>
      </c>
    </row>
    <row r="31" spans="1:2" x14ac:dyDescent="0.25">
      <c r="A31" s="86">
        <v>4</v>
      </c>
      <c r="B31" s="88">
        <v>0.79900000000000004</v>
      </c>
    </row>
    <row r="32" spans="1:2" x14ac:dyDescent="0.25">
      <c r="A32" s="86">
        <v>5</v>
      </c>
      <c r="B32" s="88">
        <v>0.75900000000000001</v>
      </c>
    </row>
    <row r="33" spans="1:2" x14ac:dyDescent="0.25">
      <c r="A33" s="86">
        <v>6</v>
      </c>
      <c r="B33" s="88">
        <v>0.72199999999999998</v>
      </c>
    </row>
    <row r="34" spans="1:2" x14ac:dyDescent="0.25">
      <c r="A34" s="86">
        <v>7</v>
      </c>
      <c r="B34" s="88">
        <v>0.68899999999999995</v>
      </c>
    </row>
    <row r="35" spans="1:2" x14ac:dyDescent="0.25">
      <c r="A35" s="86">
        <v>8</v>
      </c>
      <c r="B35" s="88">
        <v>0.65800000000000003</v>
      </c>
    </row>
    <row r="36" spans="1:2" x14ac:dyDescent="0.25">
      <c r="A36" s="86">
        <v>9</v>
      </c>
      <c r="B36" s="88">
        <v>0.629</v>
      </c>
    </row>
    <row r="37" spans="1:2" x14ac:dyDescent="0.25">
      <c r="A37" s="86">
        <v>10</v>
      </c>
      <c r="B37" s="88">
        <v>0.60199999999999998</v>
      </c>
    </row>
    <row r="38" spans="1:2" x14ac:dyDescent="0.25">
      <c r="A38" s="86">
        <v>11</v>
      </c>
      <c r="B38" s="88">
        <v>0.57699999999999996</v>
      </c>
    </row>
    <row r="39" spans="1:2" x14ac:dyDescent="0.25">
      <c r="A39" s="86">
        <v>12</v>
      </c>
      <c r="B39" s="88">
        <v>0.55400000000000005</v>
      </c>
    </row>
    <row r="40" spans="1:2" x14ac:dyDescent="0.25">
      <c r="A40" s="86">
        <v>13</v>
      </c>
      <c r="B40" s="88">
        <v>0.53200000000000003</v>
      </c>
    </row>
    <row r="41" spans="1:2" x14ac:dyDescent="0.25">
      <c r="A41" s="86">
        <v>14</v>
      </c>
      <c r="B41" s="88">
        <v>0.51200000000000001</v>
      </c>
    </row>
    <row r="42" spans="1:2" x14ac:dyDescent="0.25">
      <c r="A42" s="86">
        <v>15</v>
      </c>
      <c r="B42" s="88">
        <v>0.49299999999999999</v>
      </c>
    </row>
    <row r="43" spans="1:2" x14ac:dyDescent="0.25">
      <c r="A43" s="86">
        <v>16</v>
      </c>
      <c r="B43" s="88">
        <v>0.47499999999999998</v>
      </c>
    </row>
    <row r="44" spans="1:2" x14ac:dyDescent="0.25">
      <c r="A44" s="86">
        <v>17</v>
      </c>
      <c r="B44" s="88">
        <v>0.45800000000000002</v>
      </c>
    </row>
    <row r="45" spans="1:2" x14ac:dyDescent="0.25">
      <c r="A45" s="86">
        <v>18</v>
      </c>
      <c r="B45" s="88">
        <v>0.442</v>
      </c>
    </row>
    <row r="46" spans="1:2" x14ac:dyDescent="0.25">
      <c r="A46" s="86">
        <v>19</v>
      </c>
      <c r="B46" s="88">
        <v>0.42699999999999999</v>
      </c>
    </row>
    <row r="47" spans="1:2" x14ac:dyDescent="0.25">
      <c r="A47" s="86">
        <v>20</v>
      </c>
      <c r="B47" s="88">
        <v>0.41299999999999998</v>
      </c>
    </row>
    <row r="48" spans="1:2" x14ac:dyDescent="0.25">
      <c r="A48" s="86">
        <v>21</v>
      </c>
      <c r="B48" s="88">
        <v>0.39900000000000002</v>
      </c>
    </row>
    <row r="49" spans="1:2" x14ac:dyDescent="0.25">
      <c r="A49" s="86">
        <v>22</v>
      </c>
      <c r="B49" s="88">
        <v>0.38700000000000001</v>
      </c>
    </row>
    <row r="50" spans="1:2" x14ac:dyDescent="0.25">
      <c r="A50" s="86">
        <v>23</v>
      </c>
      <c r="B50" s="88">
        <v>0.374</v>
      </c>
    </row>
    <row r="51" spans="1:2" x14ac:dyDescent="0.25">
      <c r="A51" s="86">
        <v>24</v>
      </c>
      <c r="B51" s="88">
        <v>0.36299999999999999</v>
      </c>
    </row>
    <row r="52" spans="1:2" x14ac:dyDescent="0.25">
      <c r="A52" s="86">
        <v>25</v>
      </c>
      <c r="B52" s="88">
        <v>0.35199999999999998</v>
      </c>
    </row>
    <row r="53" spans="1:2" x14ac:dyDescent="0.25">
      <c r="A53" s="86">
        <v>26</v>
      </c>
      <c r="B53" s="88">
        <v>0.34200000000000003</v>
      </c>
    </row>
    <row r="54" spans="1:2" x14ac:dyDescent="0.25">
      <c r="A54" s="86">
        <v>27</v>
      </c>
      <c r="B54" s="88">
        <v>0.33200000000000002</v>
      </c>
    </row>
    <row r="55" spans="1:2" x14ac:dyDescent="0.25">
      <c r="A55" s="86">
        <v>28</v>
      </c>
      <c r="B55" s="88">
        <v>0.32200000000000001</v>
      </c>
    </row>
    <row r="56" spans="1:2" x14ac:dyDescent="0.25">
      <c r="A56" s="86">
        <v>29</v>
      </c>
      <c r="B56" s="88">
        <v>0.313</v>
      </c>
    </row>
    <row r="57" spans="1:2" x14ac:dyDescent="0.25">
      <c r="A57" s="86">
        <v>30</v>
      </c>
      <c r="B57" s="88">
        <v>0.30499999999999999</v>
      </c>
    </row>
    <row r="58" spans="1:2" x14ac:dyDescent="0.25">
      <c r="A58" s="86">
        <v>31</v>
      </c>
      <c r="B58" s="88">
        <v>0.29599999999999999</v>
      </c>
    </row>
    <row r="59" spans="1:2" x14ac:dyDescent="0.25">
      <c r="A59" s="86">
        <v>32</v>
      </c>
      <c r="B59" s="88">
        <v>0.28799999999999998</v>
      </c>
    </row>
    <row r="60" spans="1:2" x14ac:dyDescent="0.25">
      <c r="A60" s="86">
        <v>33</v>
      </c>
      <c r="B60" s="88">
        <v>0.28100000000000003</v>
      </c>
    </row>
    <row r="61" spans="1:2" x14ac:dyDescent="0.25">
      <c r="A61" s="86">
        <v>34</v>
      </c>
      <c r="B61" s="88">
        <v>0.27300000000000002</v>
      </c>
    </row>
    <row r="62" spans="1:2" x14ac:dyDescent="0.25">
      <c r="A62" s="86">
        <v>35</v>
      </c>
      <c r="B62" s="88">
        <v>0.26600000000000001</v>
      </c>
    </row>
    <row r="63" spans="1:2" x14ac:dyDescent="0.25">
      <c r="A63" s="86">
        <v>36</v>
      </c>
      <c r="B63" s="88">
        <v>0.26</v>
      </c>
    </row>
    <row r="64" spans="1:2" x14ac:dyDescent="0.25">
      <c r="A64" s="86">
        <v>37</v>
      </c>
      <c r="B64" s="88">
        <v>0.253</v>
      </c>
    </row>
    <row r="65" spans="1:2" x14ac:dyDescent="0.25">
      <c r="A65" s="86">
        <v>38</v>
      </c>
      <c r="B65" s="88">
        <v>0.247</v>
      </c>
    </row>
    <row r="66" spans="1:2" x14ac:dyDescent="0.25">
      <c r="A66" s="86">
        <v>39</v>
      </c>
      <c r="B66" s="88">
        <v>0.24099999999999999</v>
      </c>
    </row>
    <row r="67" spans="1:2" x14ac:dyDescent="0.25">
      <c r="A67" s="86">
        <v>40</v>
      </c>
      <c r="B67" s="88">
        <v>0.23499999999999999</v>
      </c>
    </row>
    <row r="68" spans="1:2" x14ac:dyDescent="0.25">
      <c r="A68" s="86">
        <v>41</v>
      </c>
      <c r="B68" s="88">
        <v>0.23</v>
      </c>
    </row>
    <row r="69" spans="1:2" x14ac:dyDescent="0.25">
      <c r="A69" s="86">
        <v>42</v>
      </c>
      <c r="B69" s="88">
        <v>0.224</v>
      </c>
    </row>
    <row r="70" spans="1:2" x14ac:dyDescent="0.25">
      <c r="A70" s="86">
        <v>43</v>
      </c>
      <c r="B70" s="88">
        <v>0.219</v>
      </c>
    </row>
    <row r="71" spans="1:2" x14ac:dyDescent="0.25">
      <c r="A71" s="86">
        <v>44</v>
      </c>
      <c r="B71" s="88">
        <v>0.214</v>
      </c>
    </row>
    <row r="72" spans="1:2" x14ac:dyDescent="0.25">
      <c r="A72" s="86">
        <v>45</v>
      </c>
      <c r="B72" s="88">
        <v>0.20899999999999999</v>
      </c>
    </row>
    <row r="73" spans="1:2" x14ac:dyDescent="0.25">
      <c r="A73" s="86">
        <v>46</v>
      </c>
      <c r="B73" s="88">
        <v>0.20399999999999999</v>
      </c>
    </row>
    <row r="74" spans="1:2" x14ac:dyDescent="0.25">
      <c r="A74" s="86">
        <v>47</v>
      </c>
      <c r="B74" s="88">
        <v>0.2</v>
      </c>
    </row>
    <row r="75" spans="1:2" x14ac:dyDescent="0.25">
      <c r="A75" s="86">
        <v>48</v>
      </c>
      <c r="B75" s="88">
        <v>0.19600000000000001</v>
      </c>
    </row>
    <row r="76" spans="1:2" x14ac:dyDescent="0.25">
      <c r="A76" s="86">
        <v>49</v>
      </c>
      <c r="B76" s="88">
        <v>0.191</v>
      </c>
    </row>
    <row r="77" spans="1:2" x14ac:dyDescent="0.25">
      <c r="A77" s="86">
        <v>50</v>
      </c>
      <c r="B77" s="88">
        <v>0.187</v>
      </c>
    </row>
  </sheetData>
  <sheetProtection algorithmName="SHA-512" hashValue="Ebsi3on/6e80U7ZHHUwx581xMquFjN08zvCKM4GwYWXW672OL/Vz3QTZe8I3wVfuqZT2d2U8JFWe9f+Zo+DIOg==" saltValue="nkvhyXNYP0u0UcO+uSaERg==" spinCount="100000" sheet="1" objects="1" scenarios="1"/>
  <conditionalFormatting sqref="A6:A21">
    <cfRule type="expression" dxfId="105" priority="1" stopIfTrue="1">
      <formula>MOD(ROW(),2)=0</formula>
    </cfRule>
    <cfRule type="expression" dxfId="104" priority="2" stopIfTrue="1">
      <formula>MOD(ROW(),2)&lt;&gt;0</formula>
    </cfRule>
  </conditionalFormatting>
  <conditionalFormatting sqref="A26:A77">
    <cfRule type="expression" dxfId="103" priority="7" stopIfTrue="1">
      <formula>MOD(ROW(),2)=0</formula>
    </cfRule>
    <cfRule type="expression" dxfId="102" priority="8" stopIfTrue="1">
      <formula>MOD(ROW(),2)&lt;&gt;0</formula>
    </cfRule>
  </conditionalFormatting>
  <conditionalFormatting sqref="B6:B21">
    <cfRule type="expression" dxfId="101" priority="29" stopIfTrue="1">
      <formula>MOD(ROW(),2)=0</formula>
    </cfRule>
    <cfRule type="expression" dxfId="100" priority="30" stopIfTrue="1">
      <formula>MOD(ROW(),2)&lt;&gt;0</formula>
    </cfRule>
  </conditionalFormatting>
  <conditionalFormatting sqref="B12">
    <cfRule type="expression" dxfId="99" priority="21" stopIfTrue="1">
      <formula>MOD(ROW(),2)=0</formula>
    </cfRule>
    <cfRule type="expression" dxfId="98" priority="22" stopIfTrue="1">
      <formula>MOD(ROW(),2)&lt;&gt;0</formula>
    </cfRule>
  </conditionalFormatting>
  <conditionalFormatting sqref="B17:B21">
    <cfRule type="expression" dxfId="97" priority="15" stopIfTrue="1">
      <formula>MOD(ROW(),2)=0</formula>
    </cfRule>
    <cfRule type="expression" dxfId="96" priority="16" stopIfTrue="1">
      <formula>MOD(ROW(),2)&lt;&gt;0</formula>
    </cfRule>
  </conditionalFormatting>
  <conditionalFormatting sqref="B26:B77">
    <cfRule type="expression" dxfId="95" priority="9" stopIfTrue="1">
      <formula>MOD(ROW(),2)=0</formula>
    </cfRule>
    <cfRule type="expression" dxfId="94" priority="10" stopIfTrue="1">
      <formula>MOD(ROW(),2)&lt;&gt;0</formula>
    </cfRule>
  </conditionalFormatting>
  <hyperlinks>
    <hyperlink ref="B24" location="Assumptions!A1" display="Assumptions" xr:uid="{54680B17-A31F-464D-B79F-DE8930AE79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dimension ref="A1:I46"/>
  <sheetViews>
    <sheetView showGridLines="0" zoomScale="84" zoomScaleNormal="84" workbookViewId="0">
      <selection activeCell="B6" sqref="B6:B21"/>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AA - x-621</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257</v>
      </c>
    </row>
    <row r="10" spans="1:9" ht="65.55" customHeight="1" x14ac:dyDescent="0.25">
      <c r="A10" s="76" t="s">
        <v>6</v>
      </c>
      <c r="B10" s="148" t="s">
        <v>301</v>
      </c>
    </row>
    <row r="11" spans="1:9" x14ac:dyDescent="0.25">
      <c r="A11" s="76" t="s">
        <v>81</v>
      </c>
      <c r="B11" s="148" t="s">
        <v>176</v>
      </c>
    </row>
    <row r="12" spans="1:9" x14ac:dyDescent="0.25">
      <c r="A12" s="76" t="s">
        <v>82</v>
      </c>
      <c r="B12" s="148" t="s">
        <v>203</v>
      </c>
    </row>
    <row r="13" spans="1:9" x14ac:dyDescent="0.25">
      <c r="A13" s="76" t="s">
        <v>342</v>
      </c>
      <c r="B13" s="148">
        <v>0</v>
      </c>
    </row>
    <row r="14" spans="1:9" x14ac:dyDescent="0.25">
      <c r="A14" s="76" t="s">
        <v>84</v>
      </c>
      <c r="B14" s="148">
        <v>621</v>
      </c>
    </row>
    <row r="15" spans="1:9" x14ac:dyDescent="0.25">
      <c r="A15" s="76" t="s">
        <v>345</v>
      </c>
      <c r="B15" s="148" t="s">
        <v>302</v>
      </c>
    </row>
    <row r="16" spans="1:9" x14ac:dyDescent="0.25">
      <c r="A16" s="76" t="s">
        <v>86</v>
      </c>
      <c r="B16" s="148" t="s">
        <v>113</v>
      </c>
    </row>
    <row r="17" spans="1:2" ht="87.6" customHeight="1" x14ac:dyDescent="0.25">
      <c r="A17" s="76" t="s">
        <v>414</v>
      </c>
      <c r="B17" s="148"/>
    </row>
    <row r="18" spans="1:2" x14ac:dyDescent="0.25">
      <c r="A18" s="76" t="s">
        <v>88</v>
      </c>
      <c r="B18" s="152">
        <v>45135</v>
      </c>
    </row>
    <row r="19" spans="1:2" x14ac:dyDescent="0.25">
      <c r="A19" s="76" t="s">
        <v>89</v>
      </c>
      <c r="B19" s="152">
        <v>45135</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5" spans="1:2" x14ac:dyDescent="0.25">
      <c r="B25" s="89"/>
    </row>
    <row r="26" spans="1:2" ht="41.55" customHeight="1" x14ac:dyDescent="0.25">
      <c r="A26" s="85" t="s">
        <v>203</v>
      </c>
      <c r="B26" s="111" t="s">
        <v>466</v>
      </c>
    </row>
    <row r="27" spans="1:2" x14ac:dyDescent="0.25">
      <c r="A27" s="86">
        <v>0</v>
      </c>
      <c r="B27" s="88">
        <v>1</v>
      </c>
    </row>
    <row r="28" spans="1:2" x14ac:dyDescent="0.25">
      <c r="A28" s="86">
        <v>1</v>
      </c>
      <c r="B28" s="88">
        <v>0.94199999999999995</v>
      </c>
    </row>
    <row r="29" spans="1:2" x14ac:dyDescent="0.25">
      <c r="A29" s="86">
        <v>2</v>
      </c>
      <c r="B29" s="88">
        <v>0.89</v>
      </c>
    </row>
    <row r="30" spans="1:2" x14ac:dyDescent="0.25">
      <c r="A30" s="86">
        <v>3</v>
      </c>
      <c r="B30" s="88">
        <v>0.84199999999999997</v>
      </c>
    </row>
    <row r="31" spans="1:2" x14ac:dyDescent="0.25">
      <c r="A31" s="86">
        <v>4</v>
      </c>
      <c r="B31" s="88">
        <v>0.79900000000000004</v>
      </c>
    </row>
    <row r="32" spans="1:2" x14ac:dyDescent="0.25">
      <c r="A32" s="86">
        <v>5</v>
      </c>
      <c r="B32" s="88">
        <v>0.75900000000000001</v>
      </c>
    </row>
    <row r="33" spans="1:2" x14ac:dyDescent="0.25">
      <c r="A33" s="86">
        <v>6</v>
      </c>
      <c r="B33" s="88">
        <v>0.72199999999999998</v>
      </c>
    </row>
    <row r="34" spans="1:2" x14ac:dyDescent="0.25">
      <c r="A34" s="86">
        <v>7</v>
      </c>
      <c r="B34" s="88">
        <v>0.68899999999999995</v>
      </c>
    </row>
    <row r="35" spans="1:2" x14ac:dyDescent="0.25">
      <c r="A35" s="86">
        <v>8</v>
      </c>
      <c r="B35" s="88">
        <v>0.65800000000000003</v>
      </c>
    </row>
    <row r="36" spans="1:2" x14ac:dyDescent="0.25">
      <c r="A36" s="86">
        <v>9</v>
      </c>
      <c r="B36" s="88">
        <v>0.629</v>
      </c>
    </row>
    <row r="37" spans="1:2" x14ac:dyDescent="0.25">
      <c r="A37" s="86">
        <v>10</v>
      </c>
      <c r="B37" s="88">
        <v>0.60199999999999998</v>
      </c>
    </row>
    <row r="38" spans="1:2" x14ac:dyDescent="0.25">
      <c r="A38" s="86">
        <v>11</v>
      </c>
      <c r="B38" s="88">
        <v>0.57699999999999996</v>
      </c>
    </row>
    <row r="39" spans="1:2" x14ac:dyDescent="0.25">
      <c r="A39" s="86">
        <v>12</v>
      </c>
      <c r="B39" s="88">
        <v>0.55400000000000005</v>
      </c>
    </row>
    <row r="44" spans="1:2" ht="39.6" customHeight="1" x14ac:dyDescent="0.25"/>
    <row r="46" spans="1:2" ht="27.6" customHeight="1" x14ac:dyDescent="0.25"/>
  </sheetData>
  <sheetProtection algorithmName="SHA-512" hashValue="4mzrphem6N5XMzvhrhhhdNIz9zQIcSDPH7QQ29pSZpJ+7wwwHLTrUy38cPtgvUD3YMGx8hGE7FZZ8zcRWwWerg==" saltValue="1cqRoCqb/IJuCW6NKc5JQw==" spinCount="100000" sheet="1" objects="1" scenarios="1"/>
  <conditionalFormatting sqref="A6:A21">
    <cfRule type="expression" dxfId="93" priority="1" stopIfTrue="1">
      <formula>MOD(ROW(),2)=0</formula>
    </cfRule>
    <cfRule type="expression" dxfId="92" priority="2" stopIfTrue="1">
      <formula>MOD(ROW(),2)&lt;&gt;0</formula>
    </cfRule>
  </conditionalFormatting>
  <conditionalFormatting sqref="A26:A39">
    <cfRule type="expression" dxfId="91" priority="7" stopIfTrue="1">
      <formula>MOD(ROW(),2)=0</formula>
    </cfRule>
    <cfRule type="expression" dxfId="90" priority="8" stopIfTrue="1">
      <formula>MOD(ROW(),2)&lt;&gt;0</formula>
    </cfRule>
  </conditionalFormatting>
  <conditionalFormatting sqref="B6:B21">
    <cfRule type="expression" dxfId="89" priority="23" stopIfTrue="1">
      <formula>MOD(ROW(),2)=0</formula>
    </cfRule>
    <cfRule type="expression" dxfId="88" priority="24" stopIfTrue="1">
      <formula>MOD(ROW(),2)&lt;&gt;0</formula>
    </cfRule>
  </conditionalFormatting>
  <conditionalFormatting sqref="B17:B21">
    <cfRule type="expression" dxfId="87" priority="11" stopIfTrue="1">
      <formula>MOD(ROW(),2)=0</formula>
    </cfRule>
    <cfRule type="expression" dxfId="86" priority="12" stopIfTrue="1">
      <formula>MOD(ROW(),2)&lt;&gt;0</formula>
    </cfRule>
  </conditionalFormatting>
  <conditionalFormatting sqref="B26:B39">
    <cfRule type="expression" dxfId="85" priority="9" stopIfTrue="1">
      <formula>MOD(ROW(),2)=0</formula>
    </cfRule>
    <cfRule type="expression" dxfId="84" priority="10" stopIfTrue="1">
      <formula>MOD(ROW(),2)&lt;&gt;0</formula>
    </cfRule>
  </conditionalFormatting>
  <hyperlinks>
    <hyperlink ref="B24" location="Assumptions!A1" display="Assumptions" xr:uid="{44BD788C-7D6B-474F-9FC8-4F3211B3B79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dimension ref="A1:I26"/>
  <sheetViews>
    <sheetView showGridLines="0" zoomScale="84" zoomScaleNormal="84"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LTA - x-622</v>
      </c>
      <c r="B3" s="42"/>
      <c r="C3" s="42"/>
      <c r="D3" s="42"/>
      <c r="E3" s="42"/>
      <c r="F3" s="42"/>
      <c r="G3" s="42"/>
      <c r="H3" s="42"/>
      <c r="I3" s="42"/>
    </row>
    <row r="4" spans="1:9" x14ac:dyDescent="0.25">
      <c r="A4" s="44"/>
    </row>
    <row r="6" spans="1:9" x14ac:dyDescent="0.25">
      <c r="A6" s="74" t="s">
        <v>334</v>
      </c>
      <c r="B6" s="147" t="s">
        <v>335</v>
      </c>
      <c r="C6" s="75"/>
    </row>
    <row r="7" spans="1:9" x14ac:dyDescent="0.25">
      <c r="A7" s="76" t="s">
        <v>78</v>
      </c>
      <c r="B7" s="148" t="s">
        <v>67</v>
      </c>
      <c r="C7" s="77"/>
    </row>
    <row r="8" spans="1:9" x14ac:dyDescent="0.25">
      <c r="A8" s="76" t="s">
        <v>79</v>
      </c>
      <c r="B8" s="148">
        <v>1992</v>
      </c>
      <c r="C8" s="77"/>
    </row>
    <row r="9" spans="1:9" x14ac:dyDescent="0.25">
      <c r="A9" s="76" t="s">
        <v>80</v>
      </c>
      <c r="B9" s="148" t="s">
        <v>303</v>
      </c>
      <c r="C9" s="77"/>
    </row>
    <row r="10" spans="1:9" x14ac:dyDescent="0.25">
      <c r="A10" s="76" t="s">
        <v>6</v>
      </c>
      <c r="B10" s="148" t="s">
        <v>304</v>
      </c>
      <c r="C10" s="77"/>
    </row>
    <row r="11" spans="1:9" x14ac:dyDescent="0.25">
      <c r="A11" s="76" t="s">
        <v>81</v>
      </c>
      <c r="B11" s="148" t="s">
        <v>259</v>
      </c>
      <c r="C11" s="77"/>
    </row>
    <row r="12" spans="1:9" x14ac:dyDescent="0.25">
      <c r="A12" s="76" t="s">
        <v>82</v>
      </c>
      <c r="B12" s="148" t="s">
        <v>305</v>
      </c>
      <c r="C12" s="77"/>
    </row>
    <row r="13" spans="1:9" x14ac:dyDescent="0.25">
      <c r="A13" s="76" t="s">
        <v>342</v>
      </c>
      <c r="B13" s="148">
        <v>2</v>
      </c>
      <c r="C13" s="77"/>
    </row>
    <row r="14" spans="1:9" x14ac:dyDescent="0.25">
      <c r="A14" s="76" t="s">
        <v>84</v>
      </c>
      <c r="B14" s="148">
        <v>622</v>
      </c>
      <c r="C14" s="77"/>
    </row>
    <row r="15" spans="1:9" x14ac:dyDescent="0.25">
      <c r="A15" s="76" t="s">
        <v>345</v>
      </c>
      <c r="B15" s="148" t="s">
        <v>306</v>
      </c>
      <c r="C15" s="77"/>
    </row>
    <row r="16" spans="1:9" x14ac:dyDescent="0.25">
      <c r="A16" s="76" t="s">
        <v>86</v>
      </c>
      <c r="B16" s="148" t="s">
        <v>205</v>
      </c>
      <c r="C16" s="77"/>
    </row>
    <row r="17" spans="1:3" x14ac:dyDescent="0.25">
      <c r="A17" s="76" t="s">
        <v>414</v>
      </c>
      <c r="B17" s="148"/>
      <c r="C17" s="77"/>
    </row>
    <row r="18" spans="1:3" x14ac:dyDescent="0.25">
      <c r="A18" s="76" t="s">
        <v>88</v>
      </c>
      <c r="B18" s="152">
        <v>45135</v>
      </c>
      <c r="C18" s="77"/>
    </row>
    <row r="19" spans="1:3" x14ac:dyDescent="0.25">
      <c r="A19" s="76" t="s">
        <v>89</v>
      </c>
      <c r="B19" s="150">
        <v>45135</v>
      </c>
      <c r="C19" s="77"/>
    </row>
    <row r="20" spans="1:3" x14ac:dyDescent="0.25">
      <c r="A20" s="76" t="s">
        <v>90</v>
      </c>
      <c r="B20" s="148" t="s">
        <v>307</v>
      </c>
      <c r="C20" s="77"/>
    </row>
    <row r="21" spans="1:3" x14ac:dyDescent="0.25">
      <c r="A21" s="72" t="s">
        <v>91</v>
      </c>
      <c r="B21" s="148" t="s">
        <v>99</v>
      </c>
      <c r="C21" s="77"/>
    </row>
    <row r="23" spans="1:3" x14ac:dyDescent="0.25">
      <c r="B23" s="89" t="str">
        <f>HYPERLINK("#'Factor List'!A1","Back to Factor List")</f>
        <v>Back to Factor List</v>
      </c>
    </row>
    <row r="24" spans="1:3" x14ac:dyDescent="0.25">
      <c r="B24" s="89" t="s">
        <v>13</v>
      </c>
    </row>
    <row r="25" spans="1:3" x14ac:dyDescent="0.25">
      <c r="B25" s="89"/>
    </row>
    <row r="26" spans="1:3" ht="40.799999999999997" customHeight="1" x14ac:dyDescent="0.25"/>
  </sheetData>
  <sheetProtection algorithmName="SHA-512" hashValue="l+m4xbXCducUCHc+jY6JI1um86gH+SJyIQCG/GwJYyeQLJkpVfdEelIQZNl7NnBMEvtP7VZSr3B3KRwvjoKrkw==" saltValue="tIf5H5sN/qNoSYllaxZYBw==" spinCount="100000" sheet="1" objects="1" scenarios="1"/>
  <conditionalFormatting sqref="A6:A21">
    <cfRule type="expression" dxfId="83" priority="1" stopIfTrue="1">
      <formula>MOD(ROW(),2)=0</formula>
    </cfRule>
    <cfRule type="expression" dxfId="82" priority="2" stopIfTrue="1">
      <formula>MOD(ROW(),2)&lt;&gt;0</formula>
    </cfRule>
  </conditionalFormatting>
  <conditionalFormatting sqref="B6:C21">
    <cfRule type="expression" dxfId="81" priority="11" stopIfTrue="1">
      <formula>MOD(ROW(),2)=0</formula>
    </cfRule>
    <cfRule type="expression" dxfId="80" priority="12" stopIfTrue="1">
      <formula>MOD(ROW(),2)&lt;&gt;0</formula>
    </cfRule>
  </conditionalFormatting>
  <hyperlinks>
    <hyperlink ref="B24" location="Assumptions!A1" display="Assumptions" xr:uid="{77585F3E-E66D-4E81-828F-2457F03D44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dimension ref="A1:I26"/>
  <sheetViews>
    <sheetView showGridLines="0" topLeftCell="A9" zoomScale="84" zoomScaleNormal="84"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LTA - x-623</v>
      </c>
      <c r="B3" s="42"/>
      <c r="C3" s="42"/>
      <c r="D3" s="42"/>
      <c r="E3" s="42"/>
      <c r="F3" s="42"/>
      <c r="G3" s="42"/>
      <c r="H3" s="42"/>
      <c r="I3" s="42"/>
    </row>
    <row r="4" spans="1:9" x14ac:dyDescent="0.25">
      <c r="A4" s="44"/>
    </row>
    <row r="6" spans="1:9" x14ac:dyDescent="0.25">
      <c r="A6" s="74" t="s">
        <v>334</v>
      </c>
      <c r="B6" s="147" t="s">
        <v>335</v>
      </c>
      <c r="C6" s="75"/>
    </row>
    <row r="7" spans="1:9" x14ac:dyDescent="0.25">
      <c r="A7" s="76" t="s">
        <v>78</v>
      </c>
      <c r="B7" s="148" t="s">
        <v>67</v>
      </c>
      <c r="C7" s="77"/>
    </row>
    <row r="8" spans="1:9" x14ac:dyDescent="0.25">
      <c r="A8" s="76" t="s">
        <v>79</v>
      </c>
      <c r="B8" s="148">
        <v>1992</v>
      </c>
      <c r="C8" s="77"/>
    </row>
    <row r="9" spans="1:9" x14ac:dyDescent="0.25">
      <c r="A9" s="76" t="s">
        <v>80</v>
      </c>
      <c r="B9" s="148" t="s">
        <v>303</v>
      </c>
      <c r="C9" s="77"/>
    </row>
    <row r="10" spans="1:9" x14ac:dyDescent="0.25">
      <c r="A10" s="76" t="s">
        <v>6</v>
      </c>
      <c r="B10" s="148" t="s">
        <v>308</v>
      </c>
      <c r="C10" s="77"/>
    </row>
    <row r="11" spans="1:9" x14ac:dyDescent="0.25">
      <c r="A11" s="76" t="s">
        <v>81</v>
      </c>
      <c r="B11" s="148" t="s">
        <v>259</v>
      </c>
      <c r="C11" s="77"/>
    </row>
    <row r="12" spans="1:9" x14ac:dyDescent="0.25">
      <c r="A12" s="76" t="s">
        <v>82</v>
      </c>
      <c r="B12" s="148" t="s">
        <v>305</v>
      </c>
      <c r="C12" s="77"/>
    </row>
    <row r="13" spans="1:9" x14ac:dyDescent="0.25">
      <c r="A13" s="76" t="s">
        <v>342</v>
      </c>
      <c r="B13" s="148">
        <v>2</v>
      </c>
      <c r="C13" s="77"/>
    </row>
    <row r="14" spans="1:9" x14ac:dyDescent="0.25">
      <c r="A14" s="76" t="s">
        <v>84</v>
      </c>
      <c r="B14" s="148">
        <v>623</v>
      </c>
      <c r="C14" s="77"/>
    </row>
    <row r="15" spans="1:9" x14ac:dyDescent="0.25">
      <c r="A15" s="76" t="s">
        <v>345</v>
      </c>
      <c r="B15" s="148" t="s">
        <v>309</v>
      </c>
      <c r="C15" s="77"/>
    </row>
    <row r="16" spans="1:9" x14ac:dyDescent="0.25">
      <c r="A16" s="76" t="s">
        <v>86</v>
      </c>
      <c r="B16" s="148" t="s">
        <v>208</v>
      </c>
      <c r="C16" s="77"/>
    </row>
    <row r="17" spans="1:3" x14ac:dyDescent="0.25">
      <c r="A17" s="76" t="s">
        <v>414</v>
      </c>
      <c r="B17" s="148"/>
      <c r="C17" s="77"/>
    </row>
    <row r="18" spans="1:3" x14ac:dyDescent="0.25">
      <c r="A18" s="76" t="s">
        <v>88</v>
      </c>
      <c r="B18" s="152">
        <v>45135</v>
      </c>
      <c r="C18" s="77"/>
    </row>
    <row r="19" spans="1:3" x14ac:dyDescent="0.25">
      <c r="A19" s="76" t="s">
        <v>89</v>
      </c>
      <c r="B19" s="150">
        <v>45135</v>
      </c>
      <c r="C19" s="77"/>
    </row>
    <row r="20" spans="1:3" x14ac:dyDescent="0.25">
      <c r="A20" s="76" t="s">
        <v>90</v>
      </c>
      <c r="B20" s="148" t="s">
        <v>307</v>
      </c>
      <c r="C20" s="77"/>
    </row>
    <row r="21" spans="1:3" x14ac:dyDescent="0.25">
      <c r="A21" s="72" t="s">
        <v>91</v>
      </c>
      <c r="B21" s="148" t="s">
        <v>99</v>
      </c>
      <c r="C21" s="77"/>
    </row>
    <row r="23" spans="1:3" x14ac:dyDescent="0.25">
      <c r="B23" s="89" t="str">
        <f>HYPERLINK("#'Factor List'!A1","Back to Factor List")</f>
        <v>Back to Factor List</v>
      </c>
    </row>
    <row r="24" spans="1:3" x14ac:dyDescent="0.25">
      <c r="B24" s="89" t="s">
        <v>13</v>
      </c>
    </row>
    <row r="25" spans="1:3" x14ac:dyDescent="0.25">
      <c r="B25" s="89"/>
    </row>
    <row r="26" spans="1:3" ht="47.55" customHeight="1" x14ac:dyDescent="0.25"/>
  </sheetData>
  <sheetProtection algorithmName="SHA-512" hashValue="c40KdrhlV12qgbxLpjgwJqjTgB5jy6oiAbgrDIrrlkee6SS7fl7nMZ6Gla4cXn/ouHtZVlFdYZ0m/pf3XUB6Og==" saltValue="LXJ5kIxXnPLSbxQdOI+AUw=="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B6:C21">
    <cfRule type="expression" dxfId="77" priority="11" stopIfTrue="1">
      <formula>MOD(ROW(),2)=0</formula>
    </cfRule>
    <cfRule type="expression" dxfId="76" priority="12" stopIfTrue="1">
      <formula>MOD(ROW(),2)&lt;&gt;0</formula>
    </cfRule>
  </conditionalFormatting>
  <hyperlinks>
    <hyperlink ref="B24" location="Assumptions!A1" display="Assumptions" xr:uid="{B1AAC72A-3539-424F-A265-16416367E4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dimension ref="A1:I26"/>
  <sheetViews>
    <sheetView showGridLines="0" zoomScale="84" zoomScaleNormal="84"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LTA - x-624</v>
      </c>
      <c r="B3" s="42"/>
      <c r="C3" s="42"/>
      <c r="D3" s="42"/>
      <c r="E3" s="42"/>
      <c r="F3" s="42"/>
      <c r="G3" s="42"/>
      <c r="H3" s="42"/>
      <c r="I3" s="42"/>
    </row>
    <row r="4" spans="1:9" x14ac:dyDescent="0.25">
      <c r="A4" s="44"/>
    </row>
    <row r="6" spans="1:9" x14ac:dyDescent="0.25">
      <c r="A6" s="74" t="s">
        <v>334</v>
      </c>
      <c r="B6" s="147" t="s">
        <v>335</v>
      </c>
      <c r="C6" s="75"/>
    </row>
    <row r="7" spans="1:9" x14ac:dyDescent="0.25">
      <c r="A7" s="76" t="s">
        <v>78</v>
      </c>
      <c r="B7" s="148" t="s">
        <v>67</v>
      </c>
      <c r="C7" s="77"/>
    </row>
    <row r="8" spans="1:9" x14ac:dyDescent="0.25">
      <c r="A8" s="76" t="s">
        <v>79</v>
      </c>
      <c r="B8" s="148">
        <v>2006</v>
      </c>
      <c r="C8" s="77"/>
    </row>
    <row r="9" spans="1:9" x14ac:dyDescent="0.25">
      <c r="A9" s="76" t="s">
        <v>80</v>
      </c>
      <c r="B9" s="148" t="s">
        <v>303</v>
      </c>
      <c r="C9" s="77"/>
    </row>
    <row r="10" spans="1:9" x14ac:dyDescent="0.25">
      <c r="A10" s="76" t="s">
        <v>6</v>
      </c>
      <c r="B10" s="148" t="s">
        <v>310</v>
      </c>
      <c r="C10" s="77"/>
    </row>
    <row r="11" spans="1:9" x14ac:dyDescent="0.25">
      <c r="A11" s="76" t="s">
        <v>81</v>
      </c>
      <c r="B11" s="148" t="s">
        <v>259</v>
      </c>
      <c r="C11" s="77"/>
    </row>
    <row r="12" spans="1:9" x14ac:dyDescent="0.25">
      <c r="A12" s="76" t="s">
        <v>82</v>
      </c>
      <c r="B12" s="148" t="s">
        <v>305</v>
      </c>
      <c r="C12" s="77"/>
    </row>
    <row r="13" spans="1:9" x14ac:dyDescent="0.25">
      <c r="A13" s="76" t="s">
        <v>342</v>
      </c>
      <c r="B13" s="148">
        <v>1</v>
      </c>
      <c r="C13" s="77"/>
    </row>
    <row r="14" spans="1:9" x14ac:dyDescent="0.25">
      <c r="A14" s="76" t="s">
        <v>84</v>
      </c>
      <c r="B14" s="148">
        <v>624</v>
      </c>
      <c r="C14" s="77"/>
    </row>
    <row r="15" spans="1:9" x14ac:dyDescent="0.25">
      <c r="A15" s="76" t="s">
        <v>345</v>
      </c>
      <c r="B15" s="148" t="s">
        <v>311</v>
      </c>
      <c r="C15" s="77"/>
    </row>
    <row r="16" spans="1:9" x14ac:dyDescent="0.25">
      <c r="A16" s="76" t="s">
        <v>86</v>
      </c>
      <c r="B16" s="148" t="s">
        <v>205</v>
      </c>
      <c r="C16" s="77"/>
    </row>
    <row r="17" spans="1:3" x14ac:dyDescent="0.25">
      <c r="A17" s="76" t="s">
        <v>414</v>
      </c>
      <c r="B17" s="148"/>
      <c r="C17" s="77"/>
    </row>
    <row r="18" spans="1:3" x14ac:dyDescent="0.25">
      <c r="A18" s="76" t="s">
        <v>88</v>
      </c>
      <c r="B18" s="152">
        <v>45135</v>
      </c>
      <c r="C18" s="77"/>
    </row>
    <row r="19" spans="1:3" x14ac:dyDescent="0.25">
      <c r="A19" s="76" t="s">
        <v>89</v>
      </c>
      <c r="B19" s="150">
        <v>45135</v>
      </c>
      <c r="C19" s="77"/>
    </row>
    <row r="20" spans="1:3" x14ac:dyDescent="0.25">
      <c r="A20" s="76" t="s">
        <v>90</v>
      </c>
      <c r="B20" s="148" t="s">
        <v>307</v>
      </c>
      <c r="C20" s="77"/>
    </row>
    <row r="21" spans="1:3" x14ac:dyDescent="0.25">
      <c r="A21" s="72" t="s">
        <v>91</v>
      </c>
      <c r="B21" s="148" t="s">
        <v>99</v>
      </c>
      <c r="C21" s="77"/>
    </row>
    <row r="23" spans="1:3" x14ac:dyDescent="0.25">
      <c r="B23" s="89" t="str">
        <f>HYPERLINK("#'Factor List'!A1","Back to Factor List")</f>
        <v>Back to Factor List</v>
      </c>
    </row>
    <row r="24" spans="1:3" x14ac:dyDescent="0.25">
      <c r="B24" s="89" t="s">
        <v>13</v>
      </c>
    </row>
    <row r="25" spans="1:3" x14ac:dyDescent="0.25">
      <c r="B25" s="89"/>
    </row>
    <row r="26" spans="1:3" ht="42.6" customHeight="1" x14ac:dyDescent="0.25"/>
  </sheetData>
  <sheetProtection algorithmName="SHA-512" hashValue="NhgGll2pNVoYQlD3X47EbEfdDYqAl9Yj1ZWJNiVR1ZGAw9Qyrm3tZVFrqcvjqTydbgOnM7pYFNQiCFBWD0xy2Q==" saltValue="MXT4JF8p157J0RTKjID4nA==" spinCount="100000" sheet="1" objects="1" scenarios="1"/>
  <conditionalFormatting sqref="A6:A21">
    <cfRule type="expression" dxfId="75" priority="1" stopIfTrue="1">
      <formula>MOD(ROW(),2)=0</formula>
    </cfRule>
    <cfRule type="expression" dxfId="74" priority="2" stopIfTrue="1">
      <formula>MOD(ROW(),2)&lt;&gt;0</formula>
    </cfRule>
  </conditionalFormatting>
  <conditionalFormatting sqref="B6:C21">
    <cfRule type="expression" dxfId="73" priority="11" stopIfTrue="1">
      <formula>MOD(ROW(),2)=0</formula>
    </cfRule>
    <cfRule type="expression" dxfId="72" priority="12" stopIfTrue="1">
      <formula>MOD(ROW(),2)&lt;&gt;0</formula>
    </cfRule>
  </conditionalFormatting>
  <hyperlinks>
    <hyperlink ref="B24" location="Assumptions!A1" display="Assumptions" xr:uid="{16FFC161-964C-46D1-8A14-73F72D3EFE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dimension ref="A1:I26"/>
  <sheetViews>
    <sheetView showGridLines="0" topLeftCell="A2" zoomScale="84" zoomScaleNormal="84"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LTA - x-625</v>
      </c>
      <c r="B3" s="42"/>
      <c r="C3" s="42"/>
      <c r="D3" s="42"/>
      <c r="E3" s="42"/>
      <c r="F3" s="42"/>
      <c r="G3" s="42"/>
      <c r="H3" s="42"/>
      <c r="I3" s="42"/>
    </row>
    <row r="4" spans="1:9" x14ac:dyDescent="0.25">
      <c r="A4" s="44"/>
    </row>
    <row r="6" spans="1:9" x14ac:dyDescent="0.25">
      <c r="A6" s="74" t="s">
        <v>334</v>
      </c>
      <c r="B6" s="147" t="s">
        <v>335</v>
      </c>
      <c r="C6" s="75"/>
    </row>
    <row r="7" spans="1:9" x14ac:dyDescent="0.25">
      <c r="A7" s="76" t="s">
        <v>78</v>
      </c>
      <c r="B7" s="148" t="s">
        <v>67</v>
      </c>
      <c r="C7" s="77"/>
    </row>
    <row r="8" spans="1:9" x14ac:dyDescent="0.25">
      <c r="A8" s="76" t="s">
        <v>79</v>
      </c>
      <c r="B8" s="148">
        <v>2006</v>
      </c>
      <c r="C8" s="77"/>
    </row>
    <row r="9" spans="1:9" x14ac:dyDescent="0.25">
      <c r="A9" s="76" t="s">
        <v>80</v>
      </c>
      <c r="B9" s="148" t="s">
        <v>303</v>
      </c>
      <c r="C9" s="77"/>
    </row>
    <row r="10" spans="1:9" x14ac:dyDescent="0.25">
      <c r="A10" s="76" t="s">
        <v>6</v>
      </c>
      <c r="B10" s="148" t="s">
        <v>312</v>
      </c>
      <c r="C10" s="77"/>
    </row>
    <row r="11" spans="1:9" x14ac:dyDescent="0.25">
      <c r="A11" s="76" t="s">
        <v>81</v>
      </c>
      <c r="B11" s="148" t="s">
        <v>259</v>
      </c>
      <c r="C11" s="77"/>
    </row>
    <row r="12" spans="1:9" x14ac:dyDescent="0.25">
      <c r="A12" s="76" t="s">
        <v>82</v>
      </c>
      <c r="B12" s="148" t="s">
        <v>305</v>
      </c>
      <c r="C12" s="77"/>
    </row>
    <row r="13" spans="1:9" x14ac:dyDescent="0.25">
      <c r="A13" s="76" t="s">
        <v>342</v>
      </c>
      <c r="B13" s="148">
        <v>1</v>
      </c>
      <c r="C13" s="77"/>
    </row>
    <row r="14" spans="1:9" x14ac:dyDescent="0.25">
      <c r="A14" s="76" t="s">
        <v>84</v>
      </c>
      <c r="B14" s="148">
        <v>625</v>
      </c>
      <c r="C14" s="77"/>
    </row>
    <row r="15" spans="1:9" x14ac:dyDescent="0.25">
      <c r="A15" s="76" t="s">
        <v>345</v>
      </c>
      <c r="B15" s="148" t="s">
        <v>313</v>
      </c>
      <c r="C15" s="77"/>
    </row>
    <row r="16" spans="1:9" x14ac:dyDescent="0.25">
      <c r="A16" s="76" t="s">
        <v>86</v>
      </c>
      <c r="B16" s="148" t="s">
        <v>208</v>
      </c>
      <c r="C16" s="77"/>
    </row>
    <row r="17" spans="1:3" ht="99" customHeight="1" x14ac:dyDescent="0.25">
      <c r="A17" s="76" t="s">
        <v>414</v>
      </c>
      <c r="B17" s="148"/>
      <c r="C17" s="77"/>
    </row>
    <row r="18" spans="1:3" x14ac:dyDescent="0.25">
      <c r="A18" s="76" t="s">
        <v>88</v>
      </c>
      <c r="B18" s="152">
        <v>45135</v>
      </c>
      <c r="C18" s="77"/>
    </row>
    <row r="19" spans="1:3" x14ac:dyDescent="0.25">
      <c r="A19" s="76" t="s">
        <v>89</v>
      </c>
      <c r="B19" s="150">
        <v>45135</v>
      </c>
      <c r="C19" s="77"/>
    </row>
    <row r="20" spans="1:3" x14ac:dyDescent="0.25">
      <c r="A20" s="76" t="s">
        <v>90</v>
      </c>
      <c r="B20" s="148" t="s">
        <v>307</v>
      </c>
      <c r="C20" s="77"/>
    </row>
    <row r="21" spans="1:3" x14ac:dyDescent="0.25">
      <c r="A21" s="72" t="s">
        <v>91</v>
      </c>
      <c r="B21" s="148" t="s">
        <v>99</v>
      </c>
      <c r="C21" s="77"/>
    </row>
    <row r="23" spans="1:3" x14ac:dyDescent="0.25">
      <c r="B23" s="89" t="str">
        <f>HYPERLINK("#'Factor List'!A1","Back to Factor List")</f>
        <v>Back to Factor List</v>
      </c>
    </row>
    <row r="24" spans="1:3" x14ac:dyDescent="0.25">
      <c r="B24" s="89" t="s">
        <v>13</v>
      </c>
    </row>
    <row r="25" spans="1:3" x14ac:dyDescent="0.25">
      <c r="B25" s="89"/>
    </row>
    <row r="26" spans="1:3" ht="52.8" customHeight="1" x14ac:dyDescent="0.25"/>
  </sheetData>
  <sheetProtection algorithmName="SHA-512" hashValue="2Xm+tBDnK09GuTU0bVFbyxMxNRGkw68G9EO92OH+Pa+xkdz8Ftd7lEoN2BN89cQXyUchHaZLRVl8Qe8sapnScw==" saltValue="8YfsEgNMgtDgr6dmIkf7XQ=="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B6:C21">
    <cfRule type="expression" dxfId="69" priority="11" stopIfTrue="1">
      <formula>MOD(ROW(),2)=0</formula>
    </cfRule>
    <cfRule type="expression" dxfId="68" priority="12" stopIfTrue="1">
      <formula>MOD(ROW(),2)&lt;&gt;0</formula>
    </cfRule>
  </conditionalFormatting>
  <hyperlinks>
    <hyperlink ref="B24" location="Assumptions!A1" display="Assumptions" xr:uid="{CEC44D38-92E2-4A28-834E-14A6D04EB32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dimension ref="A1:I26"/>
  <sheetViews>
    <sheetView showGridLines="0" topLeftCell="A2" zoomScale="84" zoomScaleNormal="84"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LTA - x-626</v>
      </c>
      <c r="B3" s="42"/>
      <c r="C3" s="42"/>
      <c r="D3" s="42"/>
      <c r="E3" s="42"/>
      <c r="F3" s="42"/>
      <c r="G3" s="42"/>
      <c r="H3" s="42"/>
      <c r="I3" s="42"/>
    </row>
    <row r="4" spans="1:9" x14ac:dyDescent="0.25">
      <c r="A4" s="44"/>
    </row>
    <row r="6" spans="1:9" x14ac:dyDescent="0.25">
      <c r="A6" s="74" t="s">
        <v>334</v>
      </c>
      <c r="B6" s="147" t="s">
        <v>335</v>
      </c>
      <c r="C6" s="75"/>
    </row>
    <row r="7" spans="1:9" x14ac:dyDescent="0.25">
      <c r="A7" s="76" t="s">
        <v>78</v>
      </c>
      <c r="B7" s="148" t="s">
        <v>67</v>
      </c>
      <c r="C7" s="77"/>
    </row>
    <row r="8" spans="1:9" x14ac:dyDescent="0.25">
      <c r="A8" s="76" t="s">
        <v>79</v>
      </c>
      <c r="B8" s="148">
        <v>2015</v>
      </c>
      <c r="C8" s="77"/>
    </row>
    <row r="9" spans="1:9" x14ac:dyDescent="0.25">
      <c r="A9" s="76" t="s">
        <v>80</v>
      </c>
      <c r="B9" s="148" t="s">
        <v>303</v>
      </c>
      <c r="C9" s="77"/>
    </row>
    <row r="10" spans="1:9" x14ac:dyDescent="0.25">
      <c r="A10" s="76" t="s">
        <v>6</v>
      </c>
      <c r="B10" s="148" t="s">
        <v>310</v>
      </c>
      <c r="C10" s="77"/>
    </row>
    <row r="11" spans="1:9" x14ac:dyDescent="0.25">
      <c r="A11" s="76" t="s">
        <v>81</v>
      </c>
      <c r="B11" s="148" t="s">
        <v>259</v>
      </c>
      <c r="C11" s="77"/>
    </row>
    <row r="12" spans="1:9" x14ac:dyDescent="0.25">
      <c r="A12" s="76" t="s">
        <v>82</v>
      </c>
      <c r="B12" s="148" t="s">
        <v>305</v>
      </c>
      <c r="C12" s="77"/>
    </row>
    <row r="13" spans="1:9" x14ac:dyDescent="0.25">
      <c r="A13" s="76" t="s">
        <v>342</v>
      </c>
      <c r="B13" s="148">
        <v>0</v>
      </c>
      <c r="C13" s="77"/>
    </row>
    <row r="14" spans="1:9" x14ac:dyDescent="0.25">
      <c r="A14" s="76" t="s">
        <v>84</v>
      </c>
      <c r="B14" s="148">
        <v>626</v>
      </c>
      <c r="C14" s="77"/>
    </row>
    <row r="15" spans="1:9" x14ac:dyDescent="0.25">
      <c r="A15" s="76" t="s">
        <v>345</v>
      </c>
      <c r="B15" s="148" t="s">
        <v>314</v>
      </c>
      <c r="C15" s="77"/>
    </row>
    <row r="16" spans="1:9" x14ac:dyDescent="0.25">
      <c r="A16" s="76" t="s">
        <v>86</v>
      </c>
      <c r="B16" s="148" t="s">
        <v>315</v>
      </c>
      <c r="C16" s="77"/>
    </row>
    <row r="17" spans="1:3" x14ac:dyDescent="0.25">
      <c r="A17" s="76" t="s">
        <v>414</v>
      </c>
      <c r="B17" s="148"/>
      <c r="C17" s="77"/>
    </row>
    <row r="18" spans="1:3" x14ac:dyDescent="0.25">
      <c r="A18" s="76" t="s">
        <v>88</v>
      </c>
      <c r="B18" s="152">
        <v>45135</v>
      </c>
      <c r="C18" s="77"/>
    </row>
    <row r="19" spans="1:3" x14ac:dyDescent="0.25">
      <c r="A19" s="76" t="s">
        <v>89</v>
      </c>
      <c r="B19" s="150">
        <v>45135</v>
      </c>
      <c r="C19" s="77"/>
    </row>
    <row r="20" spans="1:3" x14ac:dyDescent="0.25">
      <c r="A20" s="76" t="s">
        <v>90</v>
      </c>
      <c r="B20" s="148" t="s">
        <v>307</v>
      </c>
      <c r="C20" s="77"/>
    </row>
    <row r="21" spans="1:3" x14ac:dyDescent="0.25">
      <c r="A21" s="72" t="s">
        <v>91</v>
      </c>
      <c r="B21" s="148" t="s">
        <v>99</v>
      </c>
      <c r="C21" s="77"/>
    </row>
    <row r="23" spans="1:3" x14ac:dyDescent="0.25">
      <c r="B23" s="89" t="str">
        <f>HYPERLINK("#'Factor List'!A1","Back to Factor List")</f>
        <v>Back to Factor List</v>
      </c>
    </row>
    <row r="24" spans="1:3" x14ac:dyDescent="0.25">
      <c r="B24" s="89" t="s">
        <v>13</v>
      </c>
    </row>
    <row r="25" spans="1:3" x14ac:dyDescent="0.25">
      <c r="B25" s="89"/>
    </row>
    <row r="26" spans="1:3" ht="45" customHeight="1" x14ac:dyDescent="0.25"/>
  </sheetData>
  <sheetProtection algorithmName="SHA-512" hashValue="aeOhGiETvICbjq0f7lCEr/fgDS4dVBQBTYEs7UoDli9e+oKN2LPs7USi3HYPbTTtGDA9/yETYgKdQxD0G8ucCA==" saltValue="hMn3AK9QntCApwEkhVh/Cg==" spinCount="100000" sheet="1" objects="1" scenarios="1"/>
  <conditionalFormatting sqref="A6:A21">
    <cfRule type="expression" dxfId="67" priority="1" stopIfTrue="1">
      <formula>MOD(ROW(),2)=0</formula>
    </cfRule>
    <cfRule type="expression" dxfId="66" priority="2" stopIfTrue="1">
      <formula>MOD(ROW(),2)&lt;&gt;0</formula>
    </cfRule>
  </conditionalFormatting>
  <conditionalFormatting sqref="B6:C21">
    <cfRule type="expression" dxfId="65" priority="11" stopIfTrue="1">
      <formula>MOD(ROW(),2)=0</formula>
    </cfRule>
    <cfRule type="expression" dxfId="64" priority="12" stopIfTrue="1">
      <formula>MOD(ROW(),2)&lt;&gt;0</formula>
    </cfRule>
  </conditionalFormatting>
  <hyperlinks>
    <hyperlink ref="B24" location="Assumptions!A1" display="Assumptions" xr:uid="{376A2918-B191-41B5-8EDA-21B9CB062D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dimension ref="A1:G68"/>
  <sheetViews>
    <sheetView showGridLines="0" zoomScale="84" zoomScaleNormal="100" workbookViewId="0">
      <selection activeCell="B6" sqref="B6:D21"/>
    </sheetView>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39" t="s">
        <v>0</v>
      </c>
      <c r="B1" s="40"/>
      <c r="C1" s="40"/>
      <c r="D1" s="40"/>
      <c r="E1" s="40"/>
      <c r="F1" s="40"/>
      <c r="G1" s="40"/>
    </row>
    <row r="2" spans="1:7" ht="15.6" x14ac:dyDescent="0.3">
      <c r="A2" s="41" t="str">
        <f>IF(title="&gt; Enter workbook title here","Enter workbook title in Cover sheet",title)</f>
        <v>Fire England - Consolidated Factor Spreadsheet</v>
      </c>
      <c r="B2" s="42"/>
      <c r="C2" s="42"/>
      <c r="D2" s="42"/>
      <c r="E2" s="42"/>
      <c r="F2" s="42"/>
      <c r="G2" s="42"/>
    </row>
    <row r="3" spans="1:7" ht="15.6" x14ac:dyDescent="0.3">
      <c r="A3" s="43" t="str">
        <f>TABLE_FACTOR_TYPE_1&amp;" - x-"&amp;TABLE_SERIES_NUMBER_1</f>
        <v>CETV - x-202</v>
      </c>
      <c r="B3" s="42"/>
      <c r="C3" s="42"/>
      <c r="D3" s="42"/>
      <c r="E3" s="42"/>
      <c r="F3" s="42"/>
      <c r="G3" s="42"/>
    </row>
    <row r="4" spans="1:7" x14ac:dyDescent="0.25">
      <c r="A4" s="44"/>
    </row>
    <row r="6" spans="1:7" x14ac:dyDescent="0.25">
      <c r="A6" s="146" t="s">
        <v>334</v>
      </c>
      <c r="B6" s="102" t="s">
        <v>335</v>
      </c>
      <c r="C6" s="102"/>
      <c r="D6" s="102"/>
    </row>
    <row r="7" spans="1:7" x14ac:dyDescent="0.25">
      <c r="A7" s="72" t="s">
        <v>78</v>
      </c>
      <c r="B7" s="102" t="s">
        <v>67</v>
      </c>
      <c r="C7" s="102"/>
      <c r="D7" s="102"/>
    </row>
    <row r="8" spans="1:7" x14ac:dyDescent="0.25">
      <c r="A8" s="72" t="s">
        <v>79</v>
      </c>
      <c r="B8" s="102">
        <v>1992</v>
      </c>
      <c r="C8" s="102"/>
      <c r="D8" s="102"/>
    </row>
    <row r="9" spans="1:7" x14ac:dyDescent="0.25">
      <c r="A9" s="72" t="s">
        <v>80</v>
      </c>
      <c r="B9" s="102" t="s">
        <v>92</v>
      </c>
      <c r="C9" s="102"/>
      <c r="D9" s="102"/>
    </row>
    <row r="10" spans="1:7" x14ac:dyDescent="0.25">
      <c r="A10" s="72" t="s">
        <v>6</v>
      </c>
      <c r="B10" s="102" t="s">
        <v>93</v>
      </c>
      <c r="C10" s="102"/>
      <c r="D10" s="102"/>
    </row>
    <row r="11" spans="1:7" x14ac:dyDescent="0.25">
      <c r="A11" s="72" t="s">
        <v>81</v>
      </c>
      <c r="B11" s="102" t="s">
        <v>100</v>
      </c>
      <c r="C11" s="102"/>
      <c r="D11" s="102"/>
    </row>
    <row r="12" spans="1:7" x14ac:dyDescent="0.25">
      <c r="A12" s="72" t="s">
        <v>82</v>
      </c>
      <c r="B12" s="102" t="s">
        <v>95</v>
      </c>
      <c r="C12" s="102"/>
      <c r="D12" s="102"/>
    </row>
    <row r="13" spans="1:7" ht="13.2" hidden="1" customHeight="1" x14ac:dyDescent="0.25">
      <c r="A13" s="72" t="s">
        <v>342</v>
      </c>
      <c r="B13" s="102">
        <v>2</v>
      </c>
      <c r="C13" s="102"/>
      <c r="D13" s="102"/>
    </row>
    <row r="14" spans="1:7" ht="13.2" hidden="1" customHeight="1" x14ac:dyDescent="0.25">
      <c r="A14" s="72" t="s">
        <v>84</v>
      </c>
      <c r="B14" s="102">
        <v>202</v>
      </c>
      <c r="C14" s="102"/>
      <c r="D14" s="102"/>
    </row>
    <row r="15" spans="1:7" x14ac:dyDescent="0.25">
      <c r="A15" s="72" t="s">
        <v>345</v>
      </c>
      <c r="B15" s="102" t="s">
        <v>101</v>
      </c>
      <c r="C15" s="102"/>
      <c r="D15" s="102"/>
    </row>
    <row r="16" spans="1:7" x14ac:dyDescent="0.25">
      <c r="A16" s="72" t="s">
        <v>86</v>
      </c>
      <c r="B16" s="102" t="s">
        <v>102</v>
      </c>
      <c r="C16" s="102"/>
      <c r="D16" s="102"/>
    </row>
    <row r="17" spans="1:4" ht="65.099999999999994" customHeight="1" x14ac:dyDescent="0.25">
      <c r="A17" s="72" t="s">
        <v>414</v>
      </c>
      <c r="B17" s="102"/>
      <c r="C17" s="102"/>
      <c r="D17" s="102"/>
    </row>
    <row r="18" spans="1:4" x14ac:dyDescent="0.25">
      <c r="A18" s="72" t="s">
        <v>88</v>
      </c>
      <c r="B18" s="150">
        <v>45070</v>
      </c>
      <c r="C18" s="102"/>
      <c r="D18" s="102"/>
    </row>
    <row r="19" spans="1:4" x14ac:dyDescent="0.25">
      <c r="A19" s="72" t="s">
        <v>89</v>
      </c>
      <c r="B19" s="150">
        <v>45014</v>
      </c>
      <c r="C19" s="102"/>
      <c r="D19" s="102"/>
    </row>
    <row r="20" spans="1:4" x14ac:dyDescent="0.25">
      <c r="A20" s="72" t="s">
        <v>90</v>
      </c>
      <c r="B20" s="102" t="s">
        <v>98</v>
      </c>
      <c r="C20" s="102"/>
      <c r="D20" s="102"/>
    </row>
    <row r="21" spans="1:4" x14ac:dyDescent="0.25">
      <c r="A21" s="72" t="s">
        <v>91</v>
      </c>
      <c r="B21" s="102" t="s">
        <v>99</v>
      </c>
      <c r="C21" s="102"/>
      <c r="D21" s="102"/>
    </row>
    <row r="23" spans="1:4" x14ac:dyDescent="0.25">
      <c r="B23" s="89" t="str">
        <f>HYPERLINK("#'Factor List'!A1","Back to Factor List")</f>
        <v>Back to Factor List</v>
      </c>
    </row>
    <row r="24" spans="1:4" x14ac:dyDescent="0.25">
      <c r="B24" s="89" t="s">
        <v>13</v>
      </c>
    </row>
    <row r="25" spans="1:4" x14ac:dyDescent="0.25">
      <c r="B25" s="89"/>
    </row>
    <row r="26" spans="1:4" ht="37.5" customHeight="1" x14ac:dyDescent="0.25">
      <c r="A26" s="85" t="s">
        <v>415</v>
      </c>
      <c r="B26" s="85" t="s">
        <v>416</v>
      </c>
      <c r="C26" s="85" t="s">
        <v>417</v>
      </c>
      <c r="D26" s="85" t="s">
        <v>418</v>
      </c>
    </row>
    <row r="27" spans="1:4" x14ac:dyDescent="0.25">
      <c r="A27" s="86">
        <v>18</v>
      </c>
      <c r="B27" s="87">
        <v>10.87</v>
      </c>
      <c r="C27" s="87">
        <v>2.37</v>
      </c>
      <c r="D27" s="87">
        <v>0</v>
      </c>
    </row>
    <row r="28" spans="1:4" x14ac:dyDescent="0.25">
      <c r="A28" s="86">
        <v>19</v>
      </c>
      <c r="B28" s="87">
        <v>11.02</v>
      </c>
      <c r="C28" s="87">
        <v>2.4700000000000002</v>
      </c>
      <c r="D28" s="87">
        <v>0</v>
      </c>
    </row>
    <row r="29" spans="1:4" x14ac:dyDescent="0.25">
      <c r="A29" s="86">
        <v>20</v>
      </c>
      <c r="B29" s="87">
        <v>11.18</v>
      </c>
      <c r="C29" s="87">
        <v>2.52</v>
      </c>
      <c r="D29" s="87">
        <v>0</v>
      </c>
    </row>
    <row r="30" spans="1:4" x14ac:dyDescent="0.25">
      <c r="A30" s="86">
        <v>21</v>
      </c>
      <c r="B30" s="87">
        <v>11.34</v>
      </c>
      <c r="C30" s="87">
        <v>2.56</v>
      </c>
      <c r="D30" s="87">
        <v>0</v>
      </c>
    </row>
    <row r="31" spans="1:4" x14ac:dyDescent="0.25">
      <c r="A31" s="86">
        <v>22</v>
      </c>
      <c r="B31" s="87">
        <v>11.51</v>
      </c>
      <c r="C31" s="87">
        <v>2.6</v>
      </c>
      <c r="D31" s="87">
        <v>0</v>
      </c>
    </row>
    <row r="32" spans="1:4" x14ac:dyDescent="0.25">
      <c r="A32" s="86">
        <v>23</v>
      </c>
      <c r="B32" s="87">
        <v>11.67</v>
      </c>
      <c r="C32" s="87">
        <v>2.64</v>
      </c>
      <c r="D32" s="87">
        <v>0</v>
      </c>
    </row>
    <row r="33" spans="1:4" x14ac:dyDescent="0.25">
      <c r="A33" s="86">
        <v>24</v>
      </c>
      <c r="B33" s="87">
        <v>11.84</v>
      </c>
      <c r="C33" s="87">
        <v>2.68</v>
      </c>
      <c r="D33" s="87">
        <v>0</v>
      </c>
    </row>
    <row r="34" spans="1:4" x14ac:dyDescent="0.25">
      <c r="A34" s="86">
        <v>25</v>
      </c>
      <c r="B34" s="87">
        <v>12.01</v>
      </c>
      <c r="C34" s="87">
        <v>2.73</v>
      </c>
      <c r="D34" s="87">
        <v>0</v>
      </c>
    </row>
    <row r="35" spans="1:4" x14ac:dyDescent="0.25">
      <c r="A35" s="86">
        <v>26</v>
      </c>
      <c r="B35" s="87">
        <v>12.19</v>
      </c>
      <c r="C35" s="87">
        <v>2.77</v>
      </c>
      <c r="D35" s="87">
        <v>0</v>
      </c>
    </row>
    <row r="36" spans="1:4" x14ac:dyDescent="0.25">
      <c r="A36" s="86">
        <v>27</v>
      </c>
      <c r="B36" s="87">
        <v>12.36</v>
      </c>
      <c r="C36" s="87">
        <v>2.81</v>
      </c>
      <c r="D36" s="87">
        <v>0</v>
      </c>
    </row>
    <row r="37" spans="1:4" x14ac:dyDescent="0.25">
      <c r="A37" s="86">
        <v>28</v>
      </c>
      <c r="B37" s="87">
        <v>12.54</v>
      </c>
      <c r="C37" s="87">
        <v>2.86</v>
      </c>
      <c r="D37" s="87">
        <v>0</v>
      </c>
    </row>
    <row r="38" spans="1:4" x14ac:dyDescent="0.25">
      <c r="A38" s="86">
        <v>29</v>
      </c>
      <c r="B38" s="87">
        <v>12.73</v>
      </c>
      <c r="C38" s="87">
        <v>2.9</v>
      </c>
      <c r="D38" s="87">
        <v>0</v>
      </c>
    </row>
    <row r="39" spans="1:4" x14ac:dyDescent="0.25">
      <c r="A39" s="86">
        <v>30</v>
      </c>
      <c r="B39" s="87">
        <v>12.91</v>
      </c>
      <c r="C39" s="87">
        <v>2.94</v>
      </c>
      <c r="D39" s="87">
        <v>0</v>
      </c>
    </row>
    <row r="40" spans="1:4" x14ac:dyDescent="0.25">
      <c r="A40" s="86">
        <v>31</v>
      </c>
      <c r="B40" s="87">
        <v>13.1</v>
      </c>
      <c r="C40" s="87">
        <v>2.99</v>
      </c>
      <c r="D40" s="87">
        <v>0</v>
      </c>
    </row>
    <row r="41" spans="1:4" x14ac:dyDescent="0.25">
      <c r="A41" s="86">
        <v>32</v>
      </c>
      <c r="B41" s="87">
        <v>13.3</v>
      </c>
      <c r="C41" s="87">
        <v>3.03</v>
      </c>
      <c r="D41" s="87">
        <v>0</v>
      </c>
    </row>
    <row r="42" spans="1:4" x14ac:dyDescent="0.25">
      <c r="A42" s="86">
        <v>33</v>
      </c>
      <c r="B42" s="87">
        <v>13.49</v>
      </c>
      <c r="C42" s="87">
        <v>3.07</v>
      </c>
      <c r="D42" s="87">
        <v>0</v>
      </c>
    </row>
    <row r="43" spans="1:4" x14ac:dyDescent="0.25">
      <c r="A43" s="86">
        <v>34</v>
      </c>
      <c r="B43" s="87">
        <v>13.69</v>
      </c>
      <c r="C43" s="87">
        <v>3.11</v>
      </c>
      <c r="D43" s="87">
        <v>0</v>
      </c>
    </row>
    <row r="44" spans="1:4" x14ac:dyDescent="0.25">
      <c r="A44" s="86">
        <v>35</v>
      </c>
      <c r="B44" s="87">
        <v>13.89</v>
      </c>
      <c r="C44" s="87">
        <v>3.15</v>
      </c>
      <c r="D44" s="87">
        <v>0</v>
      </c>
    </row>
    <row r="45" spans="1:4" x14ac:dyDescent="0.25">
      <c r="A45" s="86">
        <v>36</v>
      </c>
      <c r="B45" s="87">
        <v>14.1</v>
      </c>
      <c r="C45" s="87">
        <v>3.19</v>
      </c>
      <c r="D45" s="87">
        <v>0</v>
      </c>
    </row>
    <row r="46" spans="1:4" x14ac:dyDescent="0.25">
      <c r="A46" s="86">
        <v>37</v>
      </c>
      <c r="B46" s="87">
        <v>14.31</v>
      </c>
      <c r="C46" s="87">
        <v>3.23</v>
      </c>
      <c r="D46" s="87">
        <v>0</v>
      </c>
    </row>
    <row r="47" spans="1:4" x14ac:dyDescent="0.25">
      <c r="A47" s="86">
        <v>38</v>
      </c>
      <c r="B47" s="87">
        <v>14.53</v>
      </c>
      <c r="C47" s="87">
        <v>3.27</v>
      </c>
      <c r="D47" s="87">
        <v>0</v>
      </c>
    </row>
    <row r="48" spans="1:4" x14ac:dyDescent="0.25">
      <c r="A48" s="86">
        <v>39</v>
      </c>
      <c r="B48" s="87">
        <v>14.75</v>
      </c>
      <c r="C48" s="87">
        <v>3.31</v>
      </c>
      <c r="D48" s="87">
        <v>0</v>
      </c>
    </row>
    <row r="49" spans="1:4" x14ac:dyDescent="0.25">
      <c r="A49" s="86">
        <v>40</v>
      </c>
      <c r="B49" s="87">
        <v>14.97</v>
      </c>
      <c r="C49" s="87">
        <v>3.35</v>
      </c>
      <c r="D49" s="87">
        <v>0</v>
      </c>
    </row>
    <row r="50" spans="1:4" x14ac:dyDescent="0.25">
      <c r="A50" s="86">
        <v>41</v>
      </c>
      <c r="B50" s="87">
        <v>15.2</v>
      </c>
      <c r="C50" s="87">
        <v>3.39</v>
      </c>
      <c r="D50" s="87">
        <v>0</v>
      </c>
    </row>
    <row r="51" spans="1:4" x14ac:dyDescent="0.25">
      <c r="A51" s="86">
        <v>42</v>
      </c>
      <c r="B51" s="87">
        <v>15.43</v>
      </c>
      <c r="C51" s="87">
        <v>3.43</v>
      </c>
      <c r="D51" s="87">
        <v>0</v>
      </c>
    </row>
    <row r="52" spans="1:4" x14ac:dyDescent="0.25">
      <c r="A52" s="86">
        <v>43</v>
      </c>
      <c r="B52" s="87">
        <v>15.67</v>
      </c>
      <c r="C52" s="87">
        <v>3.46</v>
      </c>
      <c r="D52" s="87">
        <v>0</v>
      </c>
    </row>
    <row r="53" spans="1:4" x14ac:dyDescent="0.25">
      <c r="A53" s="86">
        <v>44</v>
      </c>
      <c r="B53" s="87">
        <v>15.91</v>
      </c>
      <c r="C53" s="87">
        <v>3.49</v>
      </c>
      <c r="D53" s="87">
        <v>0</v>
      </c>
    </row>
    <row r="54" spans="1:4" x14ac:dyDescent="0.25">
      <c r="A54" s="86">
        <v>45</v>
      </c>
      <c r="B54" s="87">
        <v>16.16</v>
      </c>
      <c r="C54" s="87">
        <v>3.53</v>
      </c>
      <c r="D54" s="87">
        <v>0</v>
      </c>
    </row>
    <row r="55" spans="1:4" x14ac:dyDescent="0.25">
      <c r="A55" s="86">
        <v>46</v>
      </c>
      <c r="B55" s="87">
        <v>16.420000000000002</v>
      </c>
      <c r="C55" s="87">
        <v>3.56</v>
      </c>
      <c r="D55" s="87">
        <v>0</v>
      </c>
    </row>
    <row r="56" spans="1:4" x14ac:dyDescent="0.25">
      <c r="A56" s="86">
        <v>47</v>
      </c>
      <c r="B56" s="87">
        <v>16.68</v>
      </c>
      <c r="C56" s="87">
        <v>3.59</v>
      </c>
      <c r="D56" s="87">
        <v>0</v>
      </c>
    </row>
    <row r="57" spans="1:4" x14ac:dyDescent="0.25">
      <c r="A57" s="86">
        <v>48</v>
      </c>
      <c r="B57" s="87">
        <v>16.940000000000001</v>
      </c>
      <c r="C57" s="87">
        <v>3.62</v>
      </c>
      <c r="D57" s="87">
        <v>0</v>
      </c>
    </row>
    <row r="58" spans="1:4" x14ac:dyDescent="0.25">
      <c r="A58" s="86">
        <v>49</v>
      </c>
      <c r="B58" s="87">
        <v>17.22</v>
      </c>
      <c r="C58" s="87">
        <v>3.64</v>
      </c>
      <c r="D58" s="87">
        <v>0</v>
      </c>
    </row>
    <row r="59" spans="1:4" x14ac:dyDescent="0.25">
      <c r="A59" s="86">
        <v>50</v>
      </c>
      <c r="B59" s="87">
        <v>17.5</v>
      </c>
      <c r="C59" s="87">
        <v>3.67</v>
      </c>
      <c r="D59" s="87">
        <v>0</v>
      </c>
    </row>
    <row r="60" spans="1:4" x14ac:dyDescent="0.25">
      <c r="A60" s="86">
        <v>51</v>
      </c>
      <c r="B60" s="87">
        <v>17.79</v>
      </c>
      <c r="C60" s="87">
        <v>3.69</v>
      </c>
      <c r="D60" s="87">
        <v>0</v>
      </c>
    </row>
    <row r="61" spans="1:4" x14ac:dyDescent="0.25">
      <c r="A61" s="86">
        <v>52</v>
      </c>
      <c r="B61" s="87">
        <v>18.09</v>
      </c>
      <c r="C61" s="87">
        <v>3.72</v>
      </c>
      <c r="D61" s="87">
        <v>0</v>
      </c>
    </row>
    <row r="62" spans="1:4" x14ac:dyDescent="0.25">
      <c r="A62" s="86">
        <v>53</v>
      </c>
      <c r="B62" s="87">
        <v>18.39</v>
      </c>
      <c r="C62" s="87">
        <v>3.74</v>
      </c>
      <c r="D62" s="87">
        <v>0</v>
      </c>
    </row>
    <row r="63" spans="1:4" x14ac:dyDescent="0.25">
      <c r="A63" s="86">
        <v>54</v>
      </c>
      <c r="B63" s="87">
        <v>18.71</v>
      </c>
      <c r="C63" s="87">
        <v>3.76</v>
      </c>
      <c r="D63" s="87">
        <v>0</v>
      </c>
    </row>
    <row r="64" spans="1:4" x14ac:dyDescent="0.25">
      <c r="A64" s="86">
        <v>55</v>
      </c>
      <c r="B64" s="87">
        <v>19.03</v>
      </c>
      <c r="C64" s="87">
        <v>3.78</v>
      </c>
      <c r="D64" s="87">
        <v>0</v>
      </c>
    </row>
    <row r="65" spans="1:4" x14ac:dyDescent="0.25">
      <c r="A65" s="86">
        <v>56</v>
      </c>
      <c r="B65" s="87">
        <v>19.36</v>
      </c>
      <c r="C65" s="87">
        <v>3.79</v>
      </c>
      <c r="D65" s="87">
        <v>0</v>
      </c>
    </row>
    <row r="66" spans="1:4" x14ac:dyDescent="0.25">
      <c r="A66" s="86">
        <v>57</v>
      </c>
      <c r="B66" s="87">
        <v>19.71</v>
      </c>
      <c r="C66" s="87">
        <v>3.81</v>
      </c>
      <c r="D66" s="87">
        <v>0</v>
      </c>
    </row>
    <row r="67" spans="1:4" x14ac:dyDescent="0.25">
      <c r="A67" s="86">
        <v>58</v>
      </c>
      <c r="B67" s="87">
        <v>20.07</v>
      </c>
      <c r="C67" s="87">
        <v>3.82</v>
      </c>
      <c r="D67" s="87">
        <v>0</v>
      </c>
    </row>
    <row r="68" spans="1:4" x14ac:dyDescent="0.25">
      <c r="A68" s="86">
        <v>59</v>
      </c>
      <c r="B68" s="87">
        <v>20.440000000000001</v>
      </c>
      <c r="C68" s="87">
        <v>3.83</v>
      </c>
      <c r="D68" s="87">
        <v>0</v>
      </c>
    </row>
  </sheetData>
  <sheetProtection algorithmName="SHA-512" hashValue="XrxryKy/CLBrP/IAW8mlBKHJki+5muSCJZzUnzoRhVyRaIiu8zrvdOUVKHIINJRWqn2AsaUaJTthKkURZ/1sTg==" saltValue="dp2GWIU3WftRwZt3s3PkSQ==" spinCount="100000" sheet="1" objects="1" scenarios="1"/>
  <conditionalFormatting sqref="A6:A21">
    <cfRule type="expression" dxfId="891" priority="1" stopIfTrue="1">
      <formula>MOD(ROW(),2)=0</formula>
    </cfRule>
    <cfRule type="expression" dxfId="890" priority="2" stopIfTrue="1">
      <formula>MOD(ROW(),2)&lt;&gt;0</formula>
    </cfRule>
  </conditionalFormatting>
  <conditionalFormatting sqref="A26:A68">
    <cfRule type="expression" dxfId="889" priority="11" stopIfTrue="1">
      <formula>MOD(ROW(),2)=0</formula>
    </cfRule>
    <cfRule type="expression" dxfId="888" priority="12" stopIfTrue="1">
      <formula>MOD(ROW(),2)&lt;&gt;0</formula>
    </cfRule>
  </conditionalFormatting>
  <conditionalFormatting sqref="B19:B20">
    <cfRule type="expression" dxfId="887" priority="9" stopIfTrue="1">
      <formula>MOD(ROW(),2)=0</formula>
    </cfRule>
    <cfRule type="expression" dxfId="886" priority="10" stopIfTrue="1">
      <formula>MOD(ROW(),2)&lt;&gt;0</formula>
    </cfRule>
  </conditionalFormatting>
  <conditionalFormatting sqref="B21">
    <cfRule type="expression" dxfId="885" priority="3" stopIfTrue="1">
      <formula>MOD(ROW(),2)=0</formula>
    </cfRule>
    <cfRule type="expression" dxfId="884" priority="4" stopIfTrue="1">
      <formula>MOD(ROW(),2)&lt;&gt;0</formula>
    </cfRule>
  </conditionalFormatting>
  <conditionalFormatting sqref="B6:D21 B26:D68">
    <cfRule type="expression" dxfId="883" priority="31" stopIfTrue="1">
      <formula>MOD(ROW(),2)=0</formula>
    </cfRule>
    <cfRule type="expression" dxfId="882" priority="32" stopIfTrue="1">
      <formula>MOD(ROW(),2)&lt;&gt;0</formula>
    </cfRule>
  </conditionalFormatting>
  <conditionalFormatting sqref="B17:D19">
    <cfRule type="expression" dxfId="881" priority="5" stopIfTrue="1">
      <formula>MOD(ROW(),2)=0</formula>
    </cfRule>
    <cfRule type="expression" dxfId="880" priority="6" stopIfTrue="1">
      <formula>MOD(ROW(),2)&lt;&gt;0</formula>
    </cfRule>
  </conditionalFormatting>
  <hyperlinks>
    <hyperlink ref="B24" location="Assumptions!A1" display="Assumptions" xr:uid="{15DC6C4A-E3AF-4542-8B51-9C51DDAA14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dimension ref="A1:I26"/>
  <sheetViews>
    <sheetView showGridLines="0" zoomScale="84" zoomScaleNormal="84" workbookViewId="0">
      <selection activeCell="A4" sqref="A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Scheme pays LTA - x-627</v>
      </c>
      <c r="B3" s="42"/>
      <c r="C3" s="42"/>
      <c r="D3" s="42"/>
      <c r="E3" s="42"/>
      <c r="F3" s="42"/>
      <c r="G3" s="42"/>
      <c r="H3" s="42"/>
      <c r="I3" s="42"/>
    </row>
    <row r="4" spans="1:9" x14ac:dyDescent="0.25">
      <c r="A4" s="44"/>
    </row>
    <row r="6" spans="1:9" x14ac:dyDescent="0.25">
      <c r="A6" s="74" t="s">
        <v>334</v>
      </c>
      <c r="B6" s="147" t="s">
        <v>335</v>
      </c>
      <c r="C6" s="75"/>
    </row>
    <row r="7" spans="1:9" x14ac:dyDescent="0.25">
      <c r="A7" s="76" t="s">
        <v>78</v>
      </c>
      <c r="B7" s="148" t="s">
        <v>67</v>
      </c>
      <c r="C7" s="77"/>
    </row>
    <row r="8" spans="1:9" x14ac:dyDescent="0.25">
      <c r="A8" s="76" t="s">
        <v>79</v>
      </c>
      <c r="B8" s="148">
        <v>2015</v>
      </c>
      <c r="C8" s="77"/>
    </row>
    <row r="9" spans="1:9" x14ac:dyDescent="0.25">
      <c r="A9" s="76" t="s">
        <v>80</v>
      </c>
      <c r="B9" s="148" t="s">
        <v>303</v>
      </c>
      <c r="C9" s="77"/>
    </row>
    <row r="10" spans="1:9" x14ac:dyDescent="0.25">
      <c r="A10" s="76" t="s">
        <v>6</v>
      </c>
      <c r="B10" s="148" t="s">
        <v>316</v>
      </c>
      <c r="C10" s="77"/>
    </row>
    <row r="11" spans="1:9" x14ac:dyDescent="0.25">
      <c r="A11" s="76" t="s">
        <v>81</v>
      </c>
      <c r="B11" s="148" t="s">
        <v>259</v>
      </c>
      <c r="C11" s="77"/>
    </row>
    <row r="12" spans="1:9" x14ac:dyDescent="0.25">
      <c r="A12" s="76" t="s">
        <v>82</v>
      </c>
      <c r="B12" s="148" t="s">
        <v>305</v>
      </c>
      <c r="C12" s="77"/>
    </row>
    <row r="13" spans="1:9" x14ac:dyDescent="0.25">
      <c r="A13" s="76" t="s">
        <v>342</v>
      </c>
      <c r="B13" s="148">
        <v>0</v>
      </c>
      <c r="C13" s="77"/>
    </row>
    <row r="14" spans="1:9" x14ac:dyDescent="0.25">
      <c r="A14" s="76" t="s">
        <v>84</v>
      </c>
      <c r="B14" s="148">
        <v>627</v>
      </c>
      <c r="C14" s="77"/>
    </row>
    <row r="15" spans="1:9" x14ac:dyDescent="0.25">
      <c r="A15" s="76" t="s">
        <v>345</v>
      </c>
      <c r="B15" s="148" t="s">
        <v>317</v>
      </c>
      <c r="C15" s="77"/>
    </row>
    <row r="16" spans="1:9" x14ac:dyDescent="0.25">
      <c r="A16" s="76" t="s">
        <v>86</v>
      </c>
      <c r="B16" s="148" t="s">
        <v>318</v>
      </c>
      <c r="C16" s="77"/>
    </row>
    <row r="17" spans="1:3" x14ac:dyDescent="0.25">
      <c r="A17" s="76" t="s">
        <v>414</v>
      </c>
      <c r="B17" s="148"/>
      <c r="C17" s="77"/>
    </row>
    <row r="18" spans="1:3" x14ac:dyDescent="0.25">
      <c r="A18" s="76" t="s">
        <v>88</v>
      </c>
      <c r="B18" s="152">
        <v>45135</v>
      </c>
      <c r="C18" s="77"/>
    </row>
    <row r="19" spans="1:3" x14ac:dyDescent="0.25">
      <c r="A19" s="76" t="s">
        <v>89</v>
      </c>
      <c r="B19" s="150">
        <v>45135</v>
      </c>
      <c r="C19" s="77"/>
    </row>
    <row r="20" spans="1:3" x14ac:dyDescent="0.25">
      <c r="A20" s="76" t="s">
        <v>90</v>
      </c>
      <c r="B20" s="148" t="s">
        <v>307</v>
      </c>
      <c r="C20" s="77"/>
    </row>
    <row r="21" spans="1:3" x14ac:dyDescent="0.25">
      <c r="A21" s="72" t="s">
        <v>91</v>
      </c>
      <c r="B21" s="148" t="s">
        <v>99</v>
      </c>
      <c r="C21" s="77"/>
    </row>
    <row r="23" spans="1:3" x14ac:dyDescent="0.25">
      <c r="B23" s="89" t="str">
        <f>HYPERLINK("#'Factor List'!A1","Back to Factor List")</f>
        <v>Back to Factor List</v>
      </c>
    </row>
    <row r="24" spans="1:3" x14ac:dyDescent="0.25">
      <c r="B24" s="89" t="s">
        <v>13</v>
      </c>
    </row>
    <row r="25" spans="1:3" x14ac:dyDescent="0.25">
      <c r="B25" s="89"/>
    </row>
    <row r="26" spans="1:3" ht="42.6" customHeight="1" x14ac:dyDescent="0.25"/>
  </sheetData>
  <sheetProtection algorithmName="SHA-512" hashValue="2KpknoHWRwRgnQ0z1hTNOGXyswIFWxpesujzy4izHDJpUj28omNmaDStszA7Pub7knIp4UKTlqoevLWytT/WjA==" saltValue="QQULDam1GcADthvbfxGU5Q==" spinCount="100000" sheet="1" objects="1" scenarios="1"/>
  <conditionalFormatting sqref="A6:A21">
    <cfRule type="expression" dxfId="63" priority="1" stopIfTrue="1">
      <formula>MOD(ROW(),2)=0</formula>
    </cfRule>
    <cfRule type="expression" dxfId="62" priority="2" stopIfTrue="1">
      <formula>MOD(ROW(),2)&lt;&gt;0</formula>
    </cfRule>
  </conditionalFormatting>
  <conditionalFormatting sqref="B6:C21">
    <cfRule type="expression" dxfId="61" priority="11" stopIfTrue="1">
      <formula>MOD(ROW(),2)=0</formula>
    </cfRule>
    <cfRule type="expression" dxfId="60" priority="12" stopIfTrue="1">
      <formula>MOD(ROW(),2)&lt;&gt;0</formula>
    </cfRule>
  </conditionalFormatting>
  <hyperlinks>
    <hyperlink ref="B24" location="Assumptions!A1" display="Assumptions" xr:uid="{354ECCC4-2AE0-4C97-AD1F-9A714E1D65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4"/>
  <dimension ref="A1:I83"/>
  <sheetViews>
    <sheetView showGridLines="0" topLeftCell="A3" zoomScale="84" zoomScaleNormal="84" workbookViewId="0">
      <selection activeCell="B6" sqref="B6:B21"/>
    </sheetView>
  </sheetViews>
  <sheetFormatPr defaultColWidth="10" defaultRowHeight="13.2" x14ac:dyDescent="0.25"/>
  <cols>
    <col min="1" max="1" width="34" style="27" customWidth="1"/>
    <col min="2" max="2" width="27.4414062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Added pension - x-701</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319</v>
      </c>
    </row>
    <row r="10" spans="1:9" x14ac:dyDescent="0.25">
      <c r="A10" s="76" t="s">
        <v>6</v>
      </c>
      <c r="B10" s="148" t="s">
        <v>320</v>
      </c>
    </row>
    <row r="11" spans="1:9" x14ac:dyDescent="0.25">
      <c r="A11" s="76" t="s">
        <v>81</v>
      </c>
      <c r="B11" s="148" t="s">
        <v>176</v>
      </c>
    </row>
    <row r="12" spans="1:9" x14ac:dyDescent="0.25">
      <c r="A12" s="76" t="s">
        <v>82</v>
      </c>
      <c r="B12" s="148" t="s">
        <v>321</v>
      </c>
    </row>
    <row r="13" spans="1:9" x14ac:dyDescent="0.25">
      <c r="A13" s="76" t="s">
        <v>342</v>
      </c>
      <c r="B13" s="148">
        <v>0</v>
      </c>
    </row>
    <row r="14" spans="1:9" x14ac:dyDescent="0.25">
      <c r="A14" s="76" t="s">
        <v>84</v>
      </c>
      <c r="B14" s="148">
        <v>701</v>
      </c>
    </row>
    <row r="15" spans="1:9" x14ac:dyDescent="0.25">
      <c r="A15" s="76" t="s">
        <v>345</v>
      </c>
      <c r="B15" s="148" t="s">
        <v>322</v>
      </c>
    </row>
    <row r="16" spans="1:9" x14ac:dyDescent="0.25">
      <c r="A16" s="76" t="s">
        <v>86</v>
      </c>
      <c r="B16" s="148" t="s">
        <v>241</v>
      </c>
    </row>
    <row r="17" spans="1:2" ht="67.5" customHeight="1" x14ac:dyDescent="0.25">
      <c r="A17" s="76" t="s">
        <v>414</v>
      </c>
      <c r="B17" s="148"/>
    </row>
    <row r="18" spans="1:2" x14ac:dyDescent="0.25">
      <c r="A18" s="76" t="s">
        <v>88</v>
      </c>
      <c r="B18" s="152">
        <v>45196</v>
      </c>
    </row>
    <row r="19" spans="1:2" x14ac:dyDescent="0.25">
      <c r="A19" s="76" t="s">
        <v>89</v>
      </c>
      <c r="B19" s="152">
        <v>45197</v>
      </c>
    </row>
    <row r="20" spans="1:2" x14ac:dyDescent="0.25">
      <c r="A20" s="76" t="s">
        <v>90</v>
      </c>
      <c r="B20" s="148" t="s">
        <v>98</v>
      </c>
    </row>
    <row r="21" spans="1:2" x14ac:dyDescent="0.25">
      <c r="A21" s="72" t="s">
        <v>91</v>
      </c>
      <c r="B21" s="148" t="s">
        <v>99</v>
      </c>
    </row>
    <row r="22" spans="1:2" ht="16.5" customHeight="1" x14ac:dyDescent="0.25"/>
    <row r="23" spans="1:2" x14ac:dyDescent="0.25">
      <c r="B23" s="89" t="str">
        <f>HYPERLINK("#'Factor List'!A1","Back to Factor List")</f>
        <v>Back to Factor List</v>
      </c>
    </row>
    <row r="24" spans="1:2" x14ac:dyDescent="0.25">
      <c r="B24" s="89" t="s">
        <v>13</v>
      </c>
    </row>
    <row r="25" spans="1:2" x14ac:dyDescent="0.25">
      <c r="B25" s="89"/>
    </row>
    <row r="26" spans="1:2" x14ac:dyDescent="0.25">
      <c r="A26" s="79" t="s">
        <v>415</v>
      </c>
      <c r="B26" s="79" t="s">
        <v>467</v>
      </c>
    </row>
    <row r="27" spans="1:2" x14ac:dyDescent="0.25">
      <c r="A27" s="80">
        <v>18</v>
      </c>
      <c r="B27" s="81">
        <v>5.59</v>
      </c>
    </row>
    <row r="28" spans="1:2" x14ac:dyDescent="0.25">
      <c r="A28" s="80">
        <v>19</v>
      </c>
      <c r="B28" s="81">
        <v>5.81</v>
      </c>
    </row>
    <row r="29" spans="1:2" x14ac:dyDescent="0.25">
      <c r="A29" s="80">
        <v>20</v>
      </c>
      <c r="B29" s="81">
        <v>6.01</v>
      </c>
    </row>
    <row r="30" spans="1:2" x14ac:dyDescent="0.25">
      <c r="A30" s="80">
        <v>21</v>
      </c>
      <c r="B30" s="81">
        <v>6.23</v>
      </c>
    </row>
    <row r="31" spans="1:2" x14ac:dyDescent="0.25">
      <c r="A31" s="80">
        <v>22</v>
      </c>
      <c r="B31" s="81">
        <v>6.44</v>
      </c>
    </row>
    <row r="32" spans="1:2" x14ac:dyDescent="0.25">
      <c r="A32" s="80">
        <v>23</v>
      </c>
      <c r="B32" s="81">
        <v>6.67</v>
      </c>
    </row>
    <row r="33" spans="1:2" x14ac:dyDescent="0.25">
      <c r="A33" s="80">
        <v>24</v>
      </c>
      <c r="B33" s="81">
        <v>6.9</v>
      </c>
    </row>
    <row r="34" spans="1:2" x14ac:dyDescent="0.25">
      <c r="A34" s="80">
        <v>25</v>
      </c>
      <c r="B34" s="81">
        <v>7.15</v>
      </c>
    </row>
    <row r="35" spans="1:2" x14ac:dyDescent="0.25">
      <c r="A35" s="80">
        <v>26</v>
      </c>
      <c r="B35" s="81">
        <v>7.4</v>
      </c>
    </row>
    <row r="36" spans="1:2" x14ac:dyDescent="0.25">
      <c r="A36" s="80">
        <v>27</v>
      </c>
      <c r="B36" s="81">
        <v>7.66</v>
      </c>
    </row>
    <row r="37" spans="1:2" x14ac:dyDescent="0.25">
      <c r="A37" s="80">
        <v>28</v>
      </c>
      <c r="B37" s="81">
        <v>7.92</v>
      </c>
    </row>
    <row r="38" spans="1:2" x14ac:dyDescent="0.25">
      <c r="A38" s="80">
        <v>29</v>
      </c>
      <c r="B38" s="81">
        <v>8.1999999999999993</v>
      </c>
    </row>
    <row r="39" spans="1:2" x14ac:dyDescent="0.25">
      <c r="A39" s="80">
        <v>30</v>
      </c>
      <c r="B39" s="81">
        <v>8.48</v>
      </c>
    </row>
    <row r="40" spans="1:2" x14ac:dyDescent="0.25">
      <c r="A40" s="80">
        <v>31</v>
      </c>
      <c r="B40" s="81">
        <v>8.7799999999999994</v>
      </c>
    </row>
    <row r="41" spans="1:2" x14ac:dyDescent="0.25">
      <c r="A41" s="80">
        <v>32</v>
      </c>
      <c r="B41" s="81">
        <v>9.08</v>
      </c>
    </row>
    <row r="42" spans="1:2" x14ac:dyDescent="0.25">
      <c r="A42" s="80">
        <v>33</v>
      </c>
      <c r="B42" s="81">
        <v>9.4</v>
      </c>
    </row>
    <row r="43" spans="1:2" x14ac:dyDescent="0.25">
      <c r="A43" s="80">
        <v>34</v>
      </c>
      <c r="B43" s="81">
        <v>9.7200000000000006</v>
      </c>
    </row>
    <row r="44" spans="1:2" x14ac:dyDescent="0.25">
      <c r="A44" s="80">
        <v>35</v>
      </c>
      <c r="B44" s="81">
        <v>10.06</v>
      </c>
    </row>
    <row r="45" spans="1:2" x14ac:dyDescent="0.25">
      <c r="A45" s="80">
        <v>36</v>
      </c>
      <c r="B45" s="81">
        <v>10.4</v>
      </c>
    </row>
    <row r="46" spans="1:2" x14ac:dyDescent="0.25">
      <c r="A46" s="80">
        <v>37</v>
      </c>
      <c r="B46" s="81">
        <v>10.76</v>
      </c>
    </row>
    <row r="47" spans="1:2" x14ac:dyDescent="0.25">
      <c r="A47" s="80">
        <v>38</v>
      </c>
      <c r="B47" s="81">
        <v>11.13</v>
      </c>
    </row>
    <row r="48" spans="1:2" x14ac:dyDescent="0.25">
      <c r="A48" s="80">
        <v>39</v>
      </c>
      <c r="B48" s="81">
        <v>11.51</v>
      </c>
    </row>
    <row r="49" spans="1:2" x14ac:dyDescent="0.25">
      <c r="A49" s="80">
        <v>40</v>
      </c>
      <c r="B49" s="81">
        <v>11.9</v>
      </c>
    </row>
    <row r="50" spans="1:2" x14ac:dyDescent="0.25">
      <c r="A50" s="80">
        <v>41</v>
      </c>
      <c r="B50" s="81">
        <v>12.31</v>
      </c>
    </row>
    <row r="51" spans="1:2" x14ac:dyDescent="0.25">
      <c r="A51" s="80">
        <v>42</v>
      </c>
      <c r="B51" s="81">
        <v>12.73</v>
      </c>
    </row>
    <row r="52" spans="1:2" x14ac:dyDescent="0.25">
      <c r="A52" s="80">
        <v>43</v>
      </c>
      <c r="B52" s="81">
        <v>13.15</v>
      </c>
    </row>
    <row r="53" spans="1:2" x14ac:dyDescent="0.25">
      <c r="A53" s="80">
        <v>44</v>
      </c>
      <c r="B53" s="81">
        <v>13.6</v>
      </c>
    </row>
    <row r="54" spans="1:2" x14ac:dyDescent="0.25">
      <c r="A54" s="80">
        <v>45</v>
      </c>
      <c r="B54" s="81">
        <v>14.05</v>
      </c>
    </row>
    <row r="55" spans="1:2" x14ac:dyDescent="0.25">
      <c r="A55" s="80">
        <v>46</v>
      </c>
      <c r="B55" s="81">
        <v>14.52</v>
      </c>
    </row>
    <row r="56" spans="1:2" x14ac:dyDescent="0.25">
      <c r="A56" s="80">
        <v>47</v>
      </c>
      <c r="B56" s="81">
        <v>15.01</v>
      </c>
    </row>
    <row r="57" spans="1:2" x14ac:dyDescent="0.25">
      <c r="A57" s="80">
        <v>48</v>
      </c>
      <c r="B57" s="81">
        <v>15.51</v>
      </c>
    </row>
    <row r="58" spans="1:2" x14ac:dyDescent="0.25">
      <c r="A58" s="80">
        <v>49</v>
      </c>
      <c r="B58" s="81">
        <v>16.02</v>
      </c>
    </row>
    <row r="59" spans="1:2" x14ac:dyDescent="0.25">
      <c r="A59" s="80">
        <v>50</v>
      </c>
      <c r="B59" s="81">
        <v>16.559999999999999</v>
      </c>
    </row>
    <row r="60" spans="1:2" x14ac:dyDescent="0.25">
      <c r="A60" s="80">
        <v>51</v>
      </c>
      <c r="B60" s="81">
        <v>17.100000000000001</v>
      </c>
    </row>
    <row r="61" spans="1:2" x14ac:dyDescent="0.25">
      <c r="A61" s="80">
        <v>52</v>
      </c>
      <c r="B61" s="81">
        <v>17.670000000000002</v>
      </c>
    </row>
    <row r="62" spans="1:2" x14ac:dyDescent="0.25">
      <c r="A62" s="80">
        <v>53</v>
      </c>
      <c r="B62" s="81">
        <v>18.260000000000002</v>
      </c>
    </row>
    <row r="63" spans="1:2" x14ac:dyDescent="0.25">
      <c r="A63" s="80">
        <v>54</v>
      </c>
      <c r="B63" s="81">
        <v>18.86</v>
      </c>
    </row>
    <row r="64" spans="1:2" x14ac:dyDescent="0.25">
      <c r="A64" s="80">
        <v>55</v>
      </c>
      <c r="B64" s="81">
        <v>19.489999999999998</v>
      </c>
    </row>
    <row r="65" spans="1:2" x14ac:dyDescent="0.25">
      <c r="A65" s="80">
        <v>56</v>
      </c>
      <c r="B65" s="81">
        <v>20.149999999999999</v>
      </c>
    </row>
    <row r="66" spans="1:2" x14ac:dyDescent="0.25">
      <c r="A66" s="80">
        <v>57</v>
      </c>
      <c r="B66" s="81">
        <v>20.85</v>
      </c>
    </row>
    <row r="67" spans="1:2" x14ac:dyDescent="0.25">
      <c r="A67" s="80">
        <v>58</v>
      </c>
      <c r="B67" s="81">
        <v>21.57</v>
      </c>
    </row>
    <row r="68" spans="1:2" x14ac:dyDescent="0.25">
      <c r="A68" s="80">
        <v>59</v>
      </c>
      <c r="B68" s="81">
        <v>22.34</v>
      </c>
    </row>
    <row r="69" spans="1:2" x14ac:dyDescent="0.25">
      <c r="B69" s="27" t="s">
        <v>468</v>
      </c>
    </row>
    <row r="70" spans="1:2" x14ac:dyDescent="0.25">
      <c r="B70" s="27" t="s">
        <v>468</v>
      </c>
    </row>
    <row r="71" spans="1:2" x14ac:dyDescent="0.25">
      <c r="B71" s="27" t="s">
        <v>468</v>
      </c>
    </row>
    <row r="72" spans="1:2" x14ac:dyDescent="0.25">
      <c r="B72" s="27" t="s">
        <v>468</v>
      </c>
    </row>
    <row r="73" spans="1:2" x14ac:dyDescent="0.25">
      <c r="B73" s="27" t="s">
        <v>468</v>
      </c>
    </row>
    <row r="74" spans="1:2" x14ac:dyDescent="0.25">
      <c r="B74" s="27" t="s">
        <v>468</v>
      </c>
    </row>
    <row r="75" spans="1:2" x14ac:dyDescent="0.25">
      <c r="B75" s="27" t="s">
        <v>468</v>
      </c>
    </row>
    <row r="76" spans="1:2" x14ac:dyDescent="0.25">
      <c r="B76" s="27" t="s">
        <v>468</v>
      </c>
    </row>
    <row r="77" spans="1:2" x14ac:dyDescent="0.25">
      <c r="B77" s="27" t="s">
        <v>468</v>
      </c>
    </row>
    <row r="78" spans="1:2" x14ac:dyDescent="0.25">
      <c r="B78" s="27" t="s">
        <v>468</v>
      </c>
    </row>
    <row r="79" spans="1:2" x14ac:dyDescent="0.25">
      <c r="B79" s="27" t="s">
        <v>468</v>
      </c>
    </row>
    <row r="80" spans="1:2" x14ac:dyDescent="0.25">
      <c r="B80" s="27" t="s">
        <v>468</v>
      </c>
    </row>
    <row r="81" spans="2:2" x14ac:dyDescent="0.25">
      <c r="B81" s="27" t="s">
        <v>468</v>
      </c>
    </row>
    <row r="82" spans="2:2" x14ac:dyDescent="0.25">
      <c r="B82" s="27" t="s">
        <v>468</v>
      </c>
    </row>
    <row r="83" spans="2:2" x14ac:dyDescent="0.25">
      <c r="B83" s="27" t="s">
        <v>468</v>
      </c>
    </row>
  </sheetData>
  <sheetProtection algorithmName="SHA-512" hashValue="5Ct19Z2SzpbnPU1nvHnFp0D96QXb0iRJBxZQYTjP61uepx5GrKwym3YgAhbZqw6dUmUqCjcG8ZFMieotFQ79Qg==" saltValue="OuiQ6BPViOSz180kR6VEpw==" spinCount="100000" sheet="1" objects="1" scenarios="1"/>
  <conditionalFormatting sqref="A6:A21">
    <cfRule type="expression" dxfId="59" priority="1" stopIfTrue="1">
      <formula>MOD(ROW(),2)=0</formula>
    </cfRule>
    <cfRule type="expression" dxfId="58" priority="2" stopIfTrue="1">
      <formula>MOD(ROW(),2)&lt;&gt;0</formula>
    </cfRule>
  </conditionalFormatting>
  <conditionalFormatting sqref="A26:A68">
    <cfRule type="expression" dxfId="57" priority="19" stopIfTrue="1">
      <formula>MOD(ROW(),2)=0</formula>
    </cfRule>
    <cfRule type="expression" dxfId="56" priority="20" stopIfTrue="1">
      <formula>MOD(ROW(),2)&lt;&gt;0</formula>
    </cfRule>
  </conditionalFormatting>
  <conditionalFormatting sqref="B6:B21">
    <cfRule type="expression" dxfId="55" priority="25" stopIfTrue="1">
      <formula>MOD(ROW(),2)=0</formula>
    </cfRule>
    <cfRule type="expression" dxfId="54" priority="26" stopIfTrue="1">
      <formula>MOD(ROW(),2)&lt;&gt;0</formula>
    </cfRule>
  </conditionalFormatting>
  <conditionalFormatting sqref="B17:B21">
    <cfRule type="expression" dxfId="53" priority="9" stopIfTrue="1">
      <formula>MOD(ROW(),2)=0</formula>
    </cfRule>
    <cfRule type="expression" dxfId="52" priority="10" stopIfTrue="1">
      <formula>MOD(ROW(),2)&lt;&gt;0</formula>
    </cfRule>
  </conditionalFormatting>
  <conditionalFormatting sqref="B26:B68">
    <cfRule type="expression" dxfId="51" priority="21" stopIfTrue="1">
      <formula>MOD(ROW(),2)=0</formula>
    </cfRule>
    <cfRule type="expression" dxfId="50" priority="22" stopIfTrue="1">
      <formula>MOD(ROW(),2)&lt;&gt;0</formula>
    </cfRule>
  </conditionalFormatting>
  <hyperlinks>
    <hyperlink ref="B24" location="Assumptions!A1" display="Assumptions" xr:uid="{AD39B1A1-A901-4E5E-8B62-E96C3ADCF31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dimension ref="A1:I67"/>
  <sheetViews>
    <sheetView showGridLines="0" topLeftCell="A3" zoomScale="84" zoomScaleNormal="84" workbookViewId="0">
      <selection activeCell="B6" sqref="B6:B21"/>
    </sheetView>
  </sheetViews>
  <sheetFormatPr defaultColWidth="10" defaultRowHeight="13.2" x14ac:dyDescent="0.25"/>
  <cols>
    <col min="1" max="1" width="31.5546875" style="27" customWidth="1"/>
    <col min="2" max="2" width="27.44140625" style="27" customWidth="1"/>
    <col min="3" max="3" width="10.218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tr">
        <f>IF(title="&gt; Enter workbook title here","Enter workbook title in Cover sheet",title)</f>
        <v>Fire England - Consolidated Factor Spreadsheet</v>
      </c>
      <c r="B2" s="42"/>
      <c r="C2" s="42"/>
      <c r="D2" s="42"/>
      <c r="E2" s="42"/>
      <c r="F2" s="42"/>
      <c r="G2" s="42"/>
      <c r="H2" s="42"/>
      <c r="I2" s="42"/>
    </row>
    <row r="3" spans="1:9" ht="15.6" x14ac:dyDescent="0.3">
      <c r="A3" s="43" t="str">
        <f>TABLE_FACTOR_TYPE_1&amp;" - x-"&amp;TABLE_SERIES_NUMBER_1</f>
        <v>Added pension - x-702</v>
      </c>
      <c r="B3" s="42"/>
      <c r="C3" s="42"/>
      <c r="D3" s="42"/>
      <c r="E3" s="42"/>
      <c r="F3" s="42"/>
      <c r="G3" s="42"/>
      <c r="H3" s="42"/>
      <c r="I3" s="42"/>
    </row>
    <row r="4" spans="1:9" x14ac:dyDescent="0.25">
      <c r="A4" s="44"/>
    </row>
    <row r="6" spans="1:9" x14ac:dyDescent="0.25">
      <c r="A6" s="74" t="s">
        <v>334</v>
      </c>
      <c r="B6" s="148" t="s">
        <v>335</v>
      </c>
    </row>
    <row r="7" spans="1:9" x14ac:dyDescent="0.25">
      <c r="A7" s="76" t="s">
        <v>78</v>
      </c>
      <c r="B7" s="148" t="s">
        <v>67</v>
      </c>
    </row>
    <row r="8" spans="1:9" x14ac:dyDescent="0.25">
      <c r="A8" s="76" t="s">
        <v>79</v>
      </c>
      <c r="B8" s="148">
        <v>2015</v>
      </c>
    </row>
    <row r="9" spans="1:9" x14ac:dyDescent="0.25">
      <c r="A9" s="76" t="s">
        <v>80</v>
      </c>
      <c r="B9" s="148" t="s">
        <v>319</v>
      </c>
    </row>
    <row r="10" spans="1:9" x14ac:dyDescent="0.25">
      <c r="A10" s="76" t="s">
        <v>6</v>
      </c>
      <c r="B10" s="148" t="s">
        <v>323</v>
      </c>
    </row>
    <row r="11" spans="1:9" x14ac:dyDescent="0.25">
      <c r="A11" s="76" t="s">
        <v>81</v>
      </c>
      <c r="B11" s="148" t="s">
        <v>176</v>
      </c>
    </row>
    <row r="12" spans="1:9" x14ac:dyDescent="0.25">
      <c r="A12" s="76" t="s">
        <v>82</v>
      </c>
      <c r="B12" s="148" t="s">
        <v>324</v>
      </c>
    </row>
    <row r="13" spans="1:9" x14ac:dyDescent="0.25">
      <c r="A13" s="76" t="s">
        <v>342</v>
      </c>
      <c r="B13" s="148">
        <v>0</v>
      </c>
    </row>
    <row r="14" spans="1:9" x14ac:dyDescent="0.25">
      <c r="A14" s="76" t="s">
        <v>84</v>
      </c>
      <c r="B14" s="148">
        <v>702</v>
      </c>
    </row>
    <row r="15" spans="1:9" x14ac:dyDescent="0.25">
      <c r="A15" s="76" t="s">
        <v>345</v>
      </c>
      <c r="B15" s="148" t="s">
        <v>325</v>
      </c>
    </row>
    <row r="16" spans="1:9" x14ac:dyDescent="0.25">
      <c r="A16" s="76" t="s">
        <v>86</v>
      </c>
      <c r="B16" s="148" t="s">
        <v>244</v>
      </c>
    </row>
    <row r="17" spans="1:2" ht="65.55" customHeight="1" x14ac:dyDescent="0.25">
      <c r="A17" s="76" t="s">
        <v>414</v>
      </c>
      <c r="B17" s="148"/>
    </row>
    <row r="18" spans="1:2" x14ac:dyDescent="0.25">
      <c r="A18" s="76" t="s">
        <v>88</v>
      </c>
      <c r="B18" s="152">
        <v>45196</v>
      </c>
    </row>
    <row r="19" spans="1:2" x14ac:dyDescent="0.25">
      <c r="A19" s="76" t="s">
        <v>89</v>
      </c>
      <c r="B19" s="152">
        <v>45197</v>
      </c>
    </row>
    <row r="20" spans="1:2" x14ac:dyDescent="0.25">
      <c r="A20" s="76" t="s">
        <v>90</v>
      </c>
      <c r="B20" s="148" t="s">
        <v>98</v>
      </c>
    </row>
    <row r="21" spans="1:2" x14ac:dyDescent="0.25">
      <c r="A21" s="72" t="s">
        <v>91</v>
      </c>
      <c r="B21" s="148" t="s">
        <v>99</v>
      </c>
    </row>
    <row r="23" spans="1:2" x14ac:dyDescent="0.25">
      <c r="B23" s="89" t="str">
        <f>HYPERLINK("#'Factor List'!A1","Back to Factor List")</f>
        <v>Back to Factor List</v>
      </c>
    </row>
    <row r="24" spans="1:2" x14ac:dyDescent="0.25">
      <c r="B24" s="89" t="s">
        <v>13</v>
      </c>
    </row>
    <row r="25" spans="1:2" x14ac:dyDescent="0.25">
      <c r="B25" s="89"/>
    </row>
    <row r="26" spans="1:2" ht="26.4" x14ac:dyDescent="0.25">
      <c r="A26" s="79" t="s">
        <v>324</v>
      </c>
      <c r="B26" s="79" t="s">
        <v>469</v>
      </c>
    </row>
    <row r="27" spans="1:2" x14ac:dyDescent="0.25">
      <c r="A27" s="80">
        <v>0</v>
      </c>
      <c r="B27" s="81">
        <v>1</v>
      </c>
    </row>
    <row r="28" spans="1:2" x14ac:dyDescent="0.25">
      <c r="A28" s="80">
        <v>1</v>
      </c>
      <c r="B28" s="81">
        <v>1.02</v>
      </c>
    </row>
    <row r="29" spans="1:2" x14ac:dyDescent="0.25">
      <c r="A29" s="80">
        <v>2</v>
      </c>
      <c r="B29" s="81">
        <v>1.04</v>
      </c>
    </row>
    <row r="30" spans="1:2" x14ac:dyDescent="0.25">
      <c r="A30" s="80">
        <v>3</v>
      </c>
      <c r="B30" s="81">
        <v>1.06</v>
      </c>
    </row>
    <row r="31" spans="1:2" x14ac:dyDescent="0.25">
      <c r="A31" s="80">
        <v>4</v>
      </c>
      <c r="B31" s="81">
        <v>1.08</v>
      </c>
    </row>
    <row r="32" spans="1:2" x14ac:dyDescent="0.25">
      <c r="A32" s="80">
        <v>5</v>
      </c>
      <c r="B32" s="81">
        <v>1.1000000000000001</v>
      </c>
    </row>
    <row r="33" spans="1:2" x14ac:dyDescent="0.25">
      <c r="A33" s="80">
        <v>6</v>
      </c>
      <c r="B33" s="81">
        <v>1.1299999999999999</v>
      </c>
    </row>
    <row r="34" spans="1:2" x14ac:dyDescent="0.25">
      <c r="A34" s="80">
        <v>7</v>
      </c>
      <c r="B34" s="81">
        <v>1.1499999999999999</v>
      </c>
    </row>
    <row r="35" spans="1:2" x14ac:dyDescent="0.25">
      <c r="A35" s="80">
        <v>8</v>
      </c>
      <c r="B35" s="81">
        <v>1.17</v>
      </c>
    </row>
    <row r="36" spans="1:2" x14ac:dyDescent="0.25">
      <c r="A36" s="80">
        <v>9</v>
      </c>
      <c r="B36" s="81">
        <v>1.2</v>
      </c>
    </row>
    <row r="37" spans="1:2" x14ac:dyDescent="0.25">
      <c r="A37" s="80">
        <v>10</v>
      </c>
      <c r="B37" s="81">
        <v>1.22</v>
      </c>
    </row>
    <row r="38" spans="1:2" x14ac:dyDescent="0.25">
      <c r="A38" s="80">
        <v>11</v>
      </c>
      <c r="B38" s="81">
        <v>1.24</v>
      </c>
    </row>
    <row r="39" spans="1:2" x14ac:dyDescent="0.25">
      <c r="A39" s="80">
        <v>12</v>
      </c>
      <c r="B39" s="81">
        <v>1.27</v>
      </c>
    </row>
    <row r="40" spans="1:2" x14ac:dyDescent="0.25">
      <c r="A40" s="80">
        <v>13</v>
      </c>
      <c r="B40" s="81">
        <v>1.29</v>
      </c>
    </row>
    <row r="41" spans="1:2" x14ac:dyDescent="0.25">
      <c r="A41" s="80">
        <v>14</v>
      </c>
      <c r="B41" s="81">
        <v>1.32</v>
      </c>
    </row>
    <row r="42" spans="1:2" x14ac:dyDescent="0.25">
      <c r="A42" s="80">
        <v>15</v>
      </c>
      <c r="B42" s="81">
        <v>1.35</v>
      </c>
    </row>
    <row r="43" spans="1:2" x14ac:dyDescent="0.25">
      <c r="A43" s="80">
        <v>16</v>
      </c>
      <c r="B43" s="81">
        <v>1.37</v>
      </c>
    </row>
    <row r="44" spans="1:2" x14ac:dyDescent="0.25">
      <c r="A44" s="80">
        <v>17</v>
      </c>
      <c r="B44" s="81">
        <v>1.4</v>
      </c>
    </row>
    <row r="45" spans="1:2" x14ac:dyDescent="0.25">
      <c r="A45" s="80">
        <v>18</v>
      </c>
      <c r="B45" s="81">
        <v>1.43</v>
      </c>
    </row>
    <row r="46" spans="1:2" x14ac:dyDescent="0.25">
      <c r="A46" s="80">
        <v>19</v>
      </c>
      <c r="B46" s="81">
        <v>1.46</v>
      </c>
    </row>
    <row r="47" spans="1:2" x14ac:dyDescent="0.25">
      <c r="A47" s="80">
        <v>20</v>
      </c>
      <c r="B47" s="81">
        <v>1.49</v>
      </c>
    </row>
    <row r="48" spans="1:2" x14ac:dyDescent="0.25">
      <c r="A48" s="80">
        <v>21</v>
      </c>
      <c r="B48" s="81">
        <v>1.52</v>
      </c>
    </row>
    <row r="49" spans="1:2" x14ac:dyDescent="0.25">
      <c r="A49" s="80">
        <v>22</v>
      </c>
      <c r="B49" s="81">
        <v>1.55</v>
      </c>
    </row>
    <row r="50" spans="1:2" x14ac:dyDescent="0.25">
      <c r="A50" s="80">
        <v>23</v>
      </c>
      <c r="B50" s="81">
        <v>1.58</v>
      </c>
    </row>
    <row r="51" spans="1:2" x14ac:dyDescent="0.25">
      <c r="A51" s="80">
        <v>24</v>
      </c>
      <c r="B51" s="81">
        <v>1.61</v>
      </c>
    </row>
    <row r="52" spans="1:2" x14ac:dyDescent="0.25">
      <c r="A52" s="80">
        <v>25</v>
      </c>
      <c r="B52" s="81">
        <v>1.64</v>
      </c>
    </row>
    <row r="53" spans="1:2" x14ac:dyDescent="0.25">
      <c r="A53" s="80">
        <v>26</v>
      </c>
      <c r="B53" s="81">
        <v>1.67</v>
      </c>
    </row>
    <row r="54" spans="1:2" x14ac:dyDescent="0.25">
      <c r="A54" s="80">
        <v>27</v>
      </c>
      <c r="B54" s="81">
        <v>1.71</v>
      </c>
    </row>
    <row r="55" spans="1:2" x14ac:dyDescent="0.25">
      <c r="A55" s="80">
        <v>28</v>
      </c>
      <c r="B55" s="81">
        <v>1.74</v>
      </c>
    </row>
    <row r="56" spans="1:2" x14ac:dyDescent="0.25">
      <c r="A56" s="80">
        <v>29</v>
      </c>
      <c r="B56" s="81">
        <v>1.78</v>
      </c>
    </row>
    <row r="57" spans="1:2" x14ac:dyDescent="0.25">
      <c r="A57" s="80">
        <v>30</v>
      </c>
      <c r="B57" s="81">
        <v>1.81</v>
      </c>
    </row>
    <row r="58" spans="1:2" x14ac:dyDescent="0.25">
      <c r="A58" s="80">
        <v>31</v>
      </c>
      <c r="B58" s="81">
        <v>1.85</v>
      </c>
    </row>
    <row r="59" spans="1:2" x14ac:dyDescent="0.25">
      <c r="A59" s="80">
        <v>32</v>
      </c>
      <c r="B59" s="81">
        <v>1.88</v>
      </c>
    </row>
    <row r="60" spans="1:2" x14ac:dyDescent="0.25">
      <c r="A60" s="80">
        <v>33</v>
      </c>
      <c r="B60" s="81">
        <v>1.92</v>
      </c>
    </row>
    <row r="61" spans="1:2" x14ac:dyDescent="0.25">
      <c r="A61" s="80">
        <v>34</v>
      </c>
      <c r="B61" s="81">
        <v>1.96</v>
      </c>
    </row>
    <row r="62" spans="1:2" x14ac:dyDescent="0.25">
      <c r="A62" s="80">
        <v>35</v>
      </c>
      <c r="B62" s="81">
        <v>2</v>
      </c>
    </row>
    <row r="63" spans="1:2" x14ac:dyDescent="0.25">
      <c r="A63" s="80">
        <v>36</v>
      </c>
      <c r="B63" s="81">
        <v>2.04</v>
      </c>
    </row>
    <row r="64" spans="1:2" x14ac:dyDescent="0.25">
      <c r="A64" s="80">
        <v>37</v>
      </c>
      <c r="B64" s="81">
        <v>2.08</v>
      </c>
    </row>
    <row r="65" spans="1:2" x14ac:dyDescent="0.25">
      <c r="A65" s="80">
        <v>38</v>
      </c>
      <c r="B65" s="81">
        <v>2.12</v>
      </c>
    </row>
    <row r="66" spans="1:2" x14ac:dyDescent="0.25">
      <c r="A66" s="80">
        <v>39</v>
      </c>
      <c r="B66" s="81">
        <v>2.16</v>
      </c>
    </row>
    <row r="67" spans="1:2" x14ac:dyDescent="0.25">
      <c r="A67" s="80">
        <v>40</v>
      </c>
      <c r="B67" s="81">
        <v>2.21</v>
      </c>
    </row>
  </sheetData>
  <sheetProtection algorithmName="SHA-512" hashValue="fWgPPvqDWd5VUMMh+fOIa0jmUHUeivz1hgkQXgPyxW3X11a+VAbi9NRYyltxhDWDxhgfMoyk7wsFI4pbFGi/2w==" saltValue="7tHBrpoDoQNdUSIT+AALvg==" spinCount="100000" sheet="1" objects="1" scenarios="1"/>
  <conditionalFormatting sqref="A6:A21">
    <cfRule type="expression" dxfId="49" priority="1" stopIfTrue="1">
      <formula>MOD(ROW(),2)=0</formula>
    </cfRule>
    <cfRule type="expression" dxfId="48" priority="2" stopIfTrue="1">
      <formula>MOD(ROW(),2)&lt;&gt;0</formula>
    </cfRule>
  </conditionalFormatting>
  <conditionalFormatting sqref="A26:A67">
    <cfRule type="expression" dxfId="47" priority="15" stopIfTrue="1">
      <formula>MOD(ROW(),2)=0</formula>
    </cfRule>
    <cfRule type="expression" dxfId="46" priority="16" stopIfTrue="1">
      <formula>MOD(ROW(),2)&lt;&gt;0</formula>
    </cfRule>
  </conditionalFormatting>
  <conditionalFormatting sqref="B6:B21">
    <cfRule type="expression" dxfId="45" priority="21" stopIfTrue="1">
      <formula>MOD(ROW(),2)=0</formula>
    </cfRule>
    <cfRule type="expression" dxfId="44" priority="22" stopIfTrue="1">
      <formula>MOD(ROW(),2)&lt;&gt;0</formula>
    </cfRule>
  </conditionalFormatting>
  <conditionalFormatting sqref="B17:B20">
    <cfRule type="expression" dxfId="43" priority="5" stopIfTrue="1">
      <formula>MOD(ROW(),2)=0</formula>
    </cfRule>
    <cfRule type="expression" dxfId="42" priority="6" stopIfTrue="1">
      <formula>MOD(ROW(),2)&lt;&gt;0</formula>
    </cfRule>
  </conditionalFormatting>
  <conditionalFormatting sqref="B26:B67">
    <cfRule type="expression" dxfId="41" priority="17" stopIfTrue="1">
      <formula>MOD(ROW(),2)=0</formula>
    </cfRule>
    <cfRule type="expression" dxfId="40" priority="18" stopIfTrue="1">
      <formula>MOD(ROW(),2)&lt;&gt;0</formula>
    </cfRule>
  </conditionalFormatting>
  <hyperlinks>
    <hyperlink ref="B24" location="Assumptions!A1" display="Assumptions" xr:uid="{CBF719A3-B1DF-4665-964A-C6C15C056A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280F-00B4-487C-8D17-7959FC425772}">
  <sheetPr codeName="Sheet96"/>
  <dimension ref="A1:K36"/>
  <sheetViews>
    <sheetView showGridLines="0" zoomScale="84" zoomScaleNormal="84" workbookViewId="0">
      <selection activeCell="B23" sqref="B23"/>
    </sheetView>
  </sheetViews>
  <sheetFormatPr defaultColWidth="10" defaultRowHeight="13.2" x14ac:dyDescent="0.25"/>
  <cols>
    <col min="1" max="1" width="31.21875" style="27" customWidth="1"/>
    <col min="2" max="3" width="29.5546875" style="27" customWidth="1"/>
    <col min="4" max="4" width="12.44140625" style="27" customWidth="1"/>
    <col min="5" max="5" width="13.21875" style="27" customWidth="1"/>
    <col min="6" max="6" width="25.77734375" style="27" customWidth="1"/>
    <col min="7" max="7" width="29.5546875" style="27" customWidth="1"/>
    <col min="8" max="9" width="14.44140625" style="27" customWidth="1"/>
    <col min="10" max="10" width="25.77734375" style="27" customWidth="1"/>
    <col min="11" max="11" width="29.5546875" style="27" customWidth="1"/>
    <col min="12" max="16384" width="10" style="27"/>
  </cols>
  <sheetData>
    <row r="1" spans="1:11" ht="21" x14ac:dyDescent="0.4">
      <c r="A1" s="39" t="s">
        <v>0</v>
      </c>
      <c r="B1" s="40"/>
      <c r="C1" s="40"/>
      <c r="D1" s="40"/>
      <c r="E1" s="40"/>
      <c r="F1" s="40"/>
      <c r="G1" s="40"/>
      <c r="H1" s="40"/>
      <c r="I1" s="40"/>
      <c r="J1" s="40"/>
      <c r="K1" s="40"/>
    </row>
    <row r="2" spans="1:11" ht="15.6" x14ac:dyDescent="0.3">
      <c r="A2" s="41" t="str">
        <f>IF(title="&gt; Enter workbook title here","Enter workbook title in Cover sheet",title)</f>
        <v>Fire England - Consolidated Factor Spreadsheet</v>
      </c>
      <c r="B2" s="42"/>
      <c r="C2" s="42"/>
      <c r="D2" s="42"/>
      <c r="E2" s="42"/>
      <c r="F2" s="42"/>
      <c r="G2" s="42"/>
      <c r="H2" s="42"/>
      <c r="I2" s="42"/>
      <c r="J2" s="42"/>
      <c r="K2" s="42"/>
    </row>
    <row r="3" spans="1:11" ht="15.6" x14ac:dyDescent="0.3">
      <c r="A3" s="43" t="str">
        <f>TABLE_FACTOR_TYPE_1&amp;" - x-"&amp;TABLE_SERIES_NUMBER_1</f>
        <v>Conversion Factors - x-802</v>
      </c>
      <c r="B3" s="42"/>
      <c r="C3" s="42"/>
      <c r="D3" s="42"/>
      <c r="E3" s="42"/>
      <c r="F3" s="42"/>
      <c r="G3" s="42"/>
      <c r="H3" s="42"/>
      <c r="I3" s="42"/>
      <c r="J3" s="42"/>
      <c r="K3" s="42"/>
    </row>
    <row r="4" spans="1:11" x14ac:dyDescent="0.25">
      <c r="A4" s="44"/>
    </row>
    <row r="6" spans="1:11" x14ac:dyDescent="0.25">
      <c r="A6" s="74" t="s">
        <v>334</v>
      </c>
      <c r="B6" s="148" t="s">
        <v>335</v>
      </c>
      <c r="C6" s="148"/>
      <c r="F6" s="74" t="s">
        <v>334</v>
      </c>
      <c r="G6" s="148" t="s">
        <v>335</v>
      </c>
      <c r="J6" s="74" t="s">
        <v>334</v>
      </c>
      <c r="K6" s="148" t="s">
        <v>335</v>
      </c>
    </row>
    <row r="7" spans="1:11" x14ac:dyDescent="0.25">
      <c r="A7" s="76" t="s">
        <v>78</v>
      </c>
      <c r="B7" s="148" t="s">
        <v>67</v>
      </c>
      <c r="C7" s="148"/>
      <c r="F7" s="76" t="s">
        <v>78</v>
      </c>
      <c r="G7" s="148" t="s">
        <v>67</v>
      </c>
      <c r="J7" s="76" t="s">
        <v>78</v>
      </c>
      <c r="K7" s="148" t="s">
        <v>67</v>
      </c>
    </row>
    <row r="8" spans="1:11" x14ac:dyDescent="0.25">
      <c r="A8" s="76" t="s">
        <v>79</v>
      </c>
      <c r="B8" s="148">
        <v>2006</v>
      </c>
      <c r="C8" s="148"/>
      <c r="F8" s="76" t="s">
        <v>79</v>
      </c>
      <c r="G8" s="148">
        <v>2006</v>
      </c>
      <c r="J8" s="76" t="s">
        <v>79</v>
      </c>
      <c r="K8" s="148">
        <v>2006</v>
      </c>
    </row>
    <row r="9" spans="1:11" x14ac:dyDescent="0.25">
      <c r="A9" s="76" t="s">
        <v>80</v>
      </c>
      <c r="B9" s="148" t="s">
        <v>326</v>
      </c>
      <c r="C9" s="148"/>
      <c r="F9" s="76" t="s">
        <v>80</v>
      </c>
      <c r="G9" s="148" t="s">
        <v>326</v>
      </c>
      <c r="J9" s="76" t="s">
        <v>80</v>
      </c>
      <c r="K9" s="148" t="s">
        <v>326</v>
      </c>
    </row>
    <row r="10" spans="1:11" x14ac:dyDescent="0.25">
      <c r="A10" s="76" t="s">
        <v>6</v>
      </c>
      <c r="B10" s="148" t="s">
        <v>327</v>
      </c>
      <c r="C10" s="148"/>
      <c r="F10" s="76" t="s">
        <v>6</v>
      </c>
      <c r="G10" s="148" t="s">
        <v>330</v>
      </c>
      <c r="J10" s="76" t="s">
        <v>6</v>
      </c>
      <c r="K10" s="148" t="s">
        <v>332</v>
      </c>
    </row>
    <row r="11" spans="1:11" x14ac:dyDescent="0.25">
      <c r="A11" s="76" t="s">
        <v>81</v>
      </c>
      <c r="B11" s="148" t="s">
        <v>161</v>
      </c>
      <c r="C11" s="148"/>
      <c r="F11" s="76" t="s">
        <v>81</v>
      </c>
      <c r="G11" s="148" t="s">
        <v>176</v>
      </c>
      <c r="J11" s="76" t="s">
        <v>81</v>
      </c>
      <c r="K11" s="148" t="s">
        <v>176</v>
      </c>
    </row>
    <row r="12" spans="1:11" x14ac:dyDescent="0.25">
      <c r="A12" s="76" t="s">
        <v>82</v>
      </c>
      <c r="B12" s="148" t="s">
        <v>95</v>
      </c>
      <c r="C12" s="148"/>
      <c r="F12" s="76" t="s">
        <v>82</v>
      </c>
      <c r="G12" s="148" t="s">
        <v>95</v>
      </c>
      <c r="J12" s="76" t="s">
        <v>82</v>
      </c>
      <c r="K12" s="148" t="s">
        <v>95</v>
      </c>
    </row>
    <row r="13" spans="1:11" x14ac:dyDescent="0.25">
      <c r="A13" s="76" t="s">
        <v>342</v>
      </c>
      <c r="B13" s="148">
        <v>1</v>
      </c>
      <c r="C13" s="148"/>
      <c r="F13" s="76" t="s">
        <v>342</v>
      </c>
      <c r="G13" s="148">
        <v>1</v>
      </c>
      <c r="J13" s="76" t="s">
        <v>342</v>
      </c>
      <c r="K13" s="148">
        <v>1</v>
      </c>
    </row>
    <row r="14" spans="1:11" x14ac:dyDescent="0.25">
      <c r="A14" s="76" t="s">
        <v>84</v>
      </c>
      <c r="B14" s="148">
        <v>802</v>
      </c>
      <c r="C14" s="148"/>
      <c r="F14" s="76" t="s">
        <v>84</v>
      </c>
      <c r="G14" s="148">
        <v>802</v>
      </c>
      <c r="J14" s="76" t="s">
        <v>84</v>
      </c>
      <c r="K14" s="148">
        <v>802</v>
      </c>
    </row>
    <row r="15" spans="1:11" x14ac:dyDescent="0.25">
      <c r="A15" s="76" t="s">
        <v>345</v>
      </c>
      <c r="B15" s="148" t="s">
        <v>328</v>
      </c>
      <c r="C15" s="148"/>
      <c r="F15" s="76" t="s">
        <v>345</v>
      </c>
      <c r="G15" s="148" t="s">
        <v>331</v>
      </c>
      <c r="J15" s="76" t="s">
        <v>345</v>
      </c>
      <c r="K15" s="148" t="s">
        <v>333</v>
      </c>
    </row>
    <row r="16" spans="1:11" x14ac:dyDescent="0.25">
      <c r="A16" s="76" t="s">
        <v>86</v>
      </c>
      <c r="B16" s="148" t="s">
        <v>315</v>
      </c>
      <c r="C16" s="148"/>
      <c r="F16" s="76" t="s">
        <v>86</v>
      </c>
      <c r="G16" s="148" t="s">
        <v>318</v>
      </c>
      <c r="J16" s="76" t="s">
        <v>86</v>
      </c>
      <c r="K16" s="148" t="s">
        <v>282</v>
      </c>
    </row>
    <row r="17" spans="1:11" x14ac:dyDescent="0.25">
      <c r="A17" s="76" t="s">
        <v>414</v>
      </c>
      <c r="B17" s="148"/>
      <c r="C17" s="148"/>
      <c r="F17" s="76" t="s">
        <v>414</v>
      </c>
      <c r="G17" s="148"/>
      <c r="J17" s="76" t="s">
        <v>414</v>
      </c>
      <c r="K17" s="148"/>
    </row>
    <row r="18" spans="1:11" x14ac:dyDescent="0.25">
      <c r="A18" s="76" t="s">
        <v>88</v>
      </c>
      <c r="B18" s="152"/>
      <c r="C18" s="148"/>
      <c r="F18" s="76" t="s">
        <v>88</v>
      </c>
      <c r="G18" s="152"/>
      <c r="J18" s="76" t="s">
        <v>88</v>
      </c>
      <c r="K18" s="152"/>
    </row>
    <row r="19" spans="1:11" ht="26.4" x14ac:dyDescent="0.25">
      <c r="A19" s="76" t="s">
        <v>89</v>
      </c>
      <c r="B19" s="152"/>
      <c r="C19" s="148"/>
      <c r="F19" s="76" t="s">
        <v>89</v>
      </c>
      <c r="G19" s="152"/>
      <c r="J19" s="76" t="s">
        <v>89</v>
      </c>
      <c r="K19" s="152"/>
    </row>
    <row r="20" spans="1:11" x14ac:dyDescent="0.25">
      <c r="A20" s="76" t="s">
        <v>90</v>
      </c>
      <c r="B20" s="148" t="s">
        <v>329</v>
      </c>
      <c r="C20" s="148"/>
      <c r="F20" s="76" t="s">
        <v>90</v>
      </c>
      <c r="G20" s="148" t="s">
        <v>329</v>
      </c>
      <c r="J20" s="76" t="s">
        <v>90</v>
      </c>
      <c r="K20" s="148" t="s">
        <v>329</v>
      </c>
    </row>
    <row r="21" spans="1:11" x14ac:dyDescent="0.25">
      <c r="A21" s="72" t="s">
        <v>91</v>
      </c>
      <c r="B21" s="148"/>
      <c r="C21" s="148"/>
      <c r="F21" s="72" t="s">
        <v>91</v>
      </c>
      <c r="G21" s="148"/>
      <c r="J21" s="72" t="s">
        <v>91</v>
      </c>
      <c r="K21" s="148"/>
    </row>
    <row r="23" spans="1:11" x14ac:dyDescent="0.25">
      <c r="B23" s="89" t="str">
        <f>HYPERLINK("#'Factor List'!A1","Back to Factor List")</f>
        <v>Back to Factor List</v>
      </c>
      <c r="C23" s="89"/>
      <c r="G23" s="89" t="str">
        <f>HYPERLINK("#'Factor List'!A1","Back to Factor List")</f>
        <v>Back to Factor List</v>
      </c>
      <c r="K23" s="89" t="str">
        <f>HYPERLINK("#'Factor List'!A1","Back to Factor List")</f>
        <v>Back to Factor List</v>
      </c>
    </row>
    <row r="24" spans="1:11" x14ac:dyDescent="0.25">
      <c r="B24" s="89" t="s">
        <v>13</v>
      </c>
      <c r="C24" s="89"/>
      <c r="G24" s="89" t="s">
        <v>13</v>
      </c>
      <c r="K24" s="89" t="s">
        <v>13</v>
      </c>
    </row>
    <row r="25" spans="1:11" x14ac:dyDescent="0.25">
      <c r="B25" s="89"/>
      <c r="C25" s="89"/>
      <c r="G25" s="89"/>
      <c r="K25" s="89"/>
    </row>
    <row r="26" spans="1:11" ht="26.4" x14ac:dyDescent="0.25">
      <c r="A26" s="79" t="s">
        <v>95</v>
      </c>
      <c r="B26" s="79" t="s">
        <v>470</v>
      </c>
      <c r="C26" s="79" t="s">
        <v>471</v>
      </c>
      <c r="F26" s="79" t="s">
        <v>95</v>
      </c>
      <c r="G26" s="79" t="s">
        <v>326</v>
      </c>
      <c r="J26" s="79" t="s">
        <v>95</v>
      </c>
      <c r="K26" s="79" t="s">
        <v>470</v>
      </c>
    </row>
    <row r="27" spans="1:11" x14ac:dyDescent="0.25">
      <c r="A27" s="83" t="s">
        <v>472</v>
      </c>
      <c r="B27" s="143"/>
      <c r="C27" s="143"/>
      <c r="F27" s="83" t="s">
        <v>473</v>
      </c>
      <c r="G27" s="143"/>
      <c r="J27" s="83" t="s">
        <v>472</v>
      </c>
      <c r="K27" s="143"/>
    </row>
    <row r="28" spans="1:11" x14ac:dyDescent="0.25">
      <c r="A28" s="80">
        <v>56</v>
      </c>
      <c r="B28" s="143"/>
      <c r="C28" s="143"/>
      <c r="F28" s="83">
        <v>36</v>
      </c>
      <c r="G28" s="143"/>
      <c r="J28" s="80">
        <v>56</v>
      </c>
      <c r="K28" s="143"/>
    </row>
    <row r="29" spans="1:11" x14ac:dyDescent="0.25">
      <c r="A29" s="80">
        <v>57</v>
      </c>
      <c r="B29" s="143"/>
      <c r="C29" s="143"/>
      <c r="F29" s="83">
        <v>37</v>
      </c>
      <c r="G29" s="143"/>
      <c r="J29" s="80">
        <v>57</v>
      </c>
      <c r="K29" s="143"/>
    </row>
    <row r="30" spans="1:11" x14ac:dyDescent="0.25">
      <c r="A30" s="80">
        <v>58</v>
      </c>
      <c r="B30" s="143"/>
      <c r="C30" s="143"/>
      <c r="F30" s="83">
        <v>38</v>
      </c>
      <c r="G30" s="143"/>
      <c r="J30" s="80">
        <v>58</v>
      </c>
      <c r="K30" s="143"/>
    </row>
    <row r="31" spans="1:11" x14ac:dyDescent="0.25">
      <c r="A31" s="80">
        <v>59</v>
      </c>
      <c r="B31" s="143"/>
      <c r="C31" s="143"/>
      <c r="F31" s="83">
        <v>39</v>
      </c>
      <c r="G31" s="143"/>
      <c r="J31" s="80">
        <v>59</v>
      </c>
      <c r="K31" s="143"/>
    </row>
    <row r="32" spans="1:11" x14ac:dyDescent="0.25">
      <c r="F32" s="83" t="s">
        <v>474</v>
      </c>
      <c r="G32" s="143"/>
    </row>
    <row r="33" spans="6:7" x14ac:dyDescent="0.25">
      <c r="F33" s="83">
        <v>56</v>
      </c>
      <c r="G33" s="143"/>
    </row>
    <row r="34" spans="6:7" x14ac:dyDescent="0.25">
      <c r="F34" s="83">
        <v>57</v>
      </c>
      <c r="G34" s="143"/>
    </row>
    <row r="35" spans="6:7" x14ac:dyDescent="0.25">
      <c r="F35" s="83">
        <v>58</v>
      </c>
      <c r="G35" s="143"/>
    </row>
    <row r="36" spans="6:7" x14ac:dyDescent="0.25">
      <c r="F36" s="83">
        <v>59</v>
      </c>
      <c r="G36" s="143"/>
    </row>
  </sheetData>
  <sheetProtection algorithmName="SHA-512" hashValue="Mr94YdrTbPRq+bT7Q+4YMYYqHY0ahZo1xcQi5GAwLry0wCONoeZZrqXRa+mepF6VvQU2y3Og6ufHtqVrh3HrkA==" saltValue="5DwelRB8+fSUJG5XckrclQ==" spinCount="100000" sheet="1" objects="1" scenarios="1"/>
  <conditionalFormatting sqref="A6:A21">
    <cfRule type="expression" dxfId="39" priority="94" stopIfTrue="1">
      <formula>MOD(ROW(),2)&lt;&gt;0</formula>
    </cfRule>
    <cfRule type="expression" dxfId="38" priority="93" stopIfTrue="1">
      <formula>MOD(ROW(),2)=0</formula>
    </cfRule>
  </conditionalFormatting>
  <conditionalFormatting sqref="A26:A31">
    <cfRule type="expression" dxfId="37" priority="103" stopIfTrue="1">
      <formula>MOD(ROW(),2)=0</formula>
    </cfRule>
    <cfRule type="expression" dxfId="36" priority="104" stopIfTrue="1">
      <formula>MOD(ROW(),2)&lt;&gt;0</formula>
    </cfRule>
  </conditionalFormatting>
  <conditionalFormatting sqref="B6:C21">
    <cfRule type="expression" dxfId="35" priority="110" stopIfTrue="1">
      <formula>MOD(ROW(),2)&lt;&gt;0</formula>
    </cfRule>
    <cfRule type="expression" dxfId="34" priority="109" stopIfTrue="1">
      <formula>MOD(ROW(),2)=0</formula>
    </cfRule>
  </conditionalFormatting>
  <conditionalFormatting sqref="B12:C12">
    <cfRule type="expression" dxfId="33" priority="92" stopIfTrue="1">
      <formula>MOD(ROW(),2)&lt;&gt;0</formula>
    </cfRule>
    <cfRule type="expression" dxfId="32" priority="91" stopIfTrue="1">
      <formula>MOD(ROW(),2)=0</formula>
    </cfRule>
  </conditionalFormatting>
  <conditionalFormatting sqref="B18:C20">
    <cfRule type="expression" dxfId="31" priority="96" stopIfTrue="1">
      <formula>MOD(ROW(),2)&lt;&gt;0</formula>
    </cfRule>
    <cfRule type="expression" dxfId="30" priority="95" stopIfTrue="1">
      <formula>MOD(ROW(),2)=0</formula>
    </cfRule>
  </conditionalFormatting>
  <conditionalFormatting sqref="B26:C31">
    <cfRule type="expression" dxfId="29" priority="106" stopIfTrue="1">
      <formula>MOD(ROW(),2)&lt;&gt;0</formula>
    </cfRule>
    <cfRule type="expression" dxfId="28" priority="105" stopIfTrue="1">
      <formula>MOD(ROW(),2)=0</formula>
    </cfRule>
  </conditionalFormatting>
  <conditionalFormatting sqref="F6:F21">
    <cfRule type="expression" dxfId="27" priority="33" stopIfTrue="1">
      <formula>MOD(ROW(),2)=0</formula>
    </cfRule>
    <cfRule type="expression" dxfId="26" priority="34" stopIfTrue="1">
      <formula>MOD(ROW(),2)&lt;&gt;0</formula>
    </cfRule>
  </conditionalFormatting>
  <conditionalFormatting sqref="F26:F36">
    <cfRule type="expression" dxfId="25" priority="44" stopIfTrue="1">
      <formula>MOD(ROW(),2)&lt;&gt;0</formula>
    </cfRule>
    <cfRule type="expression" dxfId="24" priority="43" stopIfTrue="1">
      <formula>MOD(ROW(),2)=0</formula>
    </cfRule>
  </conditionalFormatting>
  <conditionalFormatting sqref="G6:G21">
    <cfRule type="expression" dxfId="23" priority="50" stopIfTrue="1">
      <formula>MOD(ROW(),2)&lt;&gt;0</formula>
    </cfRule>
    <cfRule type="expression" dxfId="22" priority="49" stopIfTrue="1">
      <formula>MOD(ROW(),2)=0</formula>
    </cfRule>
  </conditionalFormatting>
  <conditionalFormatting sqref="G12">
    <cfRule type="expression" dxfId="21" priority="5" stopIfTrue="1">
      <formula>MOD(ROW(),2)=0</formula>
    </cfRule>
    <cfRule type="expression" dxfId="20" priority="6" stopIfTrue="1">
      <formula>MOD(ROW(),2)&lt;&gt;0</formula>
    </cfRule>
  </conditionalFormatting>
  <conditionalFormatting sqref="G14">
    <cfRule type="expression" dxfId="19" priority="10" stopIfTrue="1">
      <formula>MOD(ROW(),2)&lt;&gt;0</formula>
    </cfRule>
    <cfRule type="expression" dxfId="18" priority="9" stopIfTrue="1">
      <formula>MOD(ROW(),2)=0</formula>
    </cfRule>
  </conditionalFormatting>
  <conditionalFormatting sqref="G17:G20">
    <cfRule type="expression" dxfId="17" priority="35" stopIfTrue="1">
      <formula>MOD(ROW(),2)=0</formula>
    </cfRule>
    <cfRule type="expression" dxfId="16" priority="36" stopIfTrue="1">
      <formula>MOD(ROW(),2)&lt;&gt;0</formula>
    </cfRule>
  </conditionalFormatting>
  <conditionalFormatting sqref="G26:G36">
    <cfRule type="expression" dxfId="15" priority="46" stopIfTrue="1">
      <formula>MOD(ROW(),2)&lt;&gt;0</formula>
    </cfRule>
    <cfRule type="expression" dxfId="14" priority="45" stopIfTrue="1">
      <formula>MOD(ROW(),2)=0</formula>
    </cfRule>
  </conditionalFormatting>
  <conditionalFormatting sqref="J6:J21">
    <cfRule type="expression" dxfId="13" priority="13" stopIfTrue="1">
      <formula>MOD(ROW(),2)=0</formula>
    </cfRule>
    <cfRule type="expression" dxfId="12" priority="14" stopIfTrue="1">
      <formula>MOD(ROW(),2)&lt;&gt;0</formula>
    </cfRule>
  </conditionalFormatting>
  <conditionalFormatting sqref="J26:J31">
    <cfRule type="expression" dxfId="11" priority="23" stopIfTrue="1">
      <formula>MOD(ROW(),2)=0</formula>
    </cfRule>
    <cfRule type="expression" dxfId="10" priority="24" stopIfTrue="1">
      <formula>MOD(ROW(),2)&lt;&gt;0</formula>
    </cfRule>
  </conditionalFormatting>
  <conditionalFormatting sqref="K6:K21">
    <cfRule type="expression" dxfId="9" priority="30" stopIfTrue="1">
      <formula>MOD(ROW(),2)&lt;&gt;0</formula>
    </cfRule>
    <cfRule type="expression" dxfId="8" priority="29" stopIfTrue="1">
      <formula>MOD(ROW(),2)=0</formula>
    </cfRule>
  </conditionalFormatting>
  <conditionalFormatting sqref="K12">
    <cfRule type="expression" dxfId="7" priority="3" stopIfTrue="1">
      <formula>MOD(ROW(),2)=0</formula>
    </cfRule>
    <cfRule type="expression" dxfId="6" priority="4" stopIfTrue="1">
      <formula>MOD(ROW(),2)&lt;&gt;0</formula>
    </cfRule>
  </conditionalFormatting>
  <conditionalFormatting sqref="K14">
    <cfRule type="expression" dxfId="5" priority="8" stopIfTrue="1">
      <formula>MOD(ROW(),2)&lt;&gt;0</formula>
    </cfRule>
    <cfRule type="expression" dxfId="4" priority="7" stopIfTrue="1">
      <formula>MOD(ROW(),2)=0</formula>
    </cfRule>
  </conditionalFormatting>
  <conditionalFormatting sqref="K17:K20">
    <cfRule type="expression" dxfId="3" priority="16" stopIfTrue="1">
      <formula>MOD(ROW(),2)&lt;&gt;0</formula>
    </cfRule>
    <cfRule type="expression" dxfId="2" priority="15" stopIfTrue="1">
      <formula>MOD(ROW(),2)=0</formula>
    </cfRule>
  </conditionalFormatting>
  <conditionalFormatting sqref="K26:K31">
    <cfRule type="expression" dxfId="1" priority="26" stopIfTrue="1">
      <formula>MOD(ROW(),2)&lt;&gt;0</formula>
    </cfRule>
    <cfRule type="expression" dxfId="0" priority="25" stopIfTrue="1">
      <formula>MOD(ROW(),2)=0</formula>
    </cfRule>
  </conditionalFormatting>
  <hyperlinks>
    <hyperlink ref="B24" location="Assumptions!A1" display="Assumptions" xr:uid="{07A6DC1D-15D3-4E05-BDBD-E6DD1D178370}"/>
    <hyperlink ref="G24" location="Assumptions!A1" display="Assumptions" xr:uid="{379A71E0-05CF-42DB-B91A-6DDD2370F137}"/>
    <hyperlink ref="K24" location="Assumptions!A1" display="Assumptions" xr:uid="{54229C27-CFD7-4005-A631-7CB3E2D21E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4"/>
  <dimension ref="A1:C190"/>
  <sheetViews>
    <sheetView workbookViewId="0">
      <selection activeCell="B19" sqref="B19"/>
    </sheetView>
  </sheetViews>
  <sheetFormatPr defaultRowHeight="13.2" x14ac:dyDescent="0.25"/>
  <sheetData>
    <row r="1" spans="1:3" x14ac:dyDescent="0.25">
      <c r="A1" t="s">
        <v>475</v>
      </c>
    </row>
    <row r="3" spans="1:3" x14ac:dyDescent="0.25">
      <c r="A3" t="s">
        <v>476</v>
      </c>
      <c r="C3" t="s">
        <v>477</v>
      </c>
    </row>
    <row r="4" spans="1:3" x14ac:dyDescent="0.25">
      <c r="A4" t="s">
        <v>478</v>
      </c>
      <c r="C4" t="s">
        <v>479</v>
      </c>
    </row>
    <row r="5" spans="1:3" x14ac:dyDescent="0.25">
      <c r="A5" t="s">
        <v>480</v>
      </c>
      <c r="C5" t="s">
        <v>481</v>
      </c>
    </row>
    <row r="6" spans="1:3" x14ac:dyDescent="0.25">
      <c r="A6" t="s">
        <v>482</v>
      </c>
      <c r="C6" t="s">
        <v>483</v>
      </c>
    </row>
    <row r="7" spans="1:3" x14ac:dyDescent="0.25">
      <c r="A7" t="s">
        <v>484</v>
      </c>
      <c r="C7" t="s">
        <v>485</v>
      </c>
    </row>
    <row r="8" spans="1:3" x14ac:dyDescent="0.25">
      <c r="A8" t="s">
        <v>486</v>
      </c>
      <c r="C8" t="s">
        <v>487</v>
      </c>
    </row>
    <row r="9" spans="1:3" x14ac:dyDescent="0.25">
      <c r="A9" t="s">
        <v>488</v>
      </c>
      <c r="C9" t="s">
        <v>489</v>
      </c>
    </row>
    <row r="10" spans="1:3" x14ac:dyDescent="0.25">
      <c r="A10" t="s">
        <v>490</v>
      </c>
      <c r="C10" t="s">
        <v>491</v>
      </c>
    </row>
    <row r="11" spans="1:3" x14ac:dyDescent="0.25">
      <c r="A11" t="s">
        <v>492</v>
      </c>
      <c r="C11" t="s">
        <v>493</v>
      </c>
    </row>
    <row r="12" spans="1:3" x14ac:dyDescent="0.25">
      <c r="A12" t="s">
        <v>494</v>
      </c>
      <c r="C12" t="s">
        <v>495</v>
      </c>
    </row>
    <row r="13" spans="1:3" x14ac:dyDescent="0.25">
      <c r="A13" t="s">
        <v>496</v>
      </c>
      <c r="C13" t="s">
        <v>484</v>
      </c>
    </row>
    <row r="14" spans="1:3" x14ac:dyDescent="0.25">
      <c r="A14" t="s">
        <v>497</v>
      </c>
      <c r="C14" t="s">
        <v>498</v>
      </c>
    </row>
    <row r="15" spans="1:3" x14ac:dyDescent="0.25">
      <c r="A15" t="s">
        <v>499</v>
      </c>
      <c r="C15" t="s">
        <v>492</v>
      </c>
    </row>
    <row r="16" spans="1:3" x14ac:dyDescent="0.25">
      <c r="A16" t="s">
        <v>500</v>
      </c>
      <c r="C16" t="s">
        <v>501</v>
      </c>
    </row>
    <row r="17" spans="1:3" x14ac:dyDescent="0.25">
      <c r="A17" t="s">
        <v>502</v>
      </c>
      <c r="C17" t="s">
        <v>503</v>
      </c>
    </row>
    <row r="18" spans="1:3" x14ac:dyDescent="0.25">
      <c r="A18" t="s">
        <v>504</v>
      </c>
      <c r="C18" t="s">
        <v>505</v>
      </c>
    </row>
    <row r="19" spans="1:3" x14ac:dyDescent="0.25">
      <c r="A19" t="s">
        <v>506</v>
      </c>
      <c r="B19" s="8"/>
      <c r="C19" t="s">
        <v>507</v>
      </c>
    </row>
    <row r="20" spans="1:3" x14ac:dyDescent="0.25">
      <c r="A20" t="s">
        <v>508</v>
      </c>
      <c r="C20" t="s">
        <v>509</v>
      </c>
    </row>
    <row r="21" spans="1:3" x14ac:dyDescent="0.25">
      <c r="A21" t="s">
        <v>510</v>
      </c>
      <c r="C21" t="s">
        <v>511</v>
      </c>
    </row>
    <row r="22" spans="1:3" x14ac:dyDescent="0.25">
      <c r="A22" t="s">
        <v>512</v>
      </c>
      <c r="C22" t="s">
        <v>513</v>
      </c>
    </row>
    <row r="23" spans="1:3" x14ac:dyDescent="0.25">
      <c r="A23" t="s">
        <v>514</v>
      </c>
      <c r="C23" t="s">
        <v>515</v>
      </c>
    </row>
    <row r="24" spans="1:3" x14ac:dyDescent="0.25">
      <c r="A24" t="s">
        <v>516</v>
      </c>
      <c r="C24" t="s">
        <v>517</v>
      </c>
    </row>
    <row r="25" spans="1:3" x14ac:dyDescent="0.25">
      <c r="A25" t="s">
        <v>518</v>
      </c>
      <c r="C25" t="s">
        <v>519</v>
      </c>
    </row>
    <row r="26" spans="1:3" x14ac:dyDescent="0.25">
      <c r="A26" t="s">
        <v>520</v>
      </c>
      <c r="C26" t="s">
        <v>521</v>
      </c>
    </row>
    <row r="27" spans="1:3" x14ac:dyDescent="0.25">
      <c r="A27" t="s">
        <v>522</v>
      </c>
      <c r="C27" t="s">
        <v>523</v>
      </c>
    </row>
    <row r="28" spans="1:3" x14ac:dyDescent="0.25">
      <c r="A28" t="s">
        <v>524</v>
      </c>
      <c r="C28" t="s">
        <v>525</v>
      </c>
    </row>
    <row r="29" spans="1:3" x14ac:dyDescent="0.25">
      <c r="A29" t="s">
        <v>526</v>
      </c>
      <c r="C29" t="s">
        <v>527</v>
      </c>
    </row>
    <row r="30" spans="1:3" x14ac:dyDescent="0.25">
      <c r="A30" t="s">
        <v>528</v>
      </c>
      <c r="C30" t="s">
        <v>529</v>
      </c>
    </row>
    <row r="31" spans="1:3" x14ac:dyDescent="0.25">
      <c r="A31" t="s">
        <v>530</v>
      </c>
      <c r="C31" t="s">
        <v>531</v>
      </c>
    </row>
    <row r="32" spans="1:3" x14ac:dyDescent="0.25">
      <c r="A32" t="s">
        <v>532</v>
      </c>
      <c r="C32" t="s">
        <v>533</v>
      </c>
    </row>
    <row r="33" spans="1:3" x14ac:dyDescent="0.25">
      <c r="A33" t="s">
        <v>534</v>
      </c>
      <c r="C33" t="s">
        <v>535</v>
      </c>
    </row>
    <row r="34" spans="1:3" x14ac:dyDescent="0.25">
      <c r="A34" t="s">
        <v>536</v>
      </c>
      <c r="C34" t="s">
        <v>537</v>
      </c>
    </row>
    <row r="35" spans="1:3" x14ac:dyDescent="0.25">
      <c r="A35" t="s">
        <v>538</v>
      </c>
      <c r="C35" t="s">
        <v>539</v>
      </c>
    </row>
    <row r="36" spans="1:3" x14ac:dyDescent="0.25">
      <c r="A36" t="s">
        <v>540</v>
      </c>
      <c r="C36" t="s">
        <v>541</v>
      </c>
    </row>
    <row r="37" spans="1:3" x14ac:dyDescent="0.25">
      <c r="A37" t="s">
        <v>542</v>
      </c>
      <c r="C37" t="s">
        <v>543</v>
      </c>
    </row>
    <row r="38" spans="1:3" x14ac:dyDescent="0.25">
      <c r="A38" t="s">
        <v>544</v>
      </c>
      <c r="C38" t="s">
        <v>545</v>
      </c>
    </row>
    <row r="39" spans="1:3" x14ac:dyDescent="0.25">
      <c r="A39" t="s">
        <v>546</v>
      </c>
      <c r="C39" t="s">
        <v>547</v>
      </c>
    </row>
    <row r="40" spans="1:3" x14ac:dyDescent="0.25">
      <c r="A40" t="s">
        <v>548</v>
      </c>
      <c r="C40" t="s">
        <v>549</v>
      </c>
    </row>
    <row r="41" spans="1:3" x14ac:dyDescent="0.25">
      <c r="A41" t="s">
        <v>550</v>
      </c>
      <c r="C41" t="s">
        <v>551</v>
      </c>
    </row>
    <row r="42" spans="1:3" x14ac:dyDescent="0.25">
      <c r="A42" t="s">
        <v>552</v>
      </c>
      <c r="C42" t="s">
        <v>553</v>
      </c>
    </row>
    <row r="43" spans="1:3" x14ac:dyDescent="0.25">
      <c r="A43" t="s">
        <v>554</v>
      </c>
    </row>
    <row r="44" spans="1:3" x14ac:dyDescent="0.25">
      <c r="A44" t="s">
        <v>555</v>
      </c>
    </row>
    <row r="45" spans="1:3" x14ac:dyDescent="0.25">
      <c r="A45" t="s">
        <v>556</v>
      </c>
    </row>
    <row r="46" spans="1:3" x14ac:dyDescent="0.25">
      <c r="A46" t="s">
        <v>557</v>
      </c>
    </row>
    <row r="47" spans="1:3" x14ac:dyDescent="0.25">
      <c r="A47" t="s">
        <v>558</v>
      </c>
    </row>
    <row r="48" spans="1:3" x14ac:dyDescent="0.25">
      <c r="A48" t="s">
        <v>559</v>
      </c>
    </row>
    <row r="49" spans="1:1" x14ac:dyDescent="0.25">
      <c r="A49" t="s">
        <v>560</v>
      </c>
    </row>
    <row r="50" spans="1:1" x14ac:dyDescent="0.25">
      <c r="A50" t="s">
        <v>561</v>
      </c>
    </row>
    <row r="51" spans="1:1" x14ac:dyDescent="0.25">
      <c r="A51" t="s">
        <v>562</v>
      </c>
    </row>
    <row r="52" spans="1:1" x14ac:dyDescent="0.25">
      <c r="A52" t="s">
        <v>563</v>
      </c>
    </row>
    <row r="53" spans="1:1" x14ac:dyDescent="0.25">
      <c r="A53" t="s">
        <v>564</v>
      </c>
    </row>
    <row r="54" spans="1:1" x14ac:dyDescent="0.25">
      <c r="A54" t="s">
        <v>565</v>
      </c>
    </row>
    <row r="55" spans="1:1" x14ac:dyDescent="0.25">
      <c r="A55" t="s">
        <v>566</v>
      </c>
    </row>
    <row r="56" spans="1:1" x14ac:dyDescent="0.25">
      <c r="A56" t="s">
        <v>567</v>
      </c>
    </row>
    <row r="57" spans="1:1" x14ac:dyDescent="0.25">
      <c r="A57" t="s">
        <v>568</v>
      </c>
    </row>
    <row r="58" spans="1:1" x14ac:dyDescent="0.25">
      <c r="A58" t="s">
        <v>569</v>
      </c>
    </row>
    <row r="59" spans="1:1" x14ac:dyDescent="0.25">
      <c r="A59" t="s">
        <v>570</v>
      </c>
    </row>
    <row r="60" spans="1:1" x14ac:dyDescent="0.25">
      <c r="A60" t="s">
        <v>571</v>
      </c>
    </row>
    <row r="61" spans="1:1" x14ac:dyDescent="0.25">
      <c r="A61" t="s">
        <v>572</v>
      </c>
    </row>
    <row r="62" spans="1:1" x14ac:dyDescent="0.25">
      <c r="A62" t="s">
        <v>573</v>
      </c>
    </row>
    <row r="63" spans="1:1" x14ac:dyDescent="0.25">
      <c r="A63" t="s">
        <v>574</v>
      </c>
    </row>
    <row r="64" spans="1:1" x14ac:dyDescent="0.25">
      <c r="A64" t="s">
        <v>575</v>
      </c>
    </row>
    <row r="65" spans="1:1" x14ac:dyDescent="0.25">
      <c r="A65" t="s">
        <v>576</v>
      </c>
    </row>
    <row r="66" spans="1:1" x14ac:dyDescent="0.25">
      <c r="A66" t="s">
        <v>577</v>
      </c>
    </row>
    <row r="67" spans="1:1" x14ac:dyDescent="0.25">
      <c r="A67" t="s">
        <v>578</v>
      </c>
    </row>
    <row r="68" spans="1:1" x14ac:dyDescent="0.25">
      <c r="A68" t="s">
        <v>579</v>
      </c>
    </row>
    <row r="69" spans="1:1" x14ac:dyDescent="0.25">
      <c r="A69" t="s">
        <v>580</v>
      </c>
    </row>
    <row r="70" spans="1:1" x14ac:dyDescent="0.25">
      <c r="A70" t="s">
        <v>581</v>
      </c>
    </row>
    <row r="71" spans="1:1" x14ac:dyDescent="0.25">
      <c r="A71" t="s">
        <v>582</v>
      </c>
    </row>
    <row r="72" spans="1:1" x14ac:dyDescent="0.25">
      <c r="A72" t="s">
        <v>583</v>
      </c>
    </row>
    <row r="73" spans="1:1" x14ac:dyDescent="0.25">
      <c r="A73" t="s">
        <v>584</v>
      </c>
    </row>
    <row r="74" spans="1:1" x14ac:dyDescent="0.25">
      <c r="A74" t="s">
        <v>585</v>
      </c>
    </row>
    <row r="75" spans="1:1" x14ac:dyDescent="0.25">
      <c r="A75" t="s">
        <v>586</v>
      </c>
    </row>
    <row r="76" spans="1:1" x14ac:dyDescent="0.25">
      <c r="A76" t="s">
        <v>587</v>
      </c>
    </row>
    <row r="77" spans="1:1" x14ac:dyDescent="0.25">
      <c r="A77" t="s">
        <v>588</v>
      </c>
    </row>
    <row r="78" spans="1:1" x14ac:dyDescent="0.25">
      <c r="A78" t="s">
        <v>589</v>
      </c>
    </row>
    <row r="79" spans="1:1" x14ac:dyDescent="0.25">
      <c r="A79" t="s">
        <v>590</v>
      </c>
    </row>
    <row r="80" spans="1:1" x14ac:dyDescent="0.25">
      <c r="A80" t="s">
        <v>591</v>
      </c>
    </row>
    <row r="81" spans="1:1" x14ac:dyDescent="0.25">
      <c r="A81" t="s">
        <v>592</v>
      </c>
    </row>
    <row r="82" spans="1:1" x14ac:dyDescent="0.25">
      <c r="A82" t="s">
        <v>593</v>
      </c>
    </row>
    <row r="83" spans="1:1" x14ac:dyDescent="0.25">
      <c r="A83" t="s">
        <v>594</v>
      </c>
    </row>
    <row r="84" spans="1:1" x14ac:dyDescent="0.25">
      <c r="A84" t="s">
        <v>595</v>
      </c>
    </row>
    <row r="85" spans="1:1" x14ac:dyDescent="0.25">
      <c r="A85" t="s">
        <v>596</v>
      </c>
    </row>
    <row r="86" spans="1:1" x14ac:dyDescent="0.25">
      <c r="A86" t="s">
        <v>597</v>
      </c>
    </row>
    <row r="87" spans="1:1" x14ac:dyDescent="0.25">
      <c r="A87" t="s">
        <v>598</v>
      </c>
    </row>
    <row r="88" spans="1:1" x14ac:dyDescent="0.25">
      <c r="A88" t="s">
        <v>599</v>
      </c>
    </row>
    <row r="89" spans="1:1" x14ac:dyDescent="0.25">
      <c r="A89" t="s">
        <v>600</v>
      </c>
    </row>
    <row r="90" spans="1:1" x14ac:dyDescent="0.25">
      <c r="A90" t="s">
        <v>601</v>
      </c>
    </row>
    <row r="91" spans="1:1" x14ac:dyDescent="0.25">
      <c r="A91" t="s">
        <v>602</v>
      </c>
    </row>
    <row r="92" spans="1:1" x14ac:dyDescent="0.25">
      <c r="A92" t="s">
        <v>603</v>
      </c>
    </row>
    <row r="93" spans="1:1" x14ac:dyDescent="0.25">
      <c r="A93" t="s">
        <v>604</v>
      </c>
    </row>
    <row r="94" spans="1:1" x14ac:dyDescent="0.25">
      <c r="A94" t="s">
        <v>605</v>
      </c>
    </row>
    <row r="95" spans="1:1" x14ac:dyDescent="0.25">
      <c r="A95" t="s">
        <v>606</v>
      </c>
    </row>
    <row r="96" spans="1:1" x14ac:dyDescent="0.25">
      <c r="A96" t="s">
        <v>607</v>
      </c>
    </row>
    <row r="97" spans="1:1" x14ac:dyDescent="0.25">
      <c r="A97" t="s">
        <v>608</v>
      </c>
    </row>
    <row r="98" spans="1:1" x14ac:dyDescent="0.25">
      <c r="A98" t="s">
        <v>609</v>
      </c>
    </row>
    <row r="99" spans="1:1" x14ac:dyDescent="0.25">
      <c r="A99" t="s">
        <v>610</v>
      </c>
    </row>
    <row r="100" spans="1:1" x14ac:dyDescent="0.25">
      <c r="A100" t="s">
        <v>611</v>
      </c>
    </row>
    <row r="101" spans="1:1" x14ac:dyDescent="0.25">
      <c r="A101" t="s">
        <v>612</v>
      </c>
    </row>
    <row r="102" spans="1:1" x14ac:dyDescent="0.25">
      <c r="A102" t="s">
        <v>613</v>
      </c>
    </row>
    <row r="103" spans="1:1" x14ac:dyDescent="0.25">
      <c r="A103" t="s">
        <v>614</v>
      </c>
    </row>
    <row r="104" spans="1:1" x14ac:dyDescent="0.25">
      <c r="A104" t="s">
        <v>615</v>
      </c>
    </row>
    <row r="105" spans="1:1" x14ac:dyDescent="0.25">
      <c r="A105" t="s">
        <v>616</v>
      </c>
    </row>
    <row r="106" spans="1:1" x14ac:dyDescent="0.25">
      <c r="A106" t="s">
        <v>617</v>
      </c>
    </row>
    <row r="107" spans="1:1" x14ac:dyDescent="0.25">
      <c r="A107" t="s">
        <v>618</v>
      </c>
    </row>
    <row r="108" spans="1:1" x14ac:dyDescent="0.25">
      <c r="A108" t="s">
        <v>619</v>
      </c>
    </row>
    <row r="109" spans="1:1" x14ac:dyDescent="0.25">
      <c r="A109" t="s">
        <v>620</v>
      </c>
    </row>
    <row r="110" spans="1:1" x14ac:dyDescent="0.25">
      <c r="A110" t="s">
        <v>621</v>
      </c>
    </row>
    <row r="111" spans="1:1" x14ac:dyDescent="0.25">
      <c r="A111" t="s">
        <v>622</v>
      </c>
    </row>
    <row r="112" spans="1:1" x14ac:dyDescent="0.25">
      <c r="A112" t="s">
        <v>623</v>
      </c>
    </row>
    <row r="113" spans="1:1" x14ac:dyDescent="0.25">
      <c r="A113" t="s">
        <v>624</v>
      </c>
    </row>
    <row r="114" spans="1:1" x14ac:dyDescent="0.25">
      <c r="A114" t="s">
        <v>625</v>
      </c>
    </row>
    <row r="115" spans="1:1" x14ac:dyDescent="0.25">
      <c r="A115" t="s">
        <v>626</v>
      </c>
    </row>
    <row r="116" spans="1:1" x14ac:dyDescent="0.25">
      <c r="A116" t="s">
        <v>627</v>
      </c>
    </row>
    <row r="117" spans="1:1" x14ac:dyDescent="0.25">
      <c r="A117" t="s">
        <v>628</v>
      </c>
    </row>
    <row r="118" spans="1:1" x14ac:dyDescent="0.25">
      <c r="A118" t="s">
        <v>629</v>
      </c>
    </row>
    <row r="119" spans="1:1" x14ac:dyDescent="0.25">
      <c r="A119" t="s">
        <v>630</v>
      </c>
    </row>
    <row r="120" spans="1:1" x14ac:dyDescent="0.25">
      <c r="A120" t="s">
        <v>631</v>
      </c>
    </row>
    <row r="121" spans="1:1" x14ac:dyDescent="0.25">
      <c r="A121" t="s">
        <v>632</v>
      </c>
    </row>
    <row r="122" spans="1:1" x14ac:dyDescent="0.25">
      <c r="A122" t="s">
        <v>633</v>
      </c>
    </row>
    <row r="123" spans="1:1" x14ac:dyDescent="0.25">
      <c r="A123" t="s">
        <v>634</v>
      </c>
    </row>
    <row r="124" spans="1:1" x14ac:dyDescent="0.25">
      <c r="A124" t="s">
        <v>635</v>
      </c>
    </row>
    <row r="125" spans="1:1" x14ac:dyDescent="0.25">
      <c r="A125" t="s">
        <v>636</v>
      </c>
    </row>
    <row r="126" spans="1:1" x14ac:dyDescent="0.25">
      <c r="A126" t="s">
        <v>637</v>
      </c>
    </row>
    <row r="127" spans="1:1" x14ac:dyDescent="0.25">
      <c r="A127" t="s">
        <v>638</v>
      </c>
    </row>
    <row r="128" spans="1:1" x14ac:dyDescent="0.25">
      <c r="A128" t="s">
        <v>639</v>
      </c>
    </row>
    <row r="129" spans="1:1" x14ac:dyDescent="0.25">
      <c r="A129" t="s">
        <v>640</v>
      </c>
    </row>
    <row r="130" spans="1:1" x14ac:dyDescent="0.25">
      <c r="A130" t="s">
        <v>641</v>
      </c>
    </row>
    <row r="131" spans="1:1" x14ac:dyDescent="0.25">
      <c r="A131" t="s">
        <v>642</v>
      </c>
    </row>
    <row r="132" spans="1:1" x14ac:dyDescent="0.25">
      <c r="A132" t="s">
        <v>643</v>
      </c>
    </row>
    <row r="133" spans="1:1" x14ac:dyDescent="0.25">
      <c r="A133" t="s">
        <v>644</v>
      </c>
    </row>
    <row r="134" spans="1:1" x14ac:dyDescent="0.25">
      <c r="A134" t="s">
        <v>645</v>
      </c>
    </row>
    <row r="135" spans="1:1" x14ac:dyDescent="0.25">
      <c r="A135" t="s">
        <v>646</v>
      </c>
    </row>
    <row r="136" spans="1:1" x14ac:dyDescent="0.25">
      <c r="A136" t="s">
        <v>647</v>
      </c>
    </row>
    <row r="137" spans="1:1" x14ac:dyDescent="0.25">
      <c r="A137" t="s">
        <v>648</v>
      </c>
    </row>
    <row r="138" spans="1:1" x14ac:dyDescent="0.25">
      <c r="A138" t="s">
        <v>649</v>
      </c>
    </row>
    <row r="139" spans="1:1" x14ac:dyDescent="0.25">
      <c r="A139" t="s">
        <v>650</v>
      </c>
    </row>
    <row r="140" spans="1:1" x14ac:dyDescent="0.25">
      <c r="A140" t="s">
        <v>651</v>
      </c>
    </row>
    <row r="141" spans="1:1" x14ac:dyDescent="0.25">
      <c r="A141" t="s">
        <v>652</v>
      </c>
    </row>
    <row r="142" spans="1:1" x14ac:dyDescent="0.25">
      <c r="A142" t="s">
        <v>653</v>
      </c>
    </row>
    <row r="143" spans="1:1" x14ac:dyDescent="0.25">
      <c r="A143" t="s">
        <v>654</v>
      </c>
    </row>
    <row r="144" spans="1:1" x14ac:dyDescent="0.25">
      <c r="A144" t="s">
        <v>655</v>
      </c>
    </row>
    <row r="145" spans="1:1" x14ac:dyDescent="0.25">
      <c r="A145" t="s">
        <v>656</v>
      </c>
    </row>
    <row r="146" spans="1:1" x14ac:dyDescent="0.25">
      <c r="A146" t="s">
        <v>657</v>
      </c>
    </row>
    <row r="147" spans="1:1" x14ac:dyDescent="0.25">
      <c r="A147" t="s">
        <v>658</v>
      </c>
    </row>
    <row r="148" spans="1:1" x14ac:dyDescent="0.25">
      <c r="A148" t="s">
        <v>659</v>
      </c>
    </row>
    <row r="149" spans="1:1" x14ac:dyDescent="0.25">
      <c r="A149" t="s">
        <v>660</v>
      </c>
    </row>
    <row r="150" spans="1:1" x14ac:dyDescent="0.25">
      <c r="A150" t="s">
        <v>661</v>
      </c>
    </row>
    <row r="151" spans="1:1" x14ac:dyDescent="0.25">
      <c r="A151" t="s">
        <v>662</v>
      </c>
    </row>
    <row r="152" spans="1:1" x14ac:dyDescent="0.25">
      <c r="A152" t="s">
        <v>663</v>
      </c>
    </row>
    <row r="153" spans="1:1" x14ac:dyDescent="0.25">
      <c r="A153" t="s">
        <v>664</v>
      </c>
    </row>
    <row r="154" spans="1:1" x14ac:dyDescent="0.25">
      <c r="A154" t="s">
        <v>665</v>
      </c>
    </row>
    <row r="155" spans="1:1" x14ac:dyDescent="0.25">
      <c r="A155" t="s">
        <v>666</v>
      </c>
    </row>
    <row r="156" spans="1:1" x14ac:dyDescent="0.25">
      <c r="A156" t="s">
        <v>667</v>
      </c>
    </row>
    <row r="157" spans="1:1" x14ac:dyDescent="0.25">
      <c r="A157" t="s">
        <v>668</v>
      </c>
    </row>
    <row r="158" spans="1:1" x14ac:dyDescent="0.25">
      <c r="A158" t="s">
        <v>669</v>
      </c>
    </row>
    <row r="159" spans="1:1" x14ac:dyDescent="0.25">
      <c r="A159" t="s">
        <v>670</v>
      </c>
    </row>
    <row r="160" spans="1:1" x14ac:dyDescent="0.25">
      <c r="A160" t="s">
        <v>671</v>
      </c>
    </row>
    <row r="161" spans="1:1" x14ac:dyDescent="0.25">
      <c r="A161" t="s">
        <v>672</v>
      </c>
    </row>
    <row r="162" spans="1:1" x14ac:dyDescent="0.25">
      <c r="A162" t="s">
        <v>673</v>
      </c>
    </row>
    <row r="163" spans="1:1" x14ac:dyDescent="0.25">
      <c r="A163" t="s">
        <v>674</v>
      </c>
    </row>
    <row r="164" spans="1:1" x14ac:dyDescent="0.25">
      <c r="A164" t="s">
        <v>675</v>
      </c>
    </row>
    <row r="165" spans="1:1" x14ac:dyDescent="0.25">
      <c r="A165" t="s">
        <v>676</v>
      </c>
    </row>
    <row r="166" spans="1:1" x14ac:dyDescent="0.25">
      <c r="A166" t="s">
        <v>677</v>
      </c>
    </row>
    <row r="167" spans="1:1" x14ac:dyDescent="0.25">
      <c r="A167" t="s">
        <v>678</v>
      </c>
    </row>
    <row r="168" spans="1:1" x14ac:dyDescent="0.25">
      <c r="A168" t="s">
        <v>679</v>
      </c>
    </row>
    <row r="169" spans="1:1" x14ac:dyDescent="0.25">
      <c r="A169" t="s">
        <v>680</v>
      </c>
    </row>
    <row r="170" spans="1:1" x14ac:dyDescent="0.25">
      <c r="A170" t="s">
        <v>681</v>
      </c>
    </row>
    <row r="171" spans="1:1" x14ac:dyDescent="0.25">
      <c r="A171" t="s">
        <v>682</v>
      </c>
    </row>
    <row r="172" spans="1:1" x14ac:dyDescent="0.25">
      <c r="A172" t="s">
        <v>683</v>
      </c>
    </row>
    <row r="173" spans="1:1" x14ac:dyDescent="0.25">
      <c r="A173" t="s">
        <v>684</v>
      </c>
    </row>
    <row r="174" spans="1:1" x14ac:dyDescent="0.25">
      <c r="A174" t="s">
        <v>685</v>
      </c>
    </row>
    <row r="175" spans="1:1" x14ac:dyDescent="0.25">
      <c r="A175" t="s">
        <v>686</v>
      </c>
    </row>
    <row r="176" spans="1:1" x14ac:dyDescent="0.25">
      <c r="A176" t="s">
        <v>687</v>
      </c>
    </row>
    <row r="177" spans="1:1" x14ac:dyDescent="0.25">
      <c r="A177" t="s">
        <v>688</v>
      </c>
    </row>
    <row r="178" spans="1:1" x14ac:dyDescent="0.25">
      <c r="A178" t="s">
        <v>689</v>
      </c>
    </row>
    <row r="179" spans="1:1" x14ac:dyDescent="0.25">
      <c r="A179" t="s">
        <v>690</v>
      </c>
    </row>
    <row r="180" spans="1:1" x14ac:dyDescent="0.25">
      <c r="A180" t="s">
        <v>691</v>
      </c>
    </row>
    <row r="181" spans="1:1" x14ac:dyDescent="0.25">
      <c r="A181" t="s">
        <v>692</v>
      </c>
    </row>
    <row r="182" spans="1:1" x14ac:dyDescent="0.25">
      <c r="A182" t="s">
        <v>693</v>
      </c>
    </row>
    <row r="183" spans="1:1" x14ac:dyDescent="0.25">
      <c r="A183" t="s">
        <v>694</v>
      </c>
    </row>
    <row r="184" spans="1:1" x14ac:dyDescent="0.25">
      <c r="A184" t="s">
        <v>695</v>
      </c>
    </row>
    <row r="185" spans="1:1" x14ac:dyDescent="0.25">
      <c r="A185" t="s">
        <v>696</v>
      </c>
    </row>
    <row r="186" spans="1:1" x14ac:dyDescent="0.25">
      <c r="A186" t="s">
        <v>697</v>
      </c>
    </row>
    <row r="187" spans="1:1" x14ac:dyDescent="0.25">
      <c r="A187" t="s">
        <v>698</v>
      </c>
    </row>
    <row r="188" spans="1:1" x14ac:dyDescent="0.25">
      <c r="A188" t="s">
        <v>699</v>
      </c>
    </row>
    <row r="189" spans="1:1" x14ac:dyDescent="0.25">
      <c r="A189" t="s">
        <v>700</v>
      </c>
    </row>
    <row r="190" spans="1:1" x14ac:dyDescent="0.25">
      <c r="A190" t="s">
        <v>701</v>
      </c>
    </row>
  </sheetData>
  <sheetProtection algorithmName="SHA-512" hashValue="an7skBOnq+0JE7SrRbWtjjFWdi10JPkL0zgJs03tky28Je7RSvOEoi/UK/WESrWylhLBFSsVUqEVlXR5A+t7ag==" saltValue="mwVSmcGjn3LlJU2szfCHP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GADWRKGRPACTUA-1580777631-136365</_dlc_DocId>
    <_dlc_DocIdUrl xmlns="f69fd3ce-e1df-49de-b78d-1d800e75d0a3">
      <Url>https://tris42.sharepoint.com/sites/gad_wrkgrp_actuarial/_layouts/15/DocIdRedir.aspx?ID=GADWRKGRPACTUA-1580777631-136365</Url>
      <Description>GADWRKGRPACTUA-1580777631-136365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0C0FF4-E15D-4644-880A-0A5173F0AE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F724D3-9184-48EC-9A80-4F9E1A1F3591}">
  <ds:schemaRefs>
    <ds:schemaRef ds:uri="http://schemas.microsoft.com/sharepoint/events"/>
  </ds:schemaRefs>
</ds:datastoreItem>
</file>

<file path=customXml/itemProps3.xml><?xml version="1.0" encoding="utf-8"?>
<ds:datastoreItem xmlns:ds="http://schemas.openxmlformats.org/officeDocument/2006/customXml" ds:itemID="{CB47B71B-F15D-45FF-8F14-C3D809F2DEEE}">
  <ds:schemaRefs>
    <ds:schemaRef ds:uri="f69fd3ce-e1df-49de-b78d-1d800e75d0a3"/>
    <ds:schemaRef ds:uri="http://www.w3.org/XML/1998/namespace"/>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62c7038d-3aec-4dd4-8afa-8b92667eb25d"/>
    <ds:schemaRef ds:uri="http://purl.org/dc/terms/"/>
  </ds:schemaRefs>
</ds:datastoreItem>
</file>

<file path=customXml/itemProps4.xml><?xml version="1.0" encoding="utf-8"?>
<ds:datastoreItem xmlns:ds="http://schemas.openxmlformats.org/officeDocument/2006/customXml" ds:itemID="{3629161F-1F1E-4E54-9C2B-22413C03BE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94</vt:i4>
      </vt:variant>
      <vt:variant>
        <vt:lpstr>Named Ranges</vt:lpstr>
      </vt:variant>
      <vt:variant>
        <vt:i4>1622</vt:i4>
      </vt:variant>
    </vt:vector>
  </HeadingPairs>
  <TitlesOfParts>
    <vt:vector size="1716" baseType="lpstr">
      <vt:lpstr>Cover</vt:lpstr>
      <vt:lpstr>Purpose of spreadsheet</vt:lpstr>
      <vt:lpstr>Version Control</vt:lpstr>
      <vt:lpstr>Summary - Fire_E</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AnnGenHiddenLists</vt:lpstr>
      <vt:lpstr>AgeRet</vt:lpstr>
      <vt:lpstr>BaseTablesList</vt:lpstr>
      <vt:lpstr>DATE_MODIFIED</vt:lpstr>
      <vt:lpstr>denom</vt:lpstr>
      <vt:lpstr>FACTOR_LIST_AGE_DEF</vt:lpstr>
      <vt:lpstr>FACTOR_LIST_CLIENT</vt:lpstr>
      <vt:lpstr>FACTOR_LIST_DATE_IMPLEMENTED</vt:lpstr>
      <vt:lpstr>FACTOR_LIST_DATE_ISSUED</vt:lpstr>
      <vt:lpstr>FACTOR_LIST_DESCRIPTION</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fEndAge_AP</vt:lpstr>
      <vt:lpstr>fRound_AP</vt:lpstr>
      <vt:lpstr>grossRate</vt:lpstr>
      <vt:lpstr>ImprovementsList</vt:lpstr>
      <vt:lpstr>male_weighting</vt:lpstr>
      <vt:lpstr>netPostRet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'x-402'!Print_Area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'x-506'!Print_Area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'x-802'!Print_Area</vt:lpstr>
      <vt:lpstr>'x-Series Number'!Print_Area</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'x-802'!TABLE_AGE_DEF_2</vt:lpstr>
      <vt:lpstr>'x-802'!TABLE_AGE_DEF_3</vt:lpstr>
      <vt:lpstr>'x-622'!TABLE_AREA</vt:lpstr>
      <vt:lpstr>'x-624'!TABLE_AREA</vt:lpstr>
      <vt:lpstr>'x-626'!TABLE_AREA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'x-802'!TABLE_ASSUMPTION_SET_2</vt:lpstr>
      <vt:lpstr>'x-802'!TABLE_ASSUMPTION_SET_3</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'x-802'!TABLE_CLIENT_2</vt:lpstr>
      <vt:lpstr>'x-802'!TABLE_CLIENT_3</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'x-802'!TABLE_DATE_IMPLEMENTED_2</vt:lpstr>
      <vt:lpstr>'x-802'!TABLE_DATE_IMPLEMENTED_3</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'x-802'!TABLE_DATE_ISSUED_2</vt:lpstr>
      <vt:lpstr>'x-802'!TABLE_DATE_ISSUED_3</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'x-802'!TABLE_DESCRIPTION_2</vt:lpstr>
      <vt:lpstr>'x-802'!TABLE_DESCRIPTION_3</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'x-802'!TABLE_FACTOR_STATUS_2</vt:lpstr>
      <vt:lpstr>'x-802'!TABLE_FACTOR_STATUS_3</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'x-802'!TABLE_FACTOR_TYPE_2</vt:lpstr>
      <vt:lpstr>'x-802'!TABLE_FACTOR_TYPE_3</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'x-802'!TABLE_GENDER_2</vt:lpstr>
      <vt:lpstr>'x-802'!TABLE_GENDER_3</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'x-802'!TABLE_INFO_2</vt:lpstr>
      <vt:lpstr>'x-802'!TABLE_INFO_3</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'x-802'!TABLE_REFERENCE_2</vt:lpstr>
      <vt:lpstr>'x-802'!TABLE_REFERENCE_3</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'x-802'!TABLE_REFERENCE_GUIDANCE_2</vt:lpstr>
      <vt:lpstr>'x-802'!TABLE_REFERENCE_GUIDANCE_3</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'x-802'!TABLE_RELATED_2</vt:lpstr>
      <vt:lpstr>'x-802'!TABLE_RELATED_3</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'x-802'!TABLE_SECTION_2</vt:lpstr>
      <vt:lpstr>'x-802'!TABLE_SECTION_3</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'x-802'!TABLE_SECTION_NUMBER_2</vt:lpstr>
      <vt:lpstr>'x-802'!TABLE_SECTION_NUMBER_3</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'x-802'!TABLE_SERIES_NUMBER_2</vt:lpstr>
      <vt:lpstr>'x-802'!TABLE_SERIES_NUMBER_3</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E Consolidated Factors 2025-02.xlsm</dc:title>
  <dc:subject/>
  <dc:creator>Brian Allan</dc:creator>
  <cp:keywords/>
  <dc:description/>
  <cp:lastModifiedBy>Colley, Peter - GAD</cp:lastModifiedBy>
  <cp:revision/>
  <dcterms:created xsi:type="dcterms:W3CDTF">2007-01-30T12:07:56Z</dcterms:created>
  <dcterms:modified xsi:type="dcterms:W3CDTF">2026-03-17T11:28:07Z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13afded6-130e-4b4b-a015-a3535a89ca66</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CategoryHTField0">
    <vt:lpwstr/>
  </property>
  <property fmtid="{D5CDD505-2E9C-101B-9397-08002B2CF9AE}" pid="16" name="b9c42a306c8b47fcbaf8a41a71352f3a">
    <vt:lpwstr/>
  </property>
  <property fmtid="{D5CDD505-2E9C-101B-9397-08002B2CF9AE}" pid="17" name="HMT_GroupHTField0">
    <vt:lpwstr/>
  </property>
  <property fmtid="{D5CDD505-2E9C-101B-9397-08002B2CF9AE}" pid="18" name="TaxCatchAll">
    <vt:lpwstr>1;#Other|150be646-4ed5-450e-b2aa-5a7d8e5fc7d1</vt:lpwstr>
  </property>
  <property fmtid="{D5CDD505-2E9C-101B-9397-08002B2CF9AE}" pid="19" name="HMT_DocumentTypeHTField0">
    <vt:lpwstr>Other|150be646-4ed5-450e-b2aa-5a7d8e5fc7d1</vt:lpwstr>
  </property>
</Properties>
</file>