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xl/webextensions/taskpanes.xml" ContentType="application/vnd.ms-office.webextensiontaskpanes+xml"/>
  <Override PartName="/xl/webextensions/webextension1.xml" ContentType="application/vnd.ms-office.webextensio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11/relationships/webextensiontaskpanes" Target="xl/webextensions/taskpanes.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mc:AlternateContent xmlns:mc="http://schemas.openxmlformats.org/markup-compatibility/2006">
    <mc:Choice Requires="x15">
      <x15ac:absPath xmlns:x15ac="http://schemas.microsoft.com/office/spreadsheetml/2010/11/ac" url="https://tris42.sharepoint.com/sites/gad_wrkgrp_actuarial/pspsactuarialwork/Central/Factors &amp; Guidance/2024 Guidance Review/4. Online portal/3. Import data/3. Factor tables/0_client_friendly/Ready to be uploaded/2025-03/"/>
    </mc:Choice>
  </mc:AlternateContent>
  <xr:revisionPtr revIDLastSave="0" documentId="8_{F9F76122-9299-4ACD-B2B6-45D70299CFBB}" xr6:coauthVersionLast="47" xr6:coauthVersionMax="47" xr10:uidLastSave="{00000000-0000-0000-0000-000000000000}"/>
  <bookViews>
    <workbookView xWindow="-110" yWindow="-110" windowWidth="22780" windowHeight="14540" tabRatio="930" firstSheet="1" activeTab="5" xr2:uid="{00000000-000D-0000-FFFF-FFFF00000000}"/>
  </bookViews>
  <sheets>
    <sheet name="AnnGenHiddenLists" sheetId="131" state="hidden" r:id="rId1"/>
    <sheet name="Cover" sheetId="1" r:id="rId2"/>
    <sheet name="Purpose of spreadsheet" sheetId="77" r:id="rId3"/>
    <sheet name="Version Control" sheetId="78" r:id="rId4"/>
    <sheet name="Summary - Fire_E" sheetId="93" state="hidden" r:id="rId5"/>
    <sheet name="Factor List" sheetId="55" r:id="rId6"/>
    <sheet name="x-Series Number" sheetId="102" state="hidden" r:id="rId7"/>
    <sheet name="Assumptions" sheetId="197" r:id="rId8"/>
    <sheet name="x-201" sheetId="104" r:id="rId9"/>
    <sheet name="x-202" sheetId="105" r:id="rId10"/>
    <sheet name="x-203" sheetId="106" r:id="rId11"/>
    <sheet name="x-204" sheetId="107" r:id="rId12"/>
    <sheet name="x-205" sheetId="108" r:id="rId13"/>
    <sheet name="x-206" sheetId="109" r:id="rId14"/>
    <sheet name="x-207" sheetId="110" r:id="rId15"/>
    <sheet name="x-208" sheetId="111" r:id="rId16"/>
    <sheet name="x-209" sheetId="112" r:id="rId17"/>
    <sheet name="x-210" sheetId="113" r:id="rId18"/>
    <sheet name="x-211" sheetId="114" r:id="rId19"/>
    <sheet name="x-212" sheetId="115" r:id="rId20"/>
    <sheet name="x-213" sheetId="116" r:id="rId21"/>
    <sheet name="x-214" sheetId="117" r:id="rId22"/>
    <sheet name="x-215" sheetId="118" r:id="rId23"/>
    <sheet name="x-220" sheetId="136" r:id="rId24"/>
    <sheet name="x-221" sheetId="137" r:id="rId25"/>
    <sheet name="x-301" sheetId="119" r:id="rId26"/>
    <sheet name="x-302" sheetId="120" r:id="rId27"/>
    <sheet name="x-303" sheetId="121" r:id="rId28"/>
    <sheet name="x-304" sheetId="122" r:id="rId29"/>
    <sheet name="x-305" sheetId="123" r:id="rId30"/>
    <sheet name="x-306" sheetId="124" r:id="rId31"/>
    <sheet name="x-307" sheetId="125" r:id="rId32"/>
    <sheet name="x-308" sheetId="126" r:id="rId33"/>
    <sheet name="x-309" sheetId="127" r:id="rId34"/>
    <sheet name="x-310" sheetId="128" r:id="rId35"/>
    <sheet name="x-311" sheetId="129" r:id="rId36"/>
    <sheet name="x-312" sheetId="130" r:id="rId37"/>
    <sheet name="x-313" sheetId="138" r:id="rId38"/>
    <sheet name="x-314" sheetId="139" r:id="rId39"/>
    <sheet name="x-315" sheetId="140" r:id="rId40"/>
    <sheet name="x-316" sheetId="141" r:id="rId41"/>
    <sheet name="x-317" sheetId="142" r:id="rId42"/>
    <sheet name="x-318" sheetId="143" r:id="rId43"/>
    <sheet name="x-319" sheetId="144" r:id="rId44"/>
    <sheet name="x-320" sheetId="145" r:id="rId45"/>
    <sheet name="x-321" sheetId="146" r:id="rId46"/>
    <sheet name="x-322" sheetId="147" r:id="rId47"/>
    <sheet name="x-323" sheetId="148" r:id="rId48"/>
    <sheet name="x-324" sheetId="149" r:id="rId49"/>
    <sheet name="x-325" sheetId="150" r:id="rId50"/>
    <sheet name="x-326" sheetId="151" r:id="rId51"/>
    <sheet name="x-327" sheetId="152" r:id="rId52"/>
    <sheet name="x-328" sheetId="153" r:id="rId53"/>
    <sheet name="x-401" sheetId="154" r:id="rId54"/>
    <sheet name="x-403" sheetId="201" r:id="rId55"/>
    <sheet name="x-404" sheetId="157" r:id="rId56"/>
    <sheet name="x-405" sheetId="158" r:id="rId57"/>
    <sheet name="x-406" sheetId="159" r:id="rId58"/>
    <sheet name="x-407" sheetId="160" r:id="rId59"/>
    <sheet name="x-501" sheetId="161" r:id="rId60"/>
    <sheet name="x-502" sheetId="162" r:id="rId61"/>
    <sheet name="x-503" sheetId="163" r:id="rId62"/>
    <sheet name="x-504" sheetId="164" r:id="rId63"/>
    <sheet name="x-505" sheetId="195" r:id="rId64"/>
    <sheet name="x-506" sheetId="199" r:id="rId65"/>
    <sheet name="x-603" sheetId="165" r:id="rId66"/>
    <sheet name="x-604" sheetId="166" r:id="rId67"/>
    <sheet name="x-605" sheetId="167" r:id="rId68"/>
    <sheet name="x-606" sheetId="168" r:id="rId69"/>
    <sheet name="x-607" sheetId="169" r:id="rId70"/>
    <sheet name="x-608" sheetId="170" r:id="rId71"/>
    <sheet name="x-609" sheetId="171" r:id="rId72"/>
    <sheet name="x-610" sheetId="172" r:id="rId73"/>
    <sheet name="x-611" sheetId="173" r:id="rId74"/>
    <sheet name="x-612" sheetId="174" r:id="rId75"/>
    <sheet name="x-613" sheetId="175" r:id="rId76"/>
    <sheet name="x-614" sheetId="176" r:id="rId77"/>
    <sheet name="x-615" sheetId="177" r:id="rId78"/>
    <sheet name="x-616" sheetId="178" r:id="rId79"/>
    <sheet name="x-617" sheetId="179" r:id="rId80"/>
    <sheet name="x-618" sheetId="180" r:id="rId81"/>
    <sheet name="x-619" sheetId="181" r:id="rId82"/>
    <sheet name="x-620" sheetId="182" r:id="rId83"/>
    <sheet name="x-621" sheetId="183" r:id="rId84"/>
    <sheet name="x-622" sheetId="184" r:id="rId85"/>
    <sheet name="x-623" sheetId="185" r:id="rId86"/>
    <sheet name="x-624" sheetId="186" r:id="rId87"/>
    <sheet name="x-625" sheetId="187" r:id="rId88"/>
    <sheet name="x-626" sheetId="188" r:id="rId89"/>
    <sheet name="x-627" sheetId="189" r:id="rId90"/>
    <sheet name="x-701" sheetId="190" r:id="rId91"/>
    <sheet name="x-702" sheetId="191" r:id="rId92"/>
    <sheet name="x-802" sheetId="200" r:id="rId93"/>
  </sheets>
  <externalReferences>
    <externalReference r:id="rId94"/>
    <externalReference r:id="rId95"/>
    <externalReference r:id="rId96"/>
  </externalReferences>
  <definedNames>
    <definedName name="_xlnm._FilterDatabase" localSheetId="5" hidden="1">'Factor List'!$A$7:$P$7</definedName>
    <definedName name="age_rng">#REF!</definedName>
    <definedName name="BaseTablesList">AnnGenHiddenLists!$A$4:$A$190</definedName>
    <definedName name="DATE_MODIFIED">'Version Control'!$C$17</definedName>
    <definedName name="FACTOR_LIST_AGE_DEF">'Factor List'!$G$7</definedName>
    <definedName name="FACTOR_LIST_CLIENT">'Factor List'!$B$7</definedName>
    <definedName name="FACTOR_LIST_DATE_IMPLEMENTED">'Factor List'!$N$7</definedName>
    <definedName name="FACTOR_LIST_DATE_ISSUED">'Factor List'!$M$7</definedName>
    <definedName name="FACTOR_LIST_DESCRIPTION">'Factor List'!$E$7</definedName>
    <definedName name="FACTOR_LIST_FACTOR_STATUS" localSheetId="54">'[1]Factor List'!#REF!</definedName>
    <definedName name="FACTOR_LIST_FACTOR_STATUS" localSheetId="92">'[1]Factor List'!#REF!</definedName>
    <definedName name="FACTOR_LIST_FACTOR_STATUS">'Factor List'!$O$7</definedName>
    <definedName name="FACTOR_LIST_FACTOR_TYPE">'Factor List'!$D$7</definedName>
    <definedName name="FACTOR_LIST_GENDER">'Factor List'!$F$7</definedName>
    <definedName name="FACTOR_LIST_HEADINGS">'Factor List'!$B$7:$P$7</definedName>
    <definedName name="FACTOR_LIST_REFERENCE">'Factor List'!$J$7</definedName>
    <definedName name="FACTOR_LIST_REFERENCE_GUIDANCE">'Factor List'!$K$7</definedName>
    <definedName name="FACTOR_LIST_RELATED">'Factor List'!$L$7</definedName>
    <definedName name="FACTOR_LIST_SECTION">'Factor List'!$C$7</definedName>
    <definedName name="FACTOR_LIST_SECTION_NUMBER">'Factor List'!$H$7</definedName>
    <definedName name="FACTOR_LIST_SERIES_NUMBER">'Factor List'!$I$7</definedName>
    <definedName name="FACTOR_LIST_SOURCE">'Factor List'!#REF!</definedName>
    <definedName name="FACTOR_LIST_TABLE_ID">'Factor List'!$P$7</definedName>
    <definedName name="FACTOR_LIST_TIMESTAMP">'Factor List'!#REF!</definedName>
    <definedName name="FACTOR_LIST_USER_ID">'Factor List'!#REF!</definedName>
    <definedName name="factor_table">#REF!</definedName>
    <definedName name="ImprovementsList">AnnGenHiddenLists!$C$4:$C$42</definedName>
    <definedName name="NoD" localSheetId="63">#REF!</definedName>
    <definedName name="NoD" localSheetId="64">#REF!</definedName>
    <definedName name="NoD">#REF!</definedName>
    <definedName name="_xlnm.Print_Area" localSheetId="4">'Summary - Fire_E'!$A$1:$H$224</definedName>
    <definedName name="_xlnm.Print_Area" localSheetId="8">'x-201'!$A$26:$L$48</definedName>
    <definedName name="_xlnm.Print_Area" localSheetId="9">'x-202'!$A$26:$L$48</definedName>
    <definedName name="_xlnm.Print_Area" localSheetId="10">'x-203'!$A$26:$L$48</definedName>
    <definedName name="_xlnm.Print_Area" localSheetId="11">'x-204'!$A$26:$L$48</definedName>
    <definedName name="_xlnm.Print_Area" localSheetId="12">'x-205'!$A$26:$K$48</definedName>
    <definedName name="_xlnm.Print_Area" localSheetId="13">'x-206'!$A$26:$L$48</definedName>
    <definedName name="_xlnm.Print_Area" localSheetId="14">'x-207'!$A$26:$L$48</definedName>
    <definedName name="_xlnm.Print_Area" localSheetId="15">'x-208'!$A$26:$L$48</definedName>
    <definedName name="_xlnm.Print_Area" localSheetId="16">'x-209'!$A$26:$L$48</definedName>
    <definedName name="_xlnm.Print_Area" localSheetId="17">'x-210'!$A$26:$L$48</definedName>
    <definedName name="_xlnm.Print_Area" localSheetId="18">'x-211'!$A$26:$L$48</definedName>
    <definedName name="_xlnm.Print_Area" localSheetId="19">'x-212'!$A$26:$L$48</definedName>
    <definedName name="_xlnm.Print_Area" localSheetId="20">'x-213'!$A$26:$L$48</definedName>
    <definedName name="_xlnm.Print_Area" localSheetId="21">'x-214'!$A$26:$L$48</definedName>
    <definedName name="_xlnm.Print_Area" localSheetId="22">'x-215'!$A$26:$L$48</definedName>
    <definedName name="_xlnm.Print_Area" localSheetId="23">'x-220'!$A$26:$L$48</definedName>
    <definedName name="_xlnm.Print_Area" localSheetId="24">'x-221'!$A$26:$L$48</definedName>
    <definedName name="_xlnm.Print_Area" localSheetId="25">'x-301'!$A$26:$N$48</definedName>
    <definedName name="_xlnm.Print_Area" localSheetId="26">'x-302'!$A$26:$N$48</definedName>
    <definedName name="_xlnm.Print_Area" localSheetId="27">'x-303'!$A$26:$N$48</definedName>
    <definedName name="_xlnm.Print_Area" localSheetId="28">'x-304'!$A$26:$N$48</definedName>
    <definedName name="_xlnm.Print_Area" localSheetId="29">'x-305'!$A$26:$N$48</definedName>
    <definedName name="_xlnm.Print_Area" localSheetId="30">'x-306'!$A$26:$N$48</definedName>
    <definedName name="_xlnm.Print_Area" localSheetId="31">'x-307'!$A$26:$N$48</definedName>
    <definedName name="_xlnm.Print_Area" localSheetId="32">'x-308'!$A$26:$N$48</definedName>
    <definedName name="_xlnm.Print_Area" localSheetId="33">'x-309'!$A$26:$N$48</definedName>
    <definedName name="_xlnm.Print_Area" localSheetId="34">'x-310'!$A$26:$N$48</definedName>
    <definedName name="_xlnm.Print_Area" localSheetId="35">'x-311'!$A$26:$N$48</definedName>
    <definedName name="_xlnm.Print_Area" localSheetId="36">'x-312'!$A$26:$N$48</definedName>
    <definedName name="_xlnm.Print_Area" localSheetId="37">'x-313'!$A$26:$N$48</definedName>
    <definedName name="_xlnm.Print_Area" localSheetId="38">'x-314'!$A$26:$N$48</definedName>
    <definedName name="_xlnm.Print_Area" localSheetId="39">'x-315'!$A$26:$N$48</definedName>
    <definedName name="_xlnm.Print_Area" localSheetId="40">'x-316'!$A$26:$N$48</definedName>
    <definedName name="_xlnm.Print_Area" localSheetId="41">'x-317'!$A$26:$N$48</definedName>
    <definedName name="_xlnm.Print_Area" localSheetId="42">'x-318'!$A$26:$M$48</definedName>
    <definedName name="_xlnm.Print_Area" localSheetId="43">'x-319'!$A$26:$J$48</definedName>
    <definedName name="_xlnm.Print_Area" localSheetId="44">'x-320'!$A$26:$N$48</definedName>
    <definedName name="_xlnm.Print_Area" localSheetId="45">'x-321'!$A$26:$M$48</definedName>
    <definedName name="_xlnm.Print_Area" localSheetId="46">'x-322'!$A$26:$M$48</definedName>
    <definedName name="_xlnm.Print_Area" localSheetId="47">'x-323'!$A$26:$N$48</definedName>
    <definedName name="_xlnm.Print_Area" localSheetId="48">'x-324'!$A$26:$N$48</definedName>
    <definedName name="_xlnm.Print_Area" localSheetId="49">'x-325'!$A$26:$N$48</definedName>
    <definedName name="_xlnm.Print_Area" localSheetId="50">'x-326'!$A$26:$N$48</definedName>
    <definedName name="_xlnm.Print_Area" localSheetId="51">'x-327'!$A$26:$N$48</definedName>
    <definedName name="_xlnm.Print_Area" localSheetId="52">'x-328'!$A$26:$N$48</definedName>
    <definedName name="_xlnm.Print_Area" localSheetId="53">'x-401'!$A$26:$N$48</definedName>
    <definedName name="_xlnm.Print_Area" localSheetId="54">'x-403'!$A$26:$N$48</definedName>
    <definedName name="_xlnm.Print_Area" localSheetId="55">'x-404'!$A$26:$P$48</definedName>
    <definedName name="_xlnm.Print_Area" localSheetId="56">'x-405'!$A$26:$P$48</definedName>
    <definedName name="_xlnm.Print_Area" localSheetId="57">'x-406'!$A$26:$Q$48</definedName>
    <definedName name="_xlnm.Print_Area" localSheetId="58">'x-407'!$A$26:$Q$48</definedName>
    <definedName name="_xlnm.Print_Area" localSheetId="59">'x-501'!$A$26:$N$48</definedName>
    <definedName name="_xlnm.Print_Area" localSheetId="60">'x-502'!$A$26:$N$48</definedName>
    <definedName name="_xlnm.Print_Area" localSheetId="61">'x-503'!$A$26:$N$48</definedName>
    <definedName name="_xlnm.Print_Area" localSheetId="62">'x-504'!$A$26:$N$48</definedName>
    <definedName name="_xlnm.Print_Area" localSheetId="63">'x-505'!$A$26:$N$47</definedName>
    <definedName name="_xlnm.Print_Area" localSheetId="64">'x-506'!#REF!</definedName>
    <definedName name="_xlnm.Print_Area" localSheetId="65">'x-603'!$A$26:$N$48</definedName>
    <definedName name="_xlnm.Print_Area" localSheetId="66">'x-604'!$A$26:$N$48</definedName>
    <definedName name="_xlnm.Print_Area" localSheetId="67">'x-605'!$A$26:$N$48</definedName>
    <definedName name="_xlnm.Print_Area" localSheetId="68">'x-606'!$A$26:$N$48</definedName>
    <definedName name="_xlnm.Print_Area" localSheetId="69">'x-607'!$A$26:$N$48</definedName>
    <definedName name="_xlnm.Print_Area" localSheetId="70">'x-608'!$A$26:$N$48</definedName>
    <definedName name="_xlnm.Print_Area" localSheetId="71">'x-609'!$A$26:$N$48</definedName>
    <definedName name="_xlnm.Print_Area" localSheetId="72">'x-610'!$A$26:$N$48</definedName>
    <definedName name="_xlnm.Print_Area" localSheetId="73">'x-611'!$A$26:$M$48</definedName>
    <definedName name="_xlnm.Print_Area" localSheetId="74">'x-612'!$A$26:$M$48</definedName>
    <definedName name="_xlnm.Print_Area" localSheetId="75">'x-613'!$A$26:$N$48</definedName>
    <definedName name="_xlnm.Print_Area" localSheetId="76">'x-614'!$A$26:$M$48</definedName>
    <definedName name="_xlnm.Print_Area" localSheetId="77">'x-615'!$A$26:$M$48</definedName>
    <definedName name="_xlnm.Print_Area" localSheetId="78">'x-616'!$A$26:$M$48</definedName>
    <definedName name="_xlnm.Print_Area" localSheetId="79">'x-617'!$A$26:$M$48</definedName>
    <definedName name="_xlnm.Print_Area" localSheetId="80">'x-618'!$A$26:$N$48</definedName>
    <definedName name="_xlnm.Print_Area" localSheetId="81">'x-619'!$A$26:$N$48</definedName>
    <definedName name="_xlnm.Print_Area" localSheetId="82">'x-620'!$A$26:$B$76</definedName>
    <definedName name="_xlnm.Print_Area" localSheetId="83">'x-621'!$A$26:$N$48</definedName>
    <definedName name="_xlnm.Print_Area" localSheetId="84">'x-622'!$A$26:$K$48</definedName>
    <definedName name="_xlnm.Print_Area" localSheetId="85">'x-623'!$A$26:$K$48</definedName>
    <definedName name="_xlnm.Print_Area" localSheetId="86">'x-624'!$A$26:$K$48</definedName>
    <definedName name="_xlnm.Print_Area" localSheetId="87">'x-625'!$A$26:$K$48</definedName>
    <definedName name="_xlnm.Print_Area" localSheetId="88">'x-626'!$A$26:$K$48</definedName>
    <definedName name="_xlnm.Print_Area" localSheetId="89">'x-627'!$A$26:$K$48</definedName>
    <definedName name="_xlnm.Print_Area" localSheetId="90">'x-701'!$A$26:$N$48</definedName>
    <definedName name="_xlnm.Print_Area" localSheetId="91">'x-702'!$A$26:$N$48</definedName>
    <definedName name="_xlnm.Print_Area" localSheetId="92">'x-802'!$A$26:$P$48</definedName>
    <definedName name="_xlnm.Print_Area" localSheetId="6">'x-Series Number'!$A$25:$N$47</definedName>
    <definedName name="TABLE_AGE_DEF">'x-Series Number'!$B$12</definedName>
    <definedName name="TABLE_AGE_DEF_1" localSheetId="8">'x-201'!$B$12</definedName>
    <definedName name="TABLE_AGE_DEF_1" localSheetId="9">'x-202'!$B$12</definedName>
    <definedName name="TABLE_AGE_DEF_1" localSheetId="10">'x-203'!$B$12</definedName>
    <definedName name="TABLE_AGE_DEF_1" localSheetId="11">'x-204'!$B$12</definedName>
    <definedName name="TABLE_AGE_DEF_1" localSheetId="12">'x-205'!$B$12</definedName>
    <definedName name="TABLE_AGE_DEF_1" localSheetId="13">'x-206'!$B$12</definedName>
    <definedName name="TABLE_AGE_DEF_1" localSheetId="14">'x-207'!$B$12</definedName>
    <definedName name="TABLE_AGE_DEF_1" localSheetId="15">'x-208'!$B$12</definedName>
    <definedName name="TABLE_AGE_DEF_1" localSheetId="16">'x-209'!$B$12</definedName>
    <definedName name="TABLE_AGE_DEF_1" localSheetId="17">'x-210'!$B$12</definedName>
    <definedName name="TABLE_AGE_DEF_1" localSheetId="18">'x-211'!$B$12</definedName>
    <definedName name="TABLE_AGE_DEF_1" localSheetId="19">'x-212'!$B$12</definedName>
    <definedName name="TABLE_AGE_DEF_1" localSheetId="20">'x-213'!$B$12</definedName>
    <definedName name="TABLE_AGE_DEF_1" localSheetId="21">'x-214'!$B$12</definedName>
    <definedName name="TABLE_AGE_DEF_1" localSheetId="22">'x-215'!$B$12</definedName>
    <definedName name="TABLE_AGE_DEF_1" localSheetId="23">'x-220'!$B$12</definedName>
    <definedName name="TABLE_AGE_DEF_1" localSheetId="24">'x-221'!$B$12</definedName>
    <definedName name="TABLE_AGE_DEF_1" localSheetId="25">'x-301'!$B$12</definedName>
    <definedName name="TABLE_AGE_DEF_1" localSheetId="26">'x-302'!$B$12</definedName>
    <definedName name="TABLE_AGE_DEF_1" localSheetId="27">'x-303'!$B$12</definedName>
    <definedName name="TABLE_AGE_DEF_1" localSheetId="28">'x-304'!$B$12</definedName>
    <definedName name="TABLE_AGE_DEF_1" localSheetId="29">'x-305'!$B$12</definedName>
    <definedName name="TABLE_AGE_DEF_1" localSheetId="30">'x-306'!$B$12</definedName>
    <definedName name="TABLE_AGE_DEF_1" localSheetId="31">'x-307'!$B$12</definedName>
    <definedName name="TABLE_AGE_DEF_1" localSheetId="32">'x-308'!$B$12</definedName>
    <definedName name="TABLE_AGE_DEF_1" localSheetId="33">'x-309'!$B$12</definedName>
    <definedName name="TABLE_AGE_DEF_1" localSheetId="34">'x-310'!$B$12</definedName>
    <definedName name="TABLE_AGE_DEF_1" localSheetId="35">'x-311'!$B$12</definedName>
    <definedName name="TABLE_AGE_DEF_1" localSheetId="36">'x-312'!$B$12</definedName>
    <definedName name="TABLE_AGE_DEF_1" localSheetId="37">'x-313'!$B$12</definedName>
    <definedName name="TABLE_AGE_DEF_1" localSheetId="38">'x-314'!$B$12</definedName>
    <definedName name="TABLE_AGE_DEF_1" localSheetId="39">'x-315'!$B$12</definedName>
    <definedName name="TABLE_AGE_DEF_1" localSheetId="40">'x-316'!$B$12</definedName>
    <definedName name="TABLE_AGE_DEF_1" localSheetId="41">'x-317'!$B$12</definedName>
    <definedName name="TABLE_AGE_DEF_1" localSheetId="42">'x-318'!$B$12</definedName>
    <definedName name="TABLE_AGE_DEF_1" localSheetId="43">'x-319'!$B$12</definedName>
    <definedName name="TABLE_AGE_DEF_1" localSheetId="44">'x-320'!$B$12</definedName>
    <definedName name="TABLE_AGE_DEF_1" localSheetId="45">'x-321'!$B$12</definedName>
    <definedName name="TABLE_AGE_DEF_1" localSheetId="46">'x-322'!$B$12</definedName>
    <definedName name="TABLE_AGE_DEF_1" localSheetId="47">'x-323'!$B$12</definedName>
    <definedName name="TABLE_AGE_DEF_1" localSheetId="48">'x-324'!$B$12</definedName>
    <definedName name="TABLE_AGE_DEF_1" localSheetId="49">'x-325'!$B$12</definedName>
    <definedName name="TABLE_AGE_DEF_1" localSheetId="50">'x-326'!$B$12</definedName>
    <definedName name="TABLE_AGE_DEF_1" localSheetId="51">'x-327'!$B$12</definedName>
    <definedName name="TABLE_AGE_DEF_1" localSheetId="52">'x-328'!$B$12</definedName>
    <definedName name="TABLE_AGE_DEF_1" localSheetId="53">'x-401'!$B$12</definedName>
    <definedName name="TABLE_AGE_DEF_1" localSheetId="54">'x-403'!$B$12</definedName>
    <definedName name="TABLE_AGE_DEF_1" localSheetId="55">'x-404'!$B$12</definedName>
    <definedName name="TABLE_AGE_DEF_1" localSheetId="56">'x-405'!$B$12</definedName>
    <definedName name="TABLE_AGE_DEF_1" localSheetId="57">'x-406'!$B$12</definedName>
    <definedName name="TABLE_AGE_DEF_1" localSheetId="58">'x-407'!$B$12</definedName>
    <definedName name="TABLE_AGE_DEF_1" localSheetId="59">'x-501'!$B$12</definedName>
    <definedName name="TABLE_AGE_DEF_1" localSheetId="60">'x-502'!$B$12</definedName>
    <definedName name="TABLE_AGE_DEF_1" localSheetId="61">'x-503'!$B$12</definedName>
    <definedName name="TABLE_AGE_DEF_1" localSheetId="62">'x-504'!$B$12</definedName>
    <definedName name="TABLE_AGE_DEF_1" localSheetId="63">'x-505'!$B$12</definedName>
    <definedName name="TABLE_AGE_DEF_1" localSheetId="64">'x-506'!$B$12</definedName>
    <definedName name="TABLE_AGE_DEF_1" localSheetId="65">'x-603'!$B$12</definedName>
    <definedName name="TABLE_AGE_DEF_1" localSheetId="66">'x-604'!$B$12</definedName>
    <definedName name="TABLE_AGE_DEF_1" localSheetId="67">'x-605'!$B$12</definedName>
    <definedName name="TABLE_AGE_DEF_1" localSheetId="68">'x-606'!$B$12</definedName>
    <definedName name="TABLE_AGE_DEF_1" localSheetId="69">'x-607'!$B$12</definedName>
    <definedName name="TABLE_AGE_DEF_1" localSheetId="70">'x-608'!$B$12</definedName>
    <definedName name="TABLE_AGE_DEF_1" localSheetId="71">'x-609'!$B$12</definedName>
    <definedName name="TABLE_AGE_DEF_1" localSheetId="72">'x-610'!$B$12</definedName>
    <definedName name="TABLE_AGE_DEF_1" localSheetId="73">'x-611'!$B$12</definedName>
    <definedName name="TABLE_AGE_DEF_1" localSheetId="74">'x-612'!$B$12</definedName>
    <definedName name="TABLE_AGE_DEF_1" localSheetId="75">'x-613'!$B$12</definedName>
    <definedName name="TABLE_AGE_DEF_1" localSheetId="76">'x-614'!$B$12</definedName>
    <definedName name="TABLE_AGE_DEF_1" localSheetId="77">'x-615'!$B$12</definedName>
    <definedName name="TABLE_AGE_DEF_1" localSheetId="78">'x-616'!$B$12</definedName>
    <definedName name="TABLE_AGE_DEF_1" localSheetId="79">'x-617'!$B$12</definedName>
    <definedName name="TABLE_AGE_DEF_1" localSheetId="80">'x-618'!$B$12</definedName>
    <definedName name="TABLE_AGE_DEF_1" localSheetId="81">'x-619'!$B$12</definedName>
    <definedName name="TABLE_AGE_DEF_1" localSheetId="82">'x-620'!$B$12</definedName>
    <definedName name="TABLE_AGE_DEF_1" localSheetId="83">'x-621'!$B$12</definedName>
    <definedName name="TABLE_AGE_DEF_1" localSheetId="84">'x-622'!$B$12</definedName>
    <definedName name="TABLE_AGE_DEF_1" localSheetId="85">'x-623'!$B$12</definedName>
    <definedName name="TABLE_AGE_DEF_1" localSheetId="86">'x-624'!$B$12</definedName>
    <definedName name="TABLE_AGE_DEF_1" localSheetId="87">'x-625'!$B$12</definedName>
    <definedName name="TABLE_AGE_DEF_1" localSheetId="88">'x-626'!$B$12</definedName>
    <definedName name="TABLE_AGE_DEF_1" localSheetId="89">'x-627'!$B$12</definedName>
    <definedName name="TABLE_AGE_DEF_1" localSheetId="90">'x-701'!$B$12</definedName>
    <definedName name="TABLE_AGE_DEF_1" localSheetId="91">'x-702'!$B$12</definedName>
    <definedName name="TABLE_AGE_DEF_1" localSheetId="92">'x-802'!$B$12</definedName>
    <definedName name="TABLE_AGE_DEF_2" localSheetId="90">'x-701'!$F$12</definedName>
    <definedName name="TABLE_AGE_DEF_2" localSheetId="92">'x-802'!$G$12</definedName>
    <definedName name="TABLE_AGE_DEF_3" localSheetId="92">'x-802'!$K$12</definedName>
    <definedName name="TABLE_AREA" localSheetId="64">'x-506'!#REF!</definedName>
    <definedName name="TABLE_AREA" localSheetId="84">'x-622'!#REF!</definedName>
    <definedName name="TABLE_AREA" localSheetId="85">'x-623'!#REF!</definedName>
    <definedName name="TABLE_AREA" localSheetId="86">'x-624'!#REF!</definedName>
    <definedName name="TABLE_AREA" localSheetId="87">'x-625'!#REF!</definedName>
    <definedName name="TABLE_AREA" localSheetId="88">'x-626'!#REF!</definedName>
    <definedName name="TABLE_AREA" localSheetId="89">'x-627'!#REF!</definedName>
    <definedName name="TABLE_AREA">'x-Series Number'!$A$25:$B$64</definedName>
    <definedName name="TABLE_AREA_1" localSheetId="8">'x-201'!$A$26:$D$68</definedName>
    <definedName name="TABLE_AREA_1" localSheetId="9">'x-202'!$A$26:$D$68</definedName>
    <definedName name="TABLE_AREA_1" localSheetId="10">'x-203'!$A$26:$C$73</definedName>
    <definedName name="TABLE_AREA_1" localSheetId="11">'x-204'!$A$26:$C$68</definedName>
    <definedName name="TABLE_AREA_1" localSheetId="12">'x-205'!$A$26:$C$31</definedName>
    <definedName name="TABLE_AREA_1" localSheetId="13">'x-206'!$A$26:$D$68</definedName>
    <definedName name="TABLE_AREA_1" localSheetId="14">'x-207'!$A$26:$D$68</definedName>
    <definedName name="TABLE_AREA_1" localSheetId="15">'x-208'!$A$26:$C$85</definedName>
    <definedName name="TABLE_AREA_1" localSheetId="16">'x-209'!$A$26:$C$85</definedName>
    <definedName name="TABLE_AREA_1" localSheetId="17">'x-210'!$A$26:$C$85</definedName>
    <definedName name="TABLE_AREA_1" localSheetId="18">'x-211'!$A$26:$C$85</definedName>
    <definedName name="TABLE_AREA_1" localSheetId="19">'x-212'!$A$26:$C$85</definedName>
    <definedName name="TABLE_AREA_1" localSheetId="20">'x-213'!$A$26:$C$85</definedName>
    <definedName name="TABLE_AREA_1" localSheetId="21">'x-214'!$A$26:$C$85</definedName>
    <definedName name="TABLE_AREA_1" localSheetId="22">'x-215'!$A$26:$C$85</definedName>
    <definedName name="TABLE_AREA_1" localSheetId="23">'x-220'!$A$26:$C$63</definedName>
    <definedName name="TABLE_AREA_1" localSheetId="24">'x-221'!$A$26:$C$63</definedName>
    <definedName name="TABLE_AREA_1" localSheetId="25">'x-301'!$A$26:$F$62</definedName>
    <definedName name="TABLE_AREA_1" localSheetId="26">'x-302'!$A$26:$F$62</definedName>
    <definedName name="TABLE_AREA_1" localSheetId="27">'x-303'!$A$26:$E$92</definedName>
    <definedName name="TABLE_AREA_1" localSheetId="28">'x-304'!$A$26:$E$92</definedName>
    <definedName name="TABLE_AREA_1" localSheetId="29">'x-305'!$A$26:$D$57</definedName>
    <definedName name="TABLE_AREA_1" localSheetId="30">'x-306'!$A$26:$D$57</definedName>
    <definedName name="TABLE_AREA_1" localSheetId="31">'x-307'!$A$26:$D$92</definedName>
    <definedName name="TABLE_AREA_1" localSheetId="32">'x-308'!$A$26:$D$92</definedName>
    <definedName name="TABLE_AREA_1" localSheetId="33">'x-309'!$A$26:$D$57</definedName>
    <definedName name="TABLE_AREA_1" localSheetId="34">'x-310'!$A$26:$D$57</definedName>
    <definedName name="TABLE_AREA_1" localSheetId="35">'x-311'!$A$26:$D$92</definedName>
    <definedName name="TABLE_AREA_1" localSheetId="36">'x-312'!$A$26:$D$92</definedName>
    <definedName name="TABLE_AREA_1" localSheetId="37">'x-313'!$A$26:$C$96</definedName>
    <definedName name="TABLE_AREA_1" localSheetId="38">'x-314'!$A$26:$C$96</definedName>
    <definedName name="TABLE_AREA_1" localSheetId="39">'x-315'!$A$26:$C$96</definedName>
    <definedName name="TABLE_AREA_1" localSheetId="40">'x-316'!$A$26:$E$94</definedName>
    <definedName name="TABLE_AREA_1" localSheetId="41">'x-317'!$A$26:$E$94</definedName>
    <definedName name="TABLE_AREA_1" localSheetId="42">'x-318'!$A$26:$K$38</definedName>
    <definedName name="TABLE_AREA_1" localSheetId="43">'x-319'!$A$26:$G$38</definedName>
    <definedName name="TABLE_AREA_1" localSheetId="44">'x-320'!$A$26:$AQ$38</definedName>
    <definedName name="TABLE_AREA_1" localSheetId="45">'x-321'!$A$26:$K$38</definedName>
    <definedName name="TABLE_AREA_1" localSheetId="46">'x-322'!$A$26:$F$38</definedName>
    <definedName name="TABLE_AREA_1" localSheetId="47">'x-323'!$A$26:$K$38</definedName>
    <definedName name="TABLE_AREA_1" localSheetId="48">'x-324'!$A$26:$K$38</definedName>
    <definedName name="TABLE_AREA_1" localSheetId="49">'x-325'!$A$26:$AV$38</definedName>
    <definedName name="TABLE_AREA_1" localSheetId="50">'x-326'!$A$26:$AQ$38</definedName>
    <definedName name="TABLE_AREA_1" localSheetId="51">'x-327'!$A$26:$B$39</definedName>
    <definedName name="TABLE_AREA_1" localSheetId="52">'x-328'!$A$26:$B$77</definedName>
    <definedName name="TABLE_AREA_1" localSheetId="53">'x-401'!$A$26:$M$37</definedName>
    <definedName name="TABLE_AREA_1" localSheetId="54">'x-403'!$A$26:$M$40</definedName>
    <definedName name="TABLE_AREA_1" localSheetId="55">'x-404'!$A$26:$P$38</definedName>
    <definedName name="TABLE_AREA_1" localSheetId="56">'x-405'!$A$26:$P$38</definedName>
    <definedName name="TABLE_AREA_1" localSheetId="57">'x-406'!$A$26:$Q$38</definedName>
    <definedName name="TABLE_AREA_1" localSheetId="58">'x-407'!$A$26:$Q$38</definedName>
    <definedName name="TABLE_AREA_1" localSheetId="59">'x-501'!$A$26:$C$41</definedName>
    <definedName name="TABLE_AREA_1" localSheetId="60">'x-502'!$A$26:$B$101</definedName>
    <definedName name="TABLE_AREA_1" localSheetId="61">'x-503'!$A$26:$C$46</definedName>
    <definedName name="TABLE_AREA_1" localSheetId="62">'x-504'!$A$26:$B$101</definedName>
    <definedName name="TABLE_AREA_1" localSheetId="63">'x-505'!$A$26:$M$53</definedName>
    <definedName name="TABLE_AREA_1" localSheetId="64">'x-506'!$A$26:$B$27</definedName>
    <definedName name="TABLE_AREA_1" localSheetId="65">'x-603'!$A$26:$C$68</definedName>
    <definedName name="TABLE_AREA_1" localSheetId="66">'x-604'!$A$26:$C$41</definedName>
    <definedName name="TABLE_AREA_1" localSheetId="67">'x-605'!$A$26:$E$73</definedName>
    <definedName name="TABLE_AREA_1" localSheetId="68">'x-606'!$A$26:$E$41</definedName>
    <definedName name="TABLE_AREA_1" localSheetId="69">'x-607'!$A$26:$E$76</definedName>
    <definedName name="TABLE_AREA_1" localSheetId="70">'x-608'!$A$26:$E$76</definedName>
    <definedName name="TABLE_AREA_1" localSheetId="71">'x-609'!$A$26:$C$47</definedName>
    <definedName name="TABLE_AREA_1" localSheetId="72">'x-610'!$A$26:$C$82</definedName>
    <definedName name="TABLE_AREA_1" localSheetId="73">'x-611'!$A$26:$K$38</definedName>
    <definedName name="TABLE_AREA_1" localSheetId="74">'x-612'!$A$26:$G$38</definedName>
    <definedName name="TABLE_AREA_1" localSheetId="75">'x-613'!$A$26:$AQ$38</definedName>
    <definedName name="TABLE_AREA_1" localSheetId="76">'x-614'!$A$26:$K$38</definedName>
    <definedName name="TABLE_AREA_1" localSheetId="77">'x-615'!$A$26:$K$38</definedName>
    <definedName name="TABLE_AREA_1" localSheetId="78">'x-616'!$A$26:$F$38</definedName>
    <definedName name="TABLE_AREA_1" localSheetId="79">'x-617'!$A$26:$K$38</definedName>
    <definedName name="TABLE_AREA_1" localSheetId="80">'x-618'!$A$26:$AV$38</definedName>
    <definedName name="TABLE_AREA_1" localSheetId="81">'x-619'!$A$26:$AQ$38</definedName>
    <definedName name="TABLE_AREA_1" localSheetId="82">'x-620'!$A$26:$B$76</definedName>
    <definedName name="TABLE_AREA_1" localSheetId="83">'x-621'!$A$26:$B$39</definedName>
    <definedName name="TABLE_AREA_1" localSheetId="84">'x-622'!#REF!</definedName>
    <definedName name="TABLE_AREA_1" localSheetId="85">'x-623'!#REF!</definedName>
    <definedName name="TABLE_AREA_1" localSheetId="86">'x-624'!#REF!</definedName>
    <definedName name="TABLE_AREA_1" localSheetId="87">'x-625'!#REF!</definedName>
    <definedName name="TABLE_AREA_1" localSheetId="88">'x-626'!#REF!</definedName>
    <definedName name="TABLE_AREA_1" localSheetId="89">'x-627'!#REF!</definedName>
    <definedName name="TABLE_AREA_1" localSheetId="90">'x-701'!$A$26:$B$63</definedName>
    <definedName name="TABLE_AREA_1" localSheetId="91">'x-702'!$A$26:$B$67</definedName>
    <definedName name="TABLE_AREA_1" localSheetId="92">'x-802'!$A$26:$C$31</definedName>
    <definedName name="TABLE_AREA_2" localSheetId="90">'x-701'!$E$26:$F$27</definedName>
    <definedName name="TABLE_AREA_2" localSheetId="92">'x-802'!$F$26:$G$36</definedName>
    <definedName name="TABLE_AREA_3" localSheetId="92">'x-802'!$J$26:$K$31</definedName>
    <definedName name="TABLE_ASSUMPTION_SET_1" localSheetId="8">'x-201'!$B$21</definedName>
    <definedName name="TABLE_ASSUMPTION_SET_1" localSheetId="9">'x-202'!$B$21</definedName>
    <definedName name="TABLE_ASSUMPTION_SET_1" localSheetId="10">'x-203'!$B$21</definedName>
    <definedName name="TABLE_ASSUMPTION_SET_1" localSheetId="11">'x-204'!$B$21</definedName>
    <definedName name="TABLE_ASSUMPTION_SET_1" localSheetId="12">'x-205'!$B$21</definedName>
    <definedName name="TABLE_ASSUMPTION_SET_1" localSheetId="13">'x-206'!$B$21</definedName>
    <definedName name="TABLE_ASSUMPTION_SET_1" localSheetId="14">'x-207'!$B$21</definedName>
    <definedName name="TABLE_ASSUMPTION_SET_1" localSheetId="15">'x-208'!$B$21</definedName>
    <definedName name="TABLE_ASSUMPTION_SET_1" localSheetId="16">'x-209'!$B$21</definedName>
    <definedName name="TABLE_ASSUMPTION_SET_1" localSheetId="17">'x-210'!$B$21</definedName>
    <definedName name="TABLE_ASSUMPTION_SET_1" localSheetId="18">'x-211'!$B$21</definedName>
    <definedName name="TABLE_ASSUMPTION_SET_1" localSheetId="19">'x-212'!$B$21</definedName>
    <definedName name="TABLE_ASSUMPTION_SET_1" localSheetId="20">'x-213'!$B$21</definedName>
    <definedName name="TABLE_ASSUMPTION_SET_1" localSheetId="21">'x-214'!$B$21</definedName>
    <definedName name="TABLE_ASSUMPTION_SET_1" localSheetId="22">'x-215'!$B$21</definedName>
    <definedName name="TABLE_ASSUMPTION_SET_1" localSheetId="23">'x-220'!$B$21</definedName>
    <definedName name="TABLE_ASSUMPTION_SET_1" localSheetId="24">'x-221'!$B$21</definedName>
    <definedName name="TABLE_ASSUMPTION_SET_1" localSheetId="25">'x-301'!$B$21</definedName>
    <definedName name="TABLE_ASSUMPTION_SET_1" localSheetId="26">'x-302'!$B$21</definedName>
    <definedName name="TABLE_ASSUMPTION_SET_1" localSheetId="27">'x-303'!$B$21</definedName>
    <definedName name="TABLE_ASSUMPTION_SET_1" localSheetId="28">'x-304'!$B$21</definedName>
    <definedName name="TABLE_ASSUMPTION_SET_1" localSheetId="29">'x-305'!$B$21</definedName>
    <definedName name="TABLE_ASSUMPTION_SET_1" localSheetId="30">'x-306'!$B$21</definedName>
    <definedName name="TABLE_ASSUMPTION_SET_1" localSheetId="31">'x-307'!$B$21</definedName>
    <definedName name="TABLE_ASSUMPTION_SET_1" localSheetId="32">'x-308'!$B$21</definedName>
    <definedName name="TABLE_ASSUMPTION_SET_1" localSheetId="33">'x-309'!$B$21</definedName>
    <definedName name="TABLE_ASSUMPTION_SET_1" localSheetId="34">'x-310'!$B$21</definedName>
    <definedName name="TABLE_ASSUMPTION_SET_1" localSheetId="35">'x-311'!$B$21</definedName>
    <definedName name="TABLE_ASSUMPTION_SET_1" localSheetId="36">'x-312'!$B$21</definedName>
    <definedName name="TABLE_ASSUMPTION_SET_1" localSheetId="37">'x-313'!$B$21</definedName>
    <definedName name="TABLE_ASSUMPTION_SET_1" localSheetId="38">'x-314'!$B$21</definedName>
    <definedName name="TABLE_ASSUMPTION_SET_1" localSheetId="39">'x-315'!$B$21</definedName>
    <definedName name="TABLE_ASSUMPTION_SET_1" localSheetId="40">'x-316'!$B$21</definedName>
    <definedName name="TABLE_ASSUMPTION_SET_1" localSheetId="41">'x-317'!$B$21</definedName>
    <definedName name="TABLE_ASSUMPTION_SET_1" localSheetId="42">'x-318'!$B$21</definedName>
    <definedName name="TABLE_ASSUMPTION_SET_1" localSheetId="43">'x-319'!$B$21</definedName>
    <definedName name="TABLE_ASSUMPTION_SET_1" localSheetId="44">'x-320'!$B$21</definedName>
    <definedName name="TABLE_ASSUMPTION_SET_1" localSheetId="45">'x-321'!$B$21</definedName>
    <definedName name="TABLE_ASSUMPTION_SET_1" localSheetId="46">'x-322'!$B$21</definedName>
    <definedName name="TABLE_ASSUMPTION_SET_1" localSheetId="47">'x-323'!$B$21</definedName>
    <definedName name="TABLE_ASSUMPTION_SET_1" localSheetId="48">'x-324'!$B$21</definedName>
    <definedName name="TABLE_ASSUMPTION_SET_1" localSheetId="49">'x-325'!$B$21</definedName>
    <definedName name="TABLE_ASSUMPTION_SET_1" localSheetId="50">'x-326'!$B$21</definedName>
    <definedName name="TABLE_ASSUMPTION_SET_1" localSheetId="51">'x-327'!$B$21</definedName>
    <definedName name="TABLE_ASSUMPTION_SET_1" localSheetId="52">'x-328'!$B$21</definedName>
    <definedName name="TABLE_ASSUMPTION_SET_1" localSheetId="53">'x-401'!$B$21</definedName>
    <definedName name="TABLE_ASSUMPTION_SET_1" localSheetId="54">'x-403'!$B$21</definedName>
    <definedName name="TABLE_ASSUMPTION_SET_1" localSheetId="55">'x-404'!$B$21</definedName>
    <definedName name="TABLE_ASSUMPTION_SET_1" localSheetId="56">'x-405'!$B$21</definedName>
    <definedName name="TABLE_ASSUMPTION_SET_1" localSheetId="57">'x-406'!$B$21</definedName>
    <definedName name="TABLE_ASSUMPTION_SET_1" localSheetId="58">'x-407'!$B$21</definedName>
    <definedName name="TABLE_ASSUMPTION_SET_1" localSheetId="59">'x-501'!$B$21</definedName>
    <definedName name="TABLE_ASSUMPTION_SET_1" localSheetId="60">'x-502'!$B$21</definedName>
    <definedName name="TABLE_ASSUMPTION_SET_1" localSheetId="61">'x-503'!$B$21</definedName>
    <definedName name="TABLE_ASSUMPTION_SET_1" localSheetId="62">'x-504'!$B$21</definedName>
    <definedName name="TABLE_ASSUMPTION_SET_1" localSheetId="63">'x-505'!$B$21</definedName>
    <definedName name="TABLE_ASSUMPTION_SET_1" localSheetId="64">'x-506'!$B$21</definedName>
    <definedName name="TABLE_ASSUMPTION_SET_1" localSheetId="65">'x-603'!$B$21</definedName>
    <definedName name="TABLE_ASSUMPTION_SET_1" localSheetId="66">'x-604'!$B$21</definedName>
    <definedName name="TABLE_ASSUMPTION_SET_1" localSheetId="67">'x-605'!$B$21</definedName>
    <definedName name="TABLE_ASSUMPTION_SET_1" localSheetId="68">'x-606'!$B$21</definedName>
    <definedName name="TABLE_ASSUMPTION_SET_1" localSheetId="69">'x-607'!$B$21</definedName>
    <definedName name="TABLE_ASSUMPTION_SET_1" localSheetId="70">'x-608'!$B$21</definedName>
    <definedName name="TABLE_ASSUMPTION_SET_1" localSheetId="71">'x-609'!$B$21</definedName>
    <definedName name="TABLE_ASSUMPTION_SET_1" localSheetId="72">'x-610'!$B$21</definedName>
    <definedName name="TABLE_ASSUMPTION_SET_1" localSheetId="73">'x-611'!$B$21</definedName>
    <definedName name="TABLE_ASSUMPTION_SET_1" localSheetId="74">'x-612'!$B$21</definedName>
    <definedName name="TABLE_ASSUMPTION_SET_1" localSheetId="75">'x-613'!$B$21</definedName>
    <definedName name="TABLE_ASSUMPTION_SET_1" localSheetId="76">'x-614'!$B$21</definedName>
    <definedName name="TABLE_ASSUMPTION_SET_1" localSheetId="77">'x-615'!$B$21</definedName>
    <definedName name="TABLE_ASSUMPTION_SET_1" localSheetId="78">'x-616'!$B$21</definedName>
    <definedName name="TABLE_ASSUMPTION_SET_1" localSheetId="79">'x-617'!$B$21</definedName>
    <definedName name="TABLE_ASSUMPTION_SET_1" localSheetId="80">'x-618'!$B$21</definedName>
    <definedName name="TABLE_ASSUMPTION_SET_1" localSheetId="81">'x-619'!$B$21</definedName>
    <definedName name="TABLE_ASSUMPTION_SET_1" localSheetId="82">'x-620'!$B$21</definedName>
    <definedName name="TABLE_ASSUMPTION_SET_1" localSheetId="83">'x-621'!$B$21</definedName>
    <definedName name="TABLE_ASSUMPTION_SET_1" localSheetId="84">'x-622'!$B$21</definedName>
    <definedName name="TABLE_ASSUMPTION_SET_1" localSheetId="85">'x-623'!$B$21</definedName>
    <definedName name="TABLE_ASSUMPTION_SET_1" localSheetId="86">'x-624'!$B$21</definedName>
    <definedName name="TABLE_ASSUMPTION_SET_1" localSheetId="87">'x-625'!$B$21</definedName>
    <definedName name="TABLE_ASSUMPTION_SET_1" localSheetId="88">'x-626'!$B$21</definedName>
    <definedName name="TABLE_ASSUMPTION_SET_1" localSheetId="89">'x-627'!$B$21</definedName>
    <definedName name="TABLE_ASSUMPTION_SET_1" localSheetId="90">'x-701'!$B$21</definedName>
    <definedName name="TABLE_ASSUMPTION_SET_1" localSheetId="91">'x-702'!$B$21</definedName>
    <definedName name="TABLE_ASSUMPTION_SET_1" localSheetId="92">'x-802'!$B$21</definedName>
    <definedName name="TABLE_ASSUMPTION_SET_2" localSheetId="90">'x-701'!$F$21</definedName>
    <definedName name="TABLE_ASSUMPTION_SET_2" localSheetId="92">'x-802'!$G$21</definedName>
    <definedName name="TABLE_ASSUMPTION_SET_3" localSheetId="92">'x-802'!$K$21</definedName>
    <definedName name="TABLE_CLIENT">'x-Series Number'!$B$7</definedName>
    <definedName name="TABLE_CLIENT_1" localSheetId="8">'x-201'!$B$7</definedName>
    <definedName name="TABLE_CLIENT_1" localSheetId="9">'x-202'!$B$7</definedName>
    <definedName name="TABLE_CLIENT_1" localSheetId="10">'x-203'!$B$7</definedName>
    <definedName name="TABLE_CLIENT_1" localSheetId="11">'x-204'!$B$7</definedName>
    <definedName name="TABLE_CLIENT_1" localSheetId="12">'x-205'!$B$7</definedName>
    <definedName name="TABLE_CLIENT_1" localSheetId="13">'x-206'!$B$7</definedName>
    <definedName name="TABLE_CLIENT_1" localSheetId="14">'x-207'!$B$7</definedName>
    <definedName name="TABLE_CLIENT_1" localSheetId="15">'x-208'!$B$7</definedName>
    <definedName name="TABLE_CLIENT_1" localSheetId="16">'x-209'!$B$7</definedName>
    <definedName name="TABLE_CLIENT_1" localSheetId="17">'x-210'!$B$7</definedName>
    <definedName name="TABLE_CLIENT_1" localSheetId="18">'x-211'!$B$7</definedName>
    <definedName name="TABLE_CLIENT_1" localSheetId="19">'x-212'!$B$7</definedName>
    <definedName name="TABLE_CLIENT_1" localSheetId="20">'x-213'!$B$7</definedName>
    <definedName name="TABLE_CLIENT_1" localSheetId="21">'x-214'!$B$7</definedName>
    <definedName name="TABLE_CLIENT_1" localSheetId="22">'x-215'!$B$7</definedName>
    <definedName name="TABLE_CLIENT_1" localSheetId="23">'x-220'!$B$7</definedName>
    <definedName name="TABLE_CLIENT_1" localSheetId="24">'x-221'!$B$7</definedName>
    <definedName name="TABLE_CLIENT_1" localSheetId="25">'x-301'!$B$7</definedName>
    <definedName name="TABLE_CLIENT_1" localSheetId="26">'x-302'!$B$7</definedName>
    <definedName name="TABLE_CLIENT_1" localSheetId="27">'x-303'!$B$7</definedName>
    <definedName name="TABLE_CLIENT_1" localSheetId="28">'x-304'!$B$7</definedName>
    <definedName name="TABLE_CLIENT_1" localSheetId="29">'x-305'!$B$7</definedName>
    <definedName name="TABLE_CLIENT_1" localSheetId="30">'x-306'!$B$7</definedName>
    <definedName name="TABLE_CLIENT_1" localSheetId="31">'x-307'!$B$7</definedName>
    <definedName name="TABLE_CLIENT_1" localSheetId="32">'x-308'!$B$7</definedName>
    <definedName name="TABLE_CLIENT_1" localSheetId="33">'x-309'!$B$7</definedName>
    <definedName name="TABLE_CLIENT_1" localSheetId="34">'x-310'!$B$7</definedName>
    <definedName name="TABLE_CLIENT_1" localSheetId="35">'x-311'!$B$7</definedName>
    <definedName name="TABLE_CLIENT_1" localSheetId="36">'x-312'!$B$7</definedName>
    <definedName name="TABLE_CLIENT_1" localSheetId="37">'x-313'!$B$7</definedName>
    <definedName name="TABLE_CLIENT_1" localSheetId="38">'x-314'!$B$7</definedName>
    <definedName name="TABLE_CLIENT_1" localSheetId="39">'x-315'!$B$7</definedName>
    <definedName name="TABLE_CLIENT_1" localSheetId="40">'x-316'!$B$7</definedName>
    <definedName name="TABLE_CLIENT_1" localSheetId="41">'x-317'!$B$7</definedName>
    <definedName name="TABLE_CLIENT_1" localSheetId="42">'x-318'!$B$7</definedName>
    <definedName name="TABLE_CLIENT_1" localSheetId="43">'x-319'!$B$7</definedName>
    <definedName name="TABLE_CLIENT_1" localSheetId="44">'x-320'!$B$7</definedName>
    <definedName name="TABLE_CLIENT_1" localSheetId="45">'x-321'!$B$7</definedName>
    <definedName name="TABLE_CLIENT_1" localSheetId="46">'x-322'!$B$7</definedName>
    <definedName name="TABLE_CLIENT_1" localSheetId="47">'x-323'!$B$7</definedName>
    <definedName name="TABLE_CLIENT_1" localSheetId="48">'x-324'!$B$7</definedName>
    <definedName name="TABLE_CLIENT_1" localSheetId="49">'x-325'!$B$7</definedName>
    <definedName name="TABLE_CLIENT_1" localSheetId="50">'x-326'!$B$7</definedName>
    <definedName name="TABLE_CLIENT_1" localSheetId="51">'x-327'!$B$7</definedName>
    <definedName name="TABLE_CLIENT_1" localSheetId="52">'x-328'!$B$7</definedName>
    <definedName name="TABLE_CLIENT_1" localSheetId="53">'x-401'!$B$7</definedName>
    <definedName name="TABLE_CLIENT_1" localSheetId="54">'x-403'!$B$7</definedName>
    <definedName name="TABLE_CLIENT_1" localSheetId="55">'x-404'!$B$7</definedName>
    <definedName name="TABLE_CLIENT_1" localSheetId="56">'x-405'!$B$7</definedName>
    <definedName name="TABLE_CLIENT_1" localSheetId="57">'x-406'!$B$7</definedName>
    <definedName name="TABLE_CLIENT_1" localSheetId="58">'x-407'!$B$7</definedName>
    <definedName name="TABLE_CLIENT_1" localSheetId="59">'x-501'!$B$7</definedName>
    <definedName name="TABLE_CLIENT_1" localSheetId="60">'x-502'!$B$7</definedName>
    <definedName name="TABLE_CLIENT_1" localSheetId="61">'x-503'!$B$7</definedName>
    <definedName name="TABLE_CLIENT_1" localSheetId="62">'x-504'!$B$7</definedName>
    <definedName name="TABLE_CLIENT_1" localSheetId="63">'x-505'!$B$7</definedName>
    <definedName name="TABLE_CLIENT_1" localSheetId="64">'x-506'!$B$7</definedName>
    <definedName name="TABLE_CLIENT_1" localSheetId="65">'x-603'!$B$7</definedName>
    <definedName name="TABLE_CLIENT_1" localSheetId="66">'x-604'!$B$7</definedName>
    <definedName name="TABLE_CLIENT_1" localSheetId="67">'x-605'!$B$7</definedName>
    <definedName name="TABLE_CLIENT_1" localSheetId="68">'x-606'!$B$7</definedName>
    <definedName name="TABLE_CLIENT_1" localSheetId="69">'x-607'!$B$7</definedName>
    <definedName name="TABLE_CLIENT_1" localSheetId="70">'x-608'!$B$7</definedName>
    <definedName name="TABLE_CLIENT_1" localSheetId="71">'x-609'!$B$7</definedName>
    <definedName name="TABLE_CLIENT_1" localSheetId="72">'x-610'!$B$7</definedName>
    <definedName name="TABLE_CLIENT_1" localSheetId="73">'x-611'!$B$7</definedName>
    <definedName name="TABLE_CLIENT_1" localSheetId="74">'x-612'!$B$7</definedName>
    <definedName name="TABLE_CLIENT_1" localSheetId="75">'x-613'!$B$7</definedName>
    <definedName name="TABLE_CLIENT_1" localSheetId="76">'x-614'!$B$7</definedName>
    <definedName name="TABLE_CLIENT_1" localSheetId="77">'x-615'!$B$7</definedName>
    <definedName name="TABLE_CLIENT_1" localSheetId="78">'x-616'!$B$7</definedName>
    <definedName name="TABLE_CLIENT_1" localSheetId="79">'x-617'!$B$7</definedName>
    <definedName name="TABLE_CLIENT_1" localSheetId="80">'x-618'!$B$7</definedName>
    <definedName name="TABLE_CLIENT_1" localSheetId="81">'x-619'!$B$7</definedName>
    <definedName name="TABLE_CLIENT_1" localSheetId="82">'x-620'!$B$7</definedName>
    <definedName name="TABLE_CLIENT_1" localSheetId="83">'x-621'!$B$7</definedName>
    <definedName name="TABLE_CLIENT_1" localSheetId="84">'x-622'!$B$7</definedName>
    <definedName name="TABLE_CLIENT_1" localSheetId="85">'x-623'!$B$7</definedName>
    <definedName name="TABLE_CLIENT_1" localSheetId="86">'x-624'!$B$7</definedName>
    <definedName name="TABLE_CLIENT_1" localSheetId="87">'x-625'!$B$7</definedName>
    <definedName name="TABLE_CLIENT_1" localSheetId="88">'x-626'!$B$7</definedName>
    <definedName name="TABLE_CLIENT_1" localSheetId="89">'x-627'!$B$7</definedName>
    <definedName name="TABLE_CLIENT_1" localSheetId="90">'x-701'!$B$7</definedName>
    <definedName name="TABLE_CLIENT_1" localSheetId="91">'x-702'!$B$7</definedName>
    <definedName name="TABLE_CLIENT_1" localSheetId="92">'x-802'!$B$7</definedName>
    <definedName name="TABLE_CLIENT_2" localSheetId="90">'x-701'!$F$7</definedName>
    <definedName name="TABLE_CLIENT_2" localSheetId="92">'x-802'!$G$7</definedName>
    <definedName name="TABLE_CLIENT_3" localSheetId="92">'x-802'!$K$7</definedName>
    <definedName name="TABLE_DATE_IMPLEMENTED">'x-Series Number'!$B$19</definedName>
    <definedName name="TABLE_DATE_IMPLEMENTED_1" localSheetId="8">'x-201'!$B$19</definedName>
    <definedName name="TABLE_DATE_IMPLEMENTED_1" localSheetId="9">'x-202'!$B$19</definedName>
    <definedName name="TABLE_DATE_IMPLEMENTED_1" localSheetId="10">'x-203'!$B$19</definedName>
    <definedName name="TABLE_DATE_IMPLEMENTED_1" localSheetId="11">'x-204'!$B$19</definedName>
    <definedName name="TABLE_DATE_IMPLEMENTED_1" localSheetId="12">'x-205'!$B$19</definedName>
    <definedName name="TABLE_DATE_IMPLEMENTED_1" localSheetId="13">'x-206'!$B$19</definedName>
    <definedName name="TABLE_DATE_IMPLEMENTED_1" localSheetId="14">'x-207'!$B$19</definedName>
    <definedName name="TABLE_DATE_IMPLEMENTED_1" localSheetId="15">'x-208'!$B$19</definedName>
    <definedName name="TABLE_DATE_IMPLEMENTED_1" localSheetId="16">'x-209'!$B$19</definedName>
    <definedName name="TABLE_DATE_IMPLEMENTED_1" localSheetId="17">'x-210'!$B$19</definedName>
    <definedName name="TABLE_DATE_IMPLEMENTED_1" localSheetId="18">'x-211'!$B$19</definedName>
    <definedName name="TABLE_DATE_IMPLEMENTED_1" localSheetId="19">'x-212'!$B$19</definedName>
    <definedName name="TABLE_DATE_IMPLEMENTED_1" localSheetId="20">'x-213'!$B$19</definedName>
    <definedName name="TABLE_DATE_IMPLEMENTED_1" localSheetId="21">'x-214'!$B$19</definedName>
    <definedName name="TABLE_DATE_IMPLEMENTED_1" localSheetId="22">'x-215'!$B$19</definedName>
    <definedName name="TABLE_DATE_IMPLEMENTED_1" localSheetId="23">'x-220'!$B$19</definedName>
    <definedName name="TABLE_DATE_IMPLEMENTED_1" localSheetId="24">'x-221'!$B$19</definedName>
    <definedName name="TABLE_DATE_IMPLEMENTED_1" localSheetId="25">'x-301'!$B$19</definedName>
    <definedName name="TABLE_DATE_IMPLEMENTED_1" localSheetId="26">'x-302'!$B$19</definedName>
    <definedName name="TABLE_DATE_IMPLEMENTED_1" localSheetId="27">'x-303'!$B$19</definedName>
    <definedName name="TABLE_DATE_IMPLEMENTED_1" localSheetId="28">'x-304'!$B$19</definedName>
    <definedName name="TABLE_DATE_IMPLEMENTED_1" localSheetId="29">'x-305'!$B$19</definedName>
    <definedName name="TABLE_DATE_IMPLEMENTED_1" localSheetId="30">'x-306'!$B$19</definedName>
    <definedName name="TABLE_DATE_IMPLEMENTED_1" localSheetId="31">'x-307'!$B$19</definedName>
    <definedName name="TABLE_DATE_IMPLEMENTED_1" localSheetId="32">'x-308'!$B$19</definedName>
    <definedName name="TABLE_DATE_IMPLEMENTED_1" localSheetId="33">'x-309'!$B$19</definedName>
    <definedName name="TABLE_DATE_IMPLEMENTED_1" localSheetId="34">'x-310'!$B$19</definedName>
    <definedName name="TABLE_DATE_IMPLEMENTED_1" localSheetId="35">'x-311'!$B$19</definedName>
    <definedName name="TABLE_DATE_IMPLEMENTED_1" localSheetId="36">'x-312'!$B$19</definedName>
    <definedName name="TABLE_DATE_IMPLEMENTED_1" localSheetId="37">'x-313'!$B$19</definedName>
    <definedName name="TABLE_DATE_IMPLEMENTED_1" localSheetId="38">'x-314'!$B$19</definedName>
    <definedName name="TABLE_DATE_IMPLEMENTED_1" localSheetId="39">'x-315'!$B$19</definedName>
    <definedName name="TABLE_DATE_IMPLEMENTED_1" localSheetId="40">'x-316'!$B$19</definedName>
    <definedName name="TABLE_DATE_IMPLEMENTED_1" localSheetId="41">'x-317'!$B$19</definedName>
    <definedName name="TABLE_DATE_IMPLEMENTED_1" localSheetId="42">'x-318'!$B$19</definedName>
    <definedName name="TABLE_DATE_IMPLEMENTED_1" localSheetId="43">'x-319'!$B$19</definedName>
    <definedName name="TABLE_DATE_IMPLEMENTED_1" localSheetId="44">'x-320'!$B$19</definedName>
    <definedName name="TABLE_DATE_IMPLEMENTED_1" localSheetId="45">'x-321'!$B$19</definedName>
    <definedName name="TABLE_DATE_IMPLEMENTED_1" localSheetId="46">'x-322'!$B$19</definedName>
    <definedName name="TABLE_DATE_IMPLEMENTED_1" localSheetId="47">'x-323'!$B$19</definedName>
    <definedName name="TABLE_DATE_IMPLEMENTED_1" localSheetId="48">'x-324'!$B$19</definedName>
    <definedName name="TABLE_DATE_IMPLEMENTED_1" localSheetId="49">'x-325'!$B$19</definedName>
    <definedName name="TABLE_DATE_IMPLEMENTED_1" localSheetId="50">'x-326'!$B$19</definedName>
    <definedName name="TABLE_DATE_IMPLEMENTED_1" localSheetId="51">'x-327'!$B$19</definedName>
    <definedName name="TABLE_DATE_IMPLEMENTED_1" localSheetId="52">'x-328'!$B$19</definedName>
    <definedName name="TABLE_DATE_IMPLEMENTED_1" localSheetId="53">'x-401'!$B$19</definedName>
    <definedName name="TABLE_DATE_IMPLEMENTED_1" localSheetId="54">'x-403'!$B$19</definedName>
    <definedName name="TABLE_DATE_IMPLEMENTED_1" localSheetId="55">'x-404'!$B$19</definedName>
    <definedName name="TABLE_DATE_IMPLEMENTED_1" localSheetId="56">'x-405'!$B$19</definedName>
    <definedName name="TABLE_DATE_IMPLEMENTED_1" localSheetId="57">'x-406'!$B$19</definedName>
    <definedName name="TABLE_DATE_IMPLEMENTED_1" localSheetId="58">'x-407'!$B$19</definedName>
    <definedName name="TABLE_DATE_IMPLEMENTED_1" localSheetId="59">'x-501'!$B$19</definedName>
    <definedName name="TABLE_DATE_IMPLEMENTED_1" localSheetId="60">'x-502'!$B$19</definedName>
    <definedName name="TABLE_DATE_IMPLEMENTED_1" localSheetId="61">'x-503'!$B$19</definedName>
    <definedName name="TABLE_DATE_IMPLEMENTED_1" localSheetId="62">'x-504'!$B$19</definedName>
    <definedName name="TABLE_DATE_IMPLEMENTED_1" localSheetId="63">'x-505'!$B$19</definedName>
    <definedName name="TABLE_DATE_IMPLEMENTED_1" localSheetId="64">'x-506'!$B$19</definedName>
    <definedName name="TABLE_DATE_IMPLEMENTED_1" localSheetId="65">'x-603'!$B$19</definedName>
    <definedName name="TABLE_DATE_IMPLEMENTED_1" localSheetId="66">'x-604'!$B$19</definedName>
    <definedName name="TABLE_DATE_IMPLEMENTED_1" localSheetId="67">'x-605'!$B$19</definedName>
    <definedName name="TABLE_DATE_IMPLEMENTED_1" localSheetId="68">'x-606'!$B$19</definedName>
    <definedName name="TABLE_DATE_IMPLEMENTED_1" localSheetId="69">'x-607'!$B$19</definedName>
    <definedName name="TABLE_DATE_IMPLEMENTED_1" localSheetId="70">'x-608'!$B$19</definedName>
    <definedName name="TABLE_DATE_IMPLEMENTED_1" localSheetId="71">'x-609'!$B$19</definedName>
    <definedName name="TABLE_DATE_IMPLEMENTED_1" localSheetId="72">'x-610'!$B$19</definedName>
    <definedName name="TABLE_DATE_IMPLEMENTED_1" localSheetId="73">'x-611'!$B$19</definedName>
    <definedName name="TABLE_DATE_IMPLEMENTED_1" localSheetId="74">'x-612'!$B$19</definedName>
    <definedName name="TABLE_DATE_IMPLEMENTED_1" localSheetId="75">'x-613'!$B$19</definedName>
    <definedName name="TABLE_DATE_IMPLEMENTED_1" localSheetId="76">'x-614'!$B$19</definedName>
    <definedName name="TABLE_DATE_IMPLEMENTED_1" localSheetId="77">'x-615'!$B$19</definedName>
    <definedName name="TABLE_DATE_IMPLEMENTED_1" localSheetId="78">'x-616'!$B$19</definedName>
    <definedName name="TABLE_DATE_IMPLEMENTED_1" localSheetId="79">'x-617'!$B$19</definedName>
    <definedName name="TABLE_DATE_IMPLEMENTED_1" localSheetId="80">'x-618'!$B$19</definedName>
    <definedName name="TABLE_DATE_IMPLEMENTED_1" localSheetId="81">'x-619'!$B$19</definedName>
    <definedName name="TABLE_DATE_IMPLEMENTED_1" localSheetId="82">'x-620'!$B$19</definedName>
    <definedName name="TABLE_DATE_IMPLEMENTED_1" localSheetId="83">'x-621'!$B$19</definedName>
    <definedName name="TABLE_DATE_IMPLEMENTED_1" localSheetId="84">'x-622'!$B$19</definedName>
    <definedName name="TABLE_DATE_IMPLEMENTED_1" localSheetId="85">'x-623'!$B$19</definedName>
    <definedName name="TABLE_DATE_IMPLEMENTED_1" localSheetId="86">'x-624'!$B$19</definedName>
    <definedName name="TABLE_DATE_IMPLEMENTED_1" localSheetId="87">'x-625'!$B$19</definedName>
    <definedName name="TABLE_DATE_IMPLEMENTED_1" localSheetId="88">'x-626'!$B$19</definedName>
    <definedName name="TABLE_DATE_IMPLEMENTED_1" localSheetId="89">'x-627'!$B$19</definedName>
    <definedName name="TABLE_DATE_IMPLEMENTED_1" localSheetId="90">'x-701'!$B$19</definedName>
    <definedName name="TABLE_DATE_IMPLEMENTED_1" localSheetId="91">'x-702'!$B$19</definedName>
    <definedName name="TABLE_DATE_IMPLEMENTED_1" localSheetId="92">'x-802'!$B$19</definedName>
    <definedName name="TABLE_DATE_IMPLEMENTED_2" localSheetId="90">'x-701'!$F$19</definedName>
    <definedName name="TABLE_DATE_IMPLEMENTED_2" localSheetId="92">'x-802'!$G$19</definedName>
    <definedName name="TABLE_DATE_IMPLEMENTED_3" localSheetId="92">'x-802'!$K$19</definedName>
    <definedName name="TABLE_DATE_ISSUED">'x-Series Number'!$B$18</definedName>
    <definedName name="TABLE_DATE_ISSUED_1" localSheetId="8">'x-201'!$B$18</definedName>
    <definedName name="TABLE_DATE_ISSUED_1" localSheetId="9">'x-202'!$B$18</definedName>
    <definedName name="TABLE_DATE_ISSUED_1" localSheetId="10">'x-203'!$B$18</definedName>
    <definedName name="TABLE_DATE_ISSUED_1" localSheetId="11">'x-204'!$B$18</definedName>
    <definedName name="TABLE_DATE_ISSUED_1" localSheetId="12">'x-205'!$B$18</definedName>
    <definedName name="TABLE_DATE_ISSUED_1" localSheetId="13">'x-206'!$B$18</definedName>
    <definedName name="TABLE_DATE_ISSUED_1" localSheetId="14">'x-207'!$B$18</definedName>
    <definedName name="TABLE_DATE_ISSUED_1" localSheetId="15">'x-208'!$B$18</definedName>
    <definedName name="TABLE_DATE_ISSUED_1" localSheetId="16">'x-209'!$B$18</definedName>
    <definedName name="TABLE_DATE_ISSUED_1" localSheetId="17">'x-210'!$B$18</definedName>
    <definedName name="TABLE_DATE_ISSUED_1" localSheetId="18">'x-211'!$B$18</definedName>
    <definedName name="TABLE_DATE_ISSUED_1" localSheetId="19">'x-212'!$B$18</definedName>
    <definedName name="TABLE_DATE_ISSUED_1" localSheetId="20">'x-213'!$B$18</definedName>
    <definedName name="TABLE_DATE_ISSUED_1" localSheetId="21">'x-214'!$B$18</definedName>
    <definedName name="TABLE_DATE_ISSUED_1" localSheetId="22">'x-215'!$B$18</definedName>
    <definedName name="TABLE_DATE_ISSUED_1" localSheetId="23">'x-220'!$B$18</definedName>
    <definedName name="TABLE_DATE_ISSUED_1" localSheetId="24">'x-221'!$B$18</definedName>
    <definedName name="TABLE_DATE_ISSUED_1" localSheetId="25">'x-301'!$B$18</definedName>
    <definedName name="TABLE_DATE_ISSUED_1" localSheetId="26">'x-302'!$B$18</definedName>
    <definedName name="TABLE_DATE_ISSUED_1" localSheetId="27">'x-303'!$B$18</definedName>
    <definedName name="TABLE_DATE_ISSUED_1" localSheetId="28">'x-304'!$B$18</definedName>
    <definedName name="TABLE_DATE_ISSUED_1" localSheetId="29">'x-305'!$B$18</definedName>
    <definedName name="TABLE_DATE_ISSUED_1" localSheetId="30">'x-306'!$B$18</definedName>
    <definedName name="TABLE_DATE_ISSUED_1" localSheetId="31">'x-307'!$B$18</definedName>
    <definedName name="TABLE_DATE_ISSUED_1" localSheetId="32">'x-308'!$B$18</definedName>
    <definedName name="TABLE_DATE_ISSUED_1" localSheetId="33">'x-309'!$B$18</definedName>
    <definedName name="TABLE_DATE_ISSUED_1" localSheetId="34">'x-310'!$B$18</definedName>
    <definedName name="TABLE_DATE_ISSUED_1" localSheetId="35">'x-311'!$B$18</definedName>
    <definedName name="TABLE_DATE_ISSUED_1" localSheetId="36">'x-312'!$B$18</definedName>
    <definedName name="TABLE_DATE_ISSUED_1" localSheetId="37">'x-313'!$B$18</definedName>
    <definedName name="TABLE_DATE_ISSUED_1" localSheetId="38">'x-314'!$B$18</definedName>
    <definedName name="TABLE_DATE_ISSUED_1" localSheetId="39">'x-315'!$B$18</definedName>
    <definedName name="TABLE_DATE_ISSUED_1" localSheetId="40">'x-316'!$B$18</definedName>
    <definedName name="TABLE_DATE_ISSUED_1" localSheetId="41">'x-317'!$B$18</definedName>
    <definedName name="TABLE_DATE_ISSUED_1" localSheetId="42">'x-318'!$B$18</definedName>
    <definedName name="TABLE_DATE_ISSUED_1" localSheetId="43">'x-319'!$B$18</definedName>
    <definedName name="TABLE_DATE_ISSUED_1" localSheetId="44">'x-320'!$B$18</definedName>
    <definedName name="TABLE_DATE_ISSUED_1" localSheetId="45">'x-321'!$B$18</definedName>
    <definedName name="TABLE_DATE_ISSUED_1" localSheetId="46">'x-322'!$B$18</definedName>
    <definedName name="TABLE_DATE_ISSUED_1" localSheetId="47">'x-323'!$B$18</definedName>
    <definedName name="TABLE_DATE_ISSUED_1" localSheetId="48">'x-324'!$B$18</definedName>
    <definedName name="TABLE_DATE_ISSUED_1" localSheetId="49">'x-325'!$B$18</definedName>
    <definedName name="TABLE_DATE_ISSUED_1" localSheetId="50">'x-326'!$B$18</definedName>
    <definedName name="TABLE_DATE_ISSUED_1" localSheetId="51">'x-327'!$B$18</definedName>
    <definedName name="TABLE_DATE_ISSUED_1" localSheetId="52">'x-328'!$B$18</definedName>
    <definedName name="TABLE_DATE_ISSUED_1" localSheetId="53">'x-401'!$B$18</definedName>
    <definedName name="TABLE_DATE_ISSUED_1" localSheetId="54">'x-403'!$B$18</definedName>
    <definedName name="TABLE_DATE_ISSUED_1" localSheetId="55">'x-404'!$B$18</definedName>
    <definedName name="TABLE_DATE_ISSUED_1" localSheetId="56">'x-405'!$B$18</definedName>
    <definedName name="TABLE_DATE_ISSUED_1" localSheetId="57">'x-406'!$B$18</definedName>
    <definedName name="TABLE_DATE_ISSUED_1" localSheetId="58">'x-407'!$B$18</definedName>
    <definedName name="TABLE_DATE_ISSUED_1" localSheetId="59">'x-501'!$B$18</definedName>
    <definedName name="TABLE_DATE_ISSUED_1" localSheetId="60">'x-502'!$B$18</definedName>
    <definedName name="TABLE_DATE_ISSUED_1" localSheetId="61">'x-503'!$B$18</definedName>
    <definedName name="TABLE_DATE_ISSUED_1" localSheetId="62">'x-504'!$B$18</definedName>
    <definedName name="TABLE_DATE_ISSUED_1" localSheetId="63">'x-505'!$B$18</definedName>
    <definedName name="TABLE_DATE_ISSUED_1" localSheetId="64">'x-506'!$B$18</definedName>
    <definedName name="TABLE_DATE_ISSUED_1" localSheetId="65">'x-603'!$B$18</definedName>
    <definedName name="TABLE_DATE_ISSUED_1" localSheetId="66">'x-604'!$B$18</definedName>
    <definedName name="TABLE_DATE_ISSUED_1" localSheetId="67">'x-605'!$B$18</definedName>
    <definedName name="TABLE_DATE_ISSUED_1" localSheetId="68">'x-606'!$B$18</definedName>
    <definedName name="TABLE_DATE_ISSUED_1" localSheetId="69">'x-607'!$B$18</definedName>
    <definedName name="TABLE_DATE_ISSUED_1" localSheetId="70">'x-608'!$B$18</definedName>
    <definedName name="TABLE_DATE_ISSUED_1" localSheetId="71">'x-609'!$B$18</definedName>
    <definedName name="TABLE_DATE_ISSUED_1" localSheetId="72">'x-610'!$B$18</definedName>
    <definedName name="TABLE_DATE_ISSUED_1" localSheetId="73">'x-611'!$B$18</definedName>
    <definedName name="TABLE_DATE_ISSUED_1" localSheetId="74">'x-612'!$B$18</definedName>
    <definedName name="TABLE_DATE_ISSUED_1" localSheetId="75">'x-613'!$B$18</definedName>
    <definedName name="TABLE_DATE_ISSUED_1" localSheetId="76">'x-614'!$B$18</definedName>
    <definedName name="TABLE_DATE_ISSUED_1" localSheetId="77">'x-615'!$B$18</definedName>
    <definedName name="TABLE_DATE_ISSUED_1" localSheetId="78">'x-616'!$B$18</definedName>
    <definedName name="TABLE_DATE_ISSUED_1" localSheetId="79">'x-617'!$B$18</definedName>
    <definedName name="TABLE_DATE_ISSUED_1" localSheetId="80">'x-618'!$B$18</definedName>
    <definedName name="TABLE_DATE_ISSUED_1" localSheetId="81">'x-619'!$B$18</definedName>
    <definedName name="TABLE_DATE_ISSUED_1" localSheetId="82">'x-620'!$B$18</definedName>
    <definedName name="TABLE_DATE_ISSUED_1" localSheetId="83">'x-621'!$B$18</definedName>
    <definedName name="TABLE_DATE_ISSUED_1" localSheetId="84">'x-622'!$B$18</definedName>
    <definedName name="TABLE_DATE_ISSUED_1" localSheetId="85">'x-623'!$B$18</definedName>
    <definedName name="TABLE_DATE_ISSUED_1" localSheetId="86">'x-624'!$B$18</definedName>
    <definedName name="TABLE_DATE_ISSUED_1" localSheetId="87">'x-625'!$B$18</definedName>
    <definedName name="TABLE_DATE_ISSUED_1" localSheetId="88">'x-626'!$B$18</definedName>
    <definedName name="TABLE_DATE_ISSUED_1" localSheetId="89">'x-627'!$B$18</definedName>
    <definedName name="TABLE_DATE_ISSUED_1" localSheetId="90">'x-701'!$B$18</definedName>
    <definedName name="TABLE_DATE_ISSUED_1" localSheetId="91">'x-702'!$B$18</definedName>
    <definedName name="TABLE_DATE_ISSUED_1" localSheetId="92">'x-802'!$B$18</definedName>
    <definedName name="TABLE_DATE_ISSUED_2" localSheetId="90">'x-701'!$F$18</definedName>
    <definedName name="TABLE_DATE_ISSUED_2" localSheetId="92">'x-802'!$G$18</definedName>
    <definedName name="TABLE_DATE_ISSUED_3" localSheetId="92">'x-802'!$K$18</definedName>
    <definedName name="TABLE_DESCRIPTION">'x-Series Number'!$B$10</definedName>
    <definedName name="TABLE_DESCRIPTION_1" localSheetId="8">'x-201'!$B$10</definedName>
    <definedName name="TABLE_DESCRIPTION_1" localSheetId="9">'x-202'!$B$10</definedName>
    <definedName name="TABLE_DESCRIPTION_1" localSheetId="10">'x-203'!$B$10</definedName>
    <definedName name="TABLE_DESCRIPTION_1" localSheetId="11">'x-204'!$B$10</definedName>
    <definedName name="TABLE_DESCRIPTION_1" localSheetId="12">'x-205'!$B$10</definedName>
    <definedName name="TABLE_DESCRIPTION_1" localSheetId="13">'x-206'!$B$10</definedName>
    <definedName name="TABLE_DESCRIPTION_1" localSheetId="14">'x-207'!$B$10</definedName>
    <definedName name="TABLE_DESCRIPTION_1" localSheetId="15">'x-208'!$B$10</definedName>
    <definedName name="TABLE_DESCRIPTION_1" localSheetId="16">'x-209'!$B$10</definedName>
    <definedName name="TABLE_DESCRIPTION_1" localSheetId="17">'x-210'!$B$10</definedName>
    <definedName name="TABLE_DESCRIPTION_1" localSheetId="18">'x-211'!$B$10</definedName>
    <definedName name="TABLE_DESCRIPTION_1" localSheetId="19">'x-212'!$B$10</definedName>
    <definedName name="TABLE_DESCRIPTION_1" localSheetId="20">'x-213'!$B$10</definedName>
    <definedName name="TABLE_DESCRIPTION_1" localSheetId="21">'x-214'!$B$10</definedName>
    <definedName name="TABLE_DESCRIPTION_1" localSheetId="22">'x-215'!$B$10</definedName>
    <definedName name="TABLE_DESCRIPTION_1" localSheetId="23">'x-220'!$B$10</definedName>
    <definedName name="TABLE_DESCRIPTION_1" localSheetId="24">'x-221'!$B$10</definedName>
    <definedName name="TABLE_DESCRIPTION_1" localSheetId="25">'x-301'!$B$10</definedName>
    <definedName name="TABLE_DESCRIPTION_1" localSheetId="26">'x-302'!$B$10</definedName>
    <definedName name="TABLE_DESCRIPTION_1" localSheetId="27">'x-303'!$B$10</definedName>
    <definedName name="TABLE_DESCRIPTION_1" localSheetId="28">'x-304'!$B$10</definedName>
    <definedName name="TABLE_DESCRIPTION_1" localSheetId="29">'x-305'!$B$10</definedName>
    <definedName name="TABLE_DESCRIPTION_1" localSheetId="30">'x-306'!$B$10</definedName>
    <definedName name="TABLE_DESCRIPTION_1" localSheetId="31">'x-307'!$B$10</definedName>
    <definedName name="TABLE_DESCRIPTION_1" localSheetId="32">'x-308'!$B$10</definedName>
    <definedName name="TABLE_DESCRIPTION_1" localSheetId="33">'x-309'!$B$10</definedName>
    <definedName name="TABLE_DESCRIPTION_1" localSheetId="34">'x-310'!$B$10</definedName>
    <definedName name="TABLE_DESCRIPTION_1" localSheetId="35">'x-311'!$B$10</definedName>
    <definedName name="TABLE_DESCRIPTION_1" localSheetId="36">'x-312'!$B$10</definedName>
    <definedName name="TABLE_DESCRIPTION_1" localSheetId="37">'x-313'!$B$10</definedName>
    <definedName name="TABLE_DESCRIPTION_1" localSheetId="38">'x-314'!$B$10</definedName>
    <definedName name="TABLE_DESCRIPTION_1" localSheetId="39">'x-315'!$B$10</definedName>
    <definedName name="TABLE_DESCRIPTION_1" localSheetId="40">'x-316'!$B$10</definedName>
    <definedName name="TABLE_DESCRIPTION_1" localSheetId="41">'x-317'!$B$10</definedName>
    <definedName name="TABLE_DESCRIPTION_1" localSheetId="42">'x-318'!$B$10</definedName>
    <definedName name="TABLE_DESCRIPTION_1" localSheetId="43">'x-319'!$B$10</definedName>
    <definedName name="TABLE_DESCRIPTION_1" localSheetId="44">'x-320'!$B$10</definedName>
    <definedName name="TABLE_DESCRIPTION_1" localSheetId="45">'x-321'!$B$10</definedName>
    <definedName name="TABLE_DESCRIPTION_1" localSheetId="46">'x-322'!$B$10</definedName>
    <definedName name="TABLE_DESCRIPTION_1" localSheetId="47">'x-323'!$B$10</definedName>
    <definedName name="TABLE_DESCRIPTION_1" localSheetId="48">'x-324'!$B$10</definedName>
    <definedName name="TABLE_DESCRIPTION_1" localSheetId="49">'x-325'!$B$10</definedName>
    <definedName name="TABLE_DESCRIPTION_1" localSheetId="50">'x-326'!$B$10</definedName>
    <definedName name="TABLE_DESCRIPTION_1" localSheetId="51">'x-327'!$B$10</definedName>
    <definedName name="TABLE_DESCRIPTION_1" localSheetId="52">'x-328'!$B$10</definedName>
    <definedName name="TABLE_DESCRIPTION_1" localSheetId="53">'x-401'!$B$10</definedName>
    <definedName name="TABLE_DESCRIPTION_1" localSheetId="54">'x-403'!$B$10</definedName>
    <definedName name="TABLE_DESCRIPTION_1" localSheetId="55">'x-404'!$B$10</definedName>
    <definedName name="TABLE_DESCRIPTION_1" localSheetId="56">'x-405'!$B$10</definedName>
    <definedName name="TABLE_DESCRIPTION_1" localSheetId="57">'x-406'!$B$10</definedName>
    <definedName name="TABLE_DESCRIPTION_1" localSheetId="58">'x-407'!$B$10</definedName>
    <definedName name="TABLE_DESCRIPTION_1" localSheetId="59">'x-501'!$B$10</definedName>
    <definedName name="TABLE_DESCRIPTION_1" localSheetId="60">'x-502'!$B$10</definedName>
    <definedName name="TABLE_DESCRIPTION_1" localSheetId="61">'x-503'!$B$10</definedName>
    <definedName name="TABLE_DESCRIPTION_1" localSheetId="62">'x-504'!$B$10</definedName>
    <definedName name="TABLE_DESCRIPTION_1" localSheetId="63">'x-505'!$B$10</definedName>
    <definedName name="TABLE_DESCRIPTION_1" localSheetId="64">'x-506'!$B$10</definedName>
    <definedName name="TABLE_DESCRIPTION_1" localSheetId="65">'x-603'!$B$10</definedName>
    <definedName name="TABLE_DESCRIPTION_1" localSheetId="66">'x-604'!$B$10</definedName>
    <definedName name="TABLE_DESCRIPTION_1" localSheetId="67">'x-605'!$B$10</definedName>
    <definedName name="TABLE_DESCRIPTION_1" localSheetId="68">'x-606'!$B$10</definedName>
    <definedName name="TABLE_DESCRIPTION_1" localSheetId="69">'x-607'!$B$10</definedName>
    <definedName name="TABLE_DESCRIPTION_1" localSheetId="70">'x-608'!$B$10</definedName>
    <definedName name="TABLE_DESCRIPTION_1" localSheetId="71">'x-609'!$B$10</definedName>
    <definedName name="TABLE_DESCRIPTION_1" localSheetId="72">'x-610'!$B$10</definedName>
    <definedName name="TABLE_DESCRIPTION_1" localSheetId="73">'x-611'!$B$10</definedName>
    <definedName name="TABLE_DESCRIPTION_1" localSheetId="74">'x-612'!$B$10</definedName>
    <definedName name="TABLE_DESCRIPTION_1" localSheetId="75">'x-613'!$B$10</definedName>
    <definedName name="TABLE_DESCRIPTION_1" localSheetId="76">'x-614'!$B$10</definedName>
    <definedName name="TABLE_DESCRIPTION_1" localSheetId="77">'x-615'!$B$10</definedName>
    <definedName name="TABLE_DESCRIPTION_1" localSheetId="78">'x-616'!$B$10</definedName>
    <definedName name="TABLE_DESCRIPTION_1" localSheetId="79">'x-617'!$B$10</definedName>
    <definedName name="TABLE_DESCRIPTION_1" localSheetId="80">'x-618'!$B$10</definedName>
    <definedName name="TABLE_DESCRIPTION_1" localSheetId="81">'x-619'!$B$10</definedName>
    <definedName name="TABLE_DESCRIPTION_1" localSheetId="82">'x-620'!$B$10</definedName>
    <definedName name="TABLE_DESCRIPTION_1" localSheetId="83">'x-621'!$B$10</definedName>
    <definedName name="TABLE_DESCRIPTION_1" localSheetId="84">'x-622'!$B$10</definedName>
    <definedName name="TABLE_DESCRIPTION_1" localSheetId="85">'x-623'!$B$10</definedName>
    <definedName name="TABLE_DESCRIPTION_1" localSheetId="86">'x-624'!$B$10</definedName>
    <definedName name="TABLE_DESCRIPTION_1" localSheetId="87">'x-625'!$B$10</definedName>
    <definedName name="TABLE_DESCRIPTION_1" localSheetId="88">'x-626'!$B$10</definedName>
    <definedName name="TABLE_DESCRIPTION_1" localSheetId="89">'x-627'!$B$10</definedName>
    <definedName name="TABLE_DESCRIPTION_1" localSheetId="90">'x-701'!$B$10</definedName>
    <definedName name="TABLE_DESCRIPTION_1" localSheetId="91">'x-702'!$B$10</definedName>
    <definedName name="TABLE_DESCRIPTION_1" localSheetId="92">'x-802'!$B$10</definedName>
    <definedName name="TABLE_DESCRIPTION_2" localSheetId="90">'x-701'!$F$10</definedName>
    <definedName name="TABLE_DESCRIPTION_2" localSheetId="92">'x-802'!$G$10</definedName>
    <definedName name="TABLE_DESCRIPTION_3" localSheetId="92">'x-802'!$K$10</definedName>
    <definedName name="TABLE_FACTOR_STATUS">'x-Series Number'!$B$20</definedName>
    <definedName name="TABLE_FACTOR_STATUS_1" localSheetId="8">'x-201'!$B$20</definedName>
    <definedName name="TABLE_FACTOR_STATUS_1" localSheetId="9">'x-202'!$B$20</definedName>
    <definedName name="TABLE_FACTOR_STATUS_1" localSheetId="10">'x-203'!$B$20</definedName>
    <definedName name="TABLE_FACTOR_STATUS_1" localSheetId="11">'x-204'!$B$20</definedName>
    <definedName name="TABLE_FACTOR_STATUS_1" localSheetId="12">'x-205'!$B$20</definedName>
    <definedName name="TABLE_FACTOR_STATUS_1" localSheetId="13">'x-206'!$B$20</definedName>
    <definedName name="TABLE_FACTOR_STATUS_1" localSheetId="14">'x-207'!$B$20</definedName>
    <definedName name="TABLE_FACTOR_STATUS_1" localSheetId="15">'x-208'!$B$20</definedName>
    <definedName name="TABLE_FACTOR_STATUS_1" localSheetId="16">'x-209'!$B$20</definedName>
    <definedName name="TABLE_FACTOR_STATUS_1" localSheetId="17">'x-210'!$B$20</definedName>
    <definedName name="TABLE_FACTOR_STATUS_1" localSheetId="18">'x-211'!$B$20</definedName>
    <definedName name="TABLE_FACTOR_STATUS_1" localSheetId="19">'x-212'!$B$20</definedName>
    <definedName name="TABLE_FACTOR_STATUS_1" localSheetId="20">'x-213'!$B$20</definedName>
    <definedName name="TABLE_FACTOR_STATUS_1" localSheetId="21">'x-214'!$B$20</definedName>
    <definedName name="TABLE_FACTOR_STATUS_1" localSheetId="22">'x-215'!$B$20</definedName>
    <definedName name="TABLE_FACTOR_STATUS_1" localSheetId="23">'x-220'!$B$20</definedName>
    <definedName name="TABLE_FACTOR_STATUS_1" localSheetId="24">'x-221'!$B$20</definedName>
    <definedName name="TABLE_FACTOR_STATUS_1" localSheetId="25">'x-301'!$B$20</definedName>
    <definedName name="TABLE_FACTOR_STATUS_1" localSheetId="26">'x-302'!$B$20</definedName>
    <definedName name="TABLE_FACTOR_STATUS_1" localSheetId="27">'x-303'!$B$20</definedName>
    <definedName name="TABLE_FACTOR_STATUS_1" localSheetId="28">'x-304'!$B$20</definedName>
    <definedName name="TABLE_FACTOR_STATUS_1" localSheetId="29">'x-305'!$B$20</definedName>
    <definedName name="TABLE_FACTOR_STATUS_1" localSheetId="30">'x-306'!$B$20</definedName>
    <definedName name="TABLE_FACTOR_STATUS_1" localSheetId="31">'x-307'!$B$20</definedName>
    <definedName name="TABLE_FACTOR_STATUS_1" localSheetId="32">'x-308'!$B$20</definedName>
    <definedName name="TABLE_FACTOR_STATUS_1" localSheetId="33">'x-309'!$B$20</definedName>
    <definedName name="TABLE_FACTOR_STATUS_1" localSheetId="34">'x-310'!$B$20</definedName>
    <definedName name="TABLE_FACTOR_STATUS_1" localSheetId="35">'x-311'!$B$20</definedName>
    <definedName name="TABLE_FACTOR_STATUS_1" localSheetId="36">'x-312'!$B$20</definedName>
    <definedName name="TABLE_FACTOR_STATUS_1" localSheetId="37">'x-313'!$B$20</definedName>
    <definedName name="TABLE_FACTOR_STATUS_1" localSheetId="38">'x-314'!$B$20</definedName>
    <definedName name="TABLE_FACTOR_STATUS_1" localSheetId="39">'x-315'!$B$20</definedName>
    <definedName name="TABLE_FACTOR_STATUS_1" localSheetId="40">'x-316'!$B$20</definedName>
    <definedName name="TABLE_FACTOR_STATUS_1" localSheetId="41">'x-317'!$B$20</definedName>
    <definedName name="TABLE_FACTOR_STATUS_1" localSheetId="42">'x-318'!$B$20</definedName>
    <definedName name="TABLE_FACTOR_STATUS_1" localSheetId="43">'x-319'!$B$20</definedName>
    <definedName name="TABLE_FACTOR_STATUS_1" localSheetId="44">'x-320'!$B$20</definedName>
    <definedName name="TABLE_FACTOR_STATUS_1" localSheetId="45">'x-321'!$B$20</definedName>
    <definedName name="TABLE_FACTOR_STATUS_1" localSheetId="46">'x-322'!$B$20</definedName>
    <definedName name="TABLE_FACTOR_STATUS_1" localSheetId="47">'x-323'!$B$20</definedName>
    <definedName name="TABLE_FACTOR_STATUS_1" localSheetId="48">'x-324'!$B$20</definedName>
    <definedName name="TABLE_FACTOR_STATUS_1" localSheetId="49">'x-325'!$B$20</definedName>
    <definedName name="TABLE_FACTOR_STATUS_1" localSheetId="50">'x-326'!$B$20</definedName>
    <definedName name="TABLE_FACTOR_STATUS_1" localSheetId="51">'x-327'!$B$20</definedName>
    <definedName name="TABLE_FACTOR_STATUS_1" localSheetId="52">'x-328'!$B$20</definedName>
    <definedName name="TABLE_FACTOR_STATUS_1" localSheetId="53">'x-401'!$B$20</definedName>
    <definedName name="TABLE_FACTOR_STATUS_1" localSheetId="54">'x-403'!$B$20</definedName>
    <definedName name="TABLE_FACTOR_STATUS_1" localSheetId="55">'x-404'!$B$20</definedName>
    <definedName name="TABLE_FACTOR_STATUS_1" localSheetId="56">'x-405'!$B$20</definedName>
    <definedName name="TABLE_FACTOR_STATUS_1" localSheetId="57">'x-406'!$B$20</definedName>
    <definedName name="TABLE_FACTOR_STATUS_1" localSheetId="58">'x-407'!$B$20</definedName>
    <definedName name="TABLE_FACTOR_STATUS_1" localSheetId="59">'x-501'!$B$20</definedName>
    <definedName name="TABLE_FACTOR_STATUS_1" localSheetId="60">'x-502'!$B$20</definedName>
    <definedName name="TABLE_FACTOR_STATUS_1" localSheetId="61">'x-503'!$B$20</definedName>
    <definedName name="TABLE_FACTOR_STATUS_1" localSheetId="62">'x-504'!$B$20</definedName>
    <definedName name="TABLE_FACTOR_STATUS_1" localSheetId="63">'x-505'!$B$20</definedName>
    <definedName name="TABLE_FACTOR_STATUS_1" localSheetId="64">'x-506'!$B$20</definedName>
    <definedName name="TABLE_FACTOR_STATUS_1" localSheetId="65">'x-603'!$B$20</definedName>
    <definedName name="TABLE_FACTOR_STATUS_1" localSheetId="66">'x-604'!$B$20</definedName>
    <definedName name="TABLE_FACTOR_STATUS_1" localSheetId="67">'x-605'!$B$20</definedName>
    <definedName name="TABLE_FACTOR_STATUS_1" localSheetId="68">'x-606'!$B$20</definedName>
    <definedName name="TABLE_FACTOR_STATUS_1" localSheetId="69">'x-607'!$B$20</definedName>
    <definedName name="TABLE_FACTOR_STATUS_1" localSheetId="70">'x-608'!$B$20</definedName>
    <definedName name="TABLE_FACTOR_STATUS_1" localSheetId="71">'x-609'!$B$20</definedName>
    <definedName name="TABLE_FACTOR_STATUS_1" localSheetId="72">'x-610'!$B$20</definedName>
    <definedName name="TABLE_FACTOR_STATUS_1" localSheetId="73">'x-611'!$B$20</definedName>
    <definedName name="TABLE_FACTOR_STATUS_1" localSheetId="74">'x-612'!$B$20</definedName>
    <definedName name="TABLE_FACTOR_STATUS_1" localSheetId="75">'x-613'!$B$20</definedName>
    <definedName name="TABLE_FACTOR_STATUS_1" localSheetId="76">'x-614'!$B$20</definedName>
    <definedName name="TABLE_FACTOR_STATUS_1" localSheetId="77">'x-615'!$B$20</definedName>
    <definedName name="TABLE_FACTOR_STATUS_1" localSheetId="78">'x-616'!$B$20</definedName>
    <definedName name="TABLE_FACTOR_STATUS_1" localSheetId="79">'x-617'!$B$20</definedName>
    <definedName name="TABLE_FACTOR_STATUS_1" localSheetId="80">'x-618'!$B$20</definedName>
    <definedName name="TABLE_FACTOR_STATUS_1" localSheetId="81">'x-619'!$B$20</definedName>
    <definedName name="TABLE_FACTOR_STATUS_1" localSheetId="82">'x-620'!$B$20</definedName>
    <definedName name="TABLE_FACTOR_STATUS_1" localSheetId="83">'x-621'!$B$20</definedName>
    <definedName name="TABLE_FACTOR_STATUS_1" localSheetId="84">'x-622'!$B$20</definedName>
    <definedName name="TABLE_FACTOR_STATUS_1" localSheetId="85">'x-623'!$B$20</definedName>
    <definedName name="TABLE_FACTOR_STATUS_1" localSheetId="86">'x-624'!$B$20</definedName>
    <definedName name="TABLE_FACTOR_STATUS_1" localSheetId="87">'x-625'!$B$20</definedName>
    <definedName name="TABLE_FACTOR_STATUS_1" localSheetId="88">'x-626'!$B$20</definedName>
    <definedName name="TABLE_FACTOR_STATUS_1" localSheetId="89">'x-627'!$B$20</definedName>
    <definedName name="TABLE_FACTOR_STATUS_1" localSheetId="90">'x-701'!$B$20</definedName>
    <definedName name="TABLE_FACTOR_STATUS_1" localSheetId="91">'x-702'!$B$20</definedName>
    <definedName name="TABLE_FACTOR_STATUS_1" localSheetId="92">'x-802'!$B$20</definedName>
    <definedName name="TABLE_FACTOR_STATUS_2" localSheetId="90">'x-701'!$F$20</definedName>
    <definedName name="TABLE_FACTOR_STATUS_2" localSheetId="92">'x-802'!$G$20</definedName>
    <definedName name="TABLE_FACTOR_STATUS_3" localSheetId="92">'x-802'!$K$20</definedName>
    <definedName name="TABLE_FACTOR_TYPE" localSheetId="7">'[2]x-Series Number'!$B$9</definedName>
    <definedName name="TABLE_FACTOR_TYPE">'x-Series Number'!$B$9</definedName>
    <definedName name="TABLE_FACTOR_TYPE_1" localSheetId="8">'x-201'!$B$9</definedName>
    <definedName name="TABLE_FACTOR_TYPE_1" localSheetId="9">'x-202'!$B$9</definedName>
    <definedName name="TABLE_FACTOR_TYPE_1" localSheetId="10">'x-203'!$B$9</definedName>
    <definedName name="TABLE_FACTOR_TYPE_1" localSheetId="11">'x-204'!$B$9</definedName>
    <definedName name="TABLE_FACTOR_TYPE_1" localSheetId="12">'x-205'!$B$9</definedName>
    <definedName name="TABLE_FACTOR_TYPE_1" localSheetId="13">'x-206'!$B$9</definedName>
    <definedName name="TABLE_FACTOR_TYPE_1" localSheetId="14">'x-207'!$B$9</definedName>
    <definedName name="TABLE_FACTOR_TYPE_1" localSheetId="15">'x-208'!$B$9</definedName>
    <definedName name="TABLE_FACTOR_TYPE_1" localSheetId="16">'x-209'!$B$9</definedName>
    <definedName name="TABLE_FACTOR_TYPE_1" localSheetId="17">'x-210'!$B$9</definedName>
    <definedName name="TABLE_FACTOR_TYPE_1" localSheetId="18">'x-211'!$B$9</definedName>
    <definedName name="TABLE_FACTOR_TYPE_1" localSheetId="19">'x-212'!$B$9</definedName>
    <definedName name="TABLE_FACTOR_TYPE_1" localSheetId="20">'x-213'!$B$9</definedName>
    <definedName name="TABLE_FACTOR_TYPE_1" localSheetId="21">'x-214'!$B$9</definedName>
    <definedName name="TABLE_FACTOR_TYPE_1" localSheetId="22">'x-215'!$B$9</definedName>
    <definedName name="TABLE_FACTOR_TYPE_1" localSheetId="23">'x-220'!$B$9</definedName>
    <definedName name="TABLE_FACTOR_TYPE_1" localSheetId="24">'x-221'!$B$9</definedName>
    <definedName name="TABLE_FACTOR_TYPE_1" localSheetId="25">'x-301'!$B$9</definedName>
    <definedName name="TABLE_FACTOR_TYPE_1" localSheetId="26">'x-302'!$B$9</definedName>
    <definedName name="TABLE_FACTOR_TYPE_1" localSheetId="27">'x-303'!$B$9</definedName>
    <definedName name="TABLE_FACTOR_TYPE_1" localSheetId="28">'x-304'!$B$9</definedName>
    <definedName name="TABLE_FACTOR_TYPE_1" localSheetId="29">'x-305'!$B$9</definedName>
    <definedName name="TABLE_FACTOR_TYPE_1" localSheetId="30">'x-306'!$B$9</definedName>
    <definedName name="TABLE_FACTOR_TYPE_1" localSheetId="31">'x-307'!$B$9</definedName>
    <definedName name="TABLE_FACTOR_TYPE_1" localSheetId="32">'x-308'!$B$9</definedName>
    <definedName name="TABLE_FACTOR_TYPE_1" localSheetId="33">'x-309'!$B$9</definedName>
    <definedName name="TABLE_FACTOR_TYPE_1" localSheetId="34">'x-310'!$B$9</definedName>
    <definedName name="TABLE_FACTOR_TYPE_1" localSheetId="35">'x-311'!$B$9</definedName>
    <definedName name="TABLE_FACTOR_TYPE_1" localSheetId="36">'x-312'!$B$9</definedName>
    <definedName name="TABLE_FACTOR_TYPE_1" localSheetId="37">'x-313'!$B$9</definedName>
    <definedName name="TABLE_FACTOR_TYPE_1" localSheetId="38">'x-314'!$B$9</definedName>
    <definedName name="TABLE_FACTOR_TYPE_1" localSheetId="39">'x-315'!$B$9</definedName>
    <definedName name="TABLE_FACTOR_TYPE_1" localSheetId="40">'x-316'!$B$9</definedName>
    <definedName name="TABLE_FACTOR_TYPE_1" localSheetId="41">'x-317'!$B$9</definedName>
    <definedName name="TABLE_FACTOR_TYPE_1" localSheetId="42">'x-318'!$B$9</definedName>
    <definedName name="TABLE_FACTOR_TYPE_1" localSheetId="43">'x-319'!$B$9</definedName>
    <definedName name="TABLE_FACTOR_TYPE_1" localSheetId="44">'x-320'!$B$9</definedName>
    <definedName name="TABLE_FACTOR_TYPE_1" localSheetId="45">'x-321'!$B$9</definedName>
    <definedName name="TABLE_FACTOR_TYPE_1" localSheetId="46">'x-322'!$B$9</definedName>
    <definedName name="TABLE_FACTOR_TYPE_1" localSheetId="47">'x-323'!$B$9</definedName>
    <definedName name="TABLE_FACTOR_TYPE_1" localSheetId="48">'x-324'!$B$9</definedName>
    <definedName name="TABLE_FACTOR_TYPE_1" localSheetId="49">'x-325'!$B$9</definedName>
    <definedName name="TABLE_FACTOR_TYPE_1" localSheetId="50">'x-326'!$B$9</definedName>
    <definedName name="TABLE_FACTOR_TYPE_1" localSheetId="51">'x-327'!$B$9</definedName>
    <definedName name="TABLE_FACTOR_TYPE_1" localSheetId="52">'x-328'!$B$9</definedName>
    <definedName name="TABLE_FACTOR_TYPE_1" localSheetId="53">'x-401'!$B$9</definedName>
    <definedName name="TABLE_FACTOR_TYPE_1" localSheetId="54">'x-403'!$B$9</definedName>
    <definedName name="TABLE_FACTOR_TYPE_1" localSheetId="55">'x-404'!$B$9</definedName>
    <definedName name="TABLE_FACTOR_TYPE_1" localSheetId="56">'x-405'!$B$9</definedName>
    <definedName name="TABLE_FACTOR_TYPE_1" localSheetId="57">'x-406'!$B$9</definedName>
    <definedName name="TABLE_FACTOR_TYPE_1" localSheetId="58">'x-407'!$B$9</definedName>
    <definedName name="TABLE_FACTOR_TYPE_1" localSheetId="59">'x-501'!$B$9</definedName>
    <definedName name="TABLE_FACTOR_TYPE_1" localSheetId="60">'x-502'!$B$9</definedName>
    <definedName name="TABLE_FACTOR_TYPE_1" localSheetId="61">'x-503'!$B$9</definedName>
    <definedName name="TABLE_FACTOR_TYPE_1" localSheetId="62">'x-504'!$B$9</definedName>
    <definedName name="TABLE_FACTOR_TYPE_1" localSheetId="63">'x-505'!$B$9</definedName>
    <definedName name="TABLE_FACTOR_TYPE_1" localSheetId="64">'x-506'!$B$9</definedName>
    <definedName name="TABLE_FACTOR_TYPE_1" localSheetId="65">'x-603'!$B$9</definedName>
    <definedName name="TABLE_FACTOR_TYPE_1" localSheetId="66">'x-604'!$B$9</definedName>
    <definedName name="TABLE_FACTOR_TYPE_1" localSheetId="67">'x-605'!$B$9</definedName>
    <definedName name="TABLE_FACTOR_TYPE_1" localSheetId="68">'x-606'!$B$9</definedName>
    <definedName name="TABLE_FACTOR_TYPE_1" localSheetId="69">'x-607'!$B$9</definedName>
    <definedName name="TABLE_FACTOR_TYPE_1" localSheetId="70">'x-608'!$B$9</definedName>
    <definedName name="TABLE_FACTOR_TYPE_1" localSheetId="71">'x-609'!$B$9</definedName>
    <definedName name="TABLE_FACTOR_TYPE_1" localSheetId="72">'x-610'!$B$9</definedName>
    <definedName name="TABLE_FACTOR_TYPE_1" localSheetId="73">'x-611'!$B$9</definedName>
    <definedName name="TABLE_FACTOR_TYPE_1" localSheetId="74">'x-612'!$B$9</definedName>
    <definedName name="TABLE_FACTOR_TYPE_1" localSheetId="75">'x-613'!$B$9</definedName>
    <definedName name="TABLE_FACTOR_TYPE_1" localSheetId="76">'x-614'!$B$9</definedName>
    <definedName name="TABLE_FACTOR_TYPE_1" localSheetId="77">'x-615'!$B$9</definedName>
    <definedName name="TABLE_FACTOR_TYPE_1" localSheetId="78">'x-616'!$B$9</definedName>
    <definedName name="TABLE_FACTOR_TYPE_1" localSheetId="79">'x-617'!$B$9</definedName>
    <definedName name="TABLE_FACTOR_TYPE_1" localSheetId="80">'x-618'!$B$9</definedName>
    <definedName name="TABLE_FACTOR_TYPE_1" localSheetId="81">'x-619'!$B$9</definedName>
    <definedName name="TABLE_FACTOR_TYPE_1" localSheetId="82">'x-620'!$B$9</definedName>
    <definedName name="TABLE_FACTOR_TYPE_1" localSheetId="83">'x-621'!$B$9</definedName>
    <definedName name="TABLE_FACTOR_TYPE_1" localSheetId="84">'x-622'!$B$9</definedName>
    <definedName name="TABLE_FACTOR_TYPE_1" localSheetId="85">'x-623'!$B$9</definedName>
    <definedName name="TABLE_FACTOR_TYPE_1" localSheetId="86">'x-624'!$B$9</definedName>
    <definedName name="TABLE_FACTOR_TYPE_1" localSheetId="87">'x-625'!$B$9</definedName>
    <definedName name="TABLE_FACTOR_TYPE_1" localSheetId="88">'x-626'!$B$9</definedName>
    <definedName name="TABLE_FACTOR_TYPE_1" localSheetId="89">'x-627'!$B$9</definedName>
    <definedName name="TABLE_FACTOR_TYPE_1" localSheetId="90">'x-701'!$B$9</definedName>
    <definedName name="TABLE_FACTOR_TYPE_1" localSheetId="91">'x-702'!$B$9</definedName>
    <definedName name="TABLE_FACTOR_TYPE_1" localSheetId="92">'x-802'!$B$9</definedName>
    <definedName name="TABLE_FACTOR_TYPE_2" localSheetId="90">'x-701'!$F$9</definedName>
    <definedName name="TABLE_FACTOR_TYPE_2" localSheetId="92">'x-802'!$G$9</definedName>
    <definedName name="TABLE_FACTOR_TYPE_3" localSheetId="92">'x-802'!$K$9</definedName>
    <definedName name="TABLE_GENDER">'x-Series Number'!$B$11</definedName>
    <definedName name="TABLE_GENDER_1" localSheetId="8">'x-201'!$B$11</definedName>
    <definedName name="TABLE_GENDER_1" localSheetId="9">'x-202'!$B$11</definedName>
    <definedName name="TABLE_GENDER_1" localSheetId="10">'x-203'!$B$11</definedName>
    <definedName name="TABLE_GENDER_1" localSheetId="11">'x-204'!$B$11</definedName>
    <definedName name="TABLE_GENDER_1" localSheetId="12">'x-205'!$B$11</definedName>
    <definedName name="TABLE_GENDER_1" localSheetId="13">'x-206'!$B$11</definedName>
    <definedName name="TABLE_GENDER_1" localSheetId="14">'x-207'!$B$11</definedName>
    <definedName name="TABLE_GENDER_1" localSheetId="15">'x-208'!$B$11</definedName>
    <definedName name="TABLE_GENDER_1" localSheetId="16">'x-209'!$B$11</definedName>
    <definedName name="TABLE_GENDER_1" localSheetId="17">'x-210'!$B$11</definedName>
    <definedName name="TABLE_GENDER_1" localSheetId="18">'x-211'!$B$11</definedName>
    <definedName name="TABLE_GENDER_1" localSheetId="19">'x-212'!$B$11</definedName>
    <definedName name="TABLE_GENDER_1" localSheetId="20">'x-213'!$B$11</definedName>
    <definedName name="TABLE_GENDER_1" localSheetId="21">'x-214'!$B$11</definedName>
    <definedName name="TABLE_GENDER_1" localSheetId="22">'x-215'!$B$11</definedName>
    <definedName name="TABLE_GENDER_1" localSheetId="23">'x-220'!$B$11</definedName>
    <definedName name="TABLE_GENDER_1" localSheetId="24">'x-221'!$B$11</definedName>
    <definedName name="TABLE_GENDER_1" localSheetId="25">'x-301'!$B$11</definedName>
    <definedName name="TABLE_GENDER_1" localSheetId="26">'x-302'!$B$11</definedName>
    <definedName name="TABLE_GENDER_1" localSheetId="27">'x-303'!$B$11</definedName>
    <definedName name="TABLE_GENDER_1" localSheetId="28">'x-304'!$B$11</definedName>
    <definedName name="TABLE_GENDER_1" localSheetId="29">'x-305'!$B$11</definedName>
    <definedName name="TABLE_GENDER_1" localSheetId="30">'x-306'!$B$11</definedName>
    <definedName name="TABLE_GENDER_1" localSheetId="31">'x-307'!$B$11</definedName>
    <definedName name="TABLE_GENDER_1" localSheetId="32">'x-308'!$B$11</definedName>
    <definedName name="TABLE_GENDER_1" localSheetId="33">'x-309'!$B$11</definedName>
    <definedName name="TABLE_GENDER_1" localSheetId="34">'x-310'!$B$11</definedName>
    <definedName name="TABLE_GENDER_1" localSheetId="35">'x-311'!$B$11</definedName>
    <definedName name="TABLE_GENDER_1" localSheetId="36">'x-312'!$B$11</definedName>
    <definedName name="TABLE_GENDER_1" localSheetId="37">'x-313'!$B$11</definedName>
    <definedName name="TABLE_GENDER_1" localSheetId="38">'x-314'!$B$11</definedName>
    <definedName name="TABLE_GENDER_1" localSheetId="39">'x-315'!$B$11</definedName>
    <definedName name="TABLE_GENDER_1" localSheetId="40">'x-316'!$B$11</definedName>
    <definedName name="TABLE_GENDER_1" localSheetId="41">'x-317'!$B$11</definedName>
    <definedName name="TABLE_GENDER_1" localSheetId="42">'x-318'!$B$11</definedName>
    <definedName name="TABLE_GENDER_1" localSheetId="43">'x-319'!$B$11</definedName>
    <definedName name="TABLE_GENDER_1" localSheetId="44">'x-320'!$B$11</definedName>
    <definedName name="TABLE_GENDER_1" localSheetId="45">'x-321'!$B$11</definedName>
    <definedName name="TABLE_GENDER_1" localSheetId="46">'x-322'!$B$11</definedName>
    <definedName name="TABLE_GENDER_1" localSheetId="47">'x-323'!$B$11</definedName>
    <definedName name="TABLE_GENDER_1" localSheetId="48">'x-324'!$B$11</definedName>
    <definedName name="TABLE_GENDER_1" localSheetId="49">'x-325'!$B$11</definedName>
    <definedName name="TABLE_GENDER_1" localSheetId="50">'x-326'!$B$11</definedName>
    <definedName name="TABLE_GENDER_1" localSheetId="51">'x-327'!$B$11</definedName>
    <definedName name="TABLE_GENDER_1" localSheetId="52">'x-328'!$B$11</definedName>
    <definedName name="TABLE_GENDER_1" localSheetId="53">'x-401'!$B$11</definedName>
    <definedName name="TABLE_GENDER_1" localSheetId="54">'x-403'!$B$11</definedName>
    <definedName name="TABLE_GENDER_1" localSheetId="55">'x-404'!$B$11</definedName>
    <definedName name="TABLE_GENDER_1" localSheetId="56">'x-405'!$B$11</definedName>
    <definedName name="TABLE_GENDER_1" localSheetId="57">'x-406'!$B$11</definedName>
    <definedName name="TABLE_GENDER_1" localSheetId="58">'x-407'!$B$11</definedName>
    <definedName name="TABLE_GENDER_1" localSheetId="59">'x-501'!$B$11</definedName>
    <definedName name="TABLE_GENDER_1" localSheetId="60">'x-502'!$B$11</definedName>
    <definedName name="TABLE_GENDER_1" localSheetId="61">'x-503'!$B$11</definedName>
    <definedName name="TABLE_GENDER_1" localSheetId="62">'x-504'!$B$11</definedName>
    <definedName name="TABLE_GENDER_1" localSheetId="63">'x-505'!$B$11</definedName>
    <definedName name="TABLE_GENDER_1" localSheetId="64">'x-506'!$B$11</definedName>
    <definedName name="TABLE_GENDER_1" localSheetId="65">'x-603'!$B$11</definedName>
    <definedName name="TABLE_GENDER_1" localSheetId="66">'x-604'!$B$11</definedName>
    <definedName name="TABLE_GENDER_1" localSheetId="67">'x-605'!$B$11</definedName>
    <definedName name="TABLE_GENDER_1" localSheetId="68">'x-606'!$B$11</definedName>
    <definedName name="TABLE_GENDER_1" localSheetId="69">'x-607'!$B$11</definedName>
    <definedName name="TABLE_GENDER_1" localSheetId="70">'x-608'!$B$11</definedName>
    <definedName name="TABLE_GENDER_1" localSheetId="71">'x-609'!$B$11</definedName>
    <definedName name="TABLE_GENDER_1" localSheetId="72">'x-610'!$B$11</definedName>
    <definedName name="TABLE_GENDER_1" localSheetId="73">'x-611'!$B$11</definedName>
    <definedName name="TABLE_GENDER_1" localSheetId="74">'x-612'!$B$11</definedName>
    <definedName name="TABLE_GENDER_1" localSheetId="75">'x-613'!$B$11</definedName>
    <definedName name="TABLE_GENDER_1" localSheetId="76">'x-614'!$B$11</definedName>
    <definedName name="TABLE_GENDER_1" localSheetId="77">'x-615'!$B$11</definedName>
    <definedName name="TABLE_GENDER_1" localSheetId="78">'x-616'!$B$11</definedName>
    <definedName name="TABLE_GENDER_1" localSheetId="79">'x-617'!$B$11</definedName>
    <definedName name="TABLE_GENDER_1" localSheetId="80">'x-618'!$B$11</definedName>
    <definedName name="TABLE_GENDER_1" localSheetId="81">'x-619'!$B$11</definedName>
    <definedName name="TABLE_GENDER_1" localSheetId="82">'x-620'!$B$11</definedName>
    <definedName name="TABLE_GENDER_1" localSheetId="83">'x-621'!$B$11</definedName>
    <definedName name="TABLE_GENDER_1" localSheetId="84">'x-622'!$B$11</definedName>
    <definedName name="TABLE_GENDER_1" localSheetId="85">'x-623'!$B$11</definedName>
    <definedName name="TABLE_GENDER_1" localSheetId="86">'x-624'!$B$11</definedName>
    <definedName name="TABLE_GENDER_1" localSheetId="87">'x-625'!$B$11</definedName>
    <definedName name="TABLE_GENDER_1" localSheetId="88">'x-626'!$B$11</definedName>
    <definedName name="TABLE_GENDER_1" localSheetId="89">'x-627'!$B$11</definedName>
    <definedName name="TABLE_GENDER_1" localSheetId="90">'x-701'!$B$11</definedName>
    <definedName name="TABLE_GENDER_1" localSheetId="91">'x-702'!$B$11</definedName>
    <definedName name="TABLE_GENDER_1" localSheetId="92">'x-802'!$B$11</definedName>
    <definedName name="TABLE_GENDER_2" localSheetId="90">'x-701'!$F$11</definedName>
    <definedName name="TABLE_GENDER_2" localSheetId="92">'x-802'!$G$11</definedName>
    <definedName name="TABLE_GENDER_3" localSheetId="92">'x-802'!$K$11</definedName>
    <definedName name="TABLE_INFO">'x-Series Number'!$A$6:$B$20</definedName>
    <definedName name="TABLE_INFO_1" localSheetId="8">'x-201'!$A$6:$B$21</definedName>
    <definedName name="TABLE_INFO_1" localSheetId="9">'x-202'!$A$6:$B$21</definedName>
    <definedName name="TABLE_INFO_1" localSheetId="10">'x-203'!$A$6:$B$21</definedName>
    <definedName name="TABLE_INFO_1" localSheetId="11">'x-204'!$A$6:$B$21</definedName>
    <definedName name="TABLE_INFO_1" localSheetId="12">'x-205'!$A$6:$B$21</definedName>
    <definedName name="TABLE_INFO_1" localSheetId="13">'x-206'!$A$6:$B$21</definedName>
    <definedName name="TABLE_INFO_1" localSheetId="14">'x-207'!$A$6:$B$21</definedName>
    <definedName name="TABLE_INFO_1" localSheetId="15">'x-208'!$A$6:$B$21</definedName>
    <definedName name="TABLE_INFO_1" localSheetId="16">'x-209'!$A$6:$B$21</definedName>
    <definedName name="TABLE_INFO_1" localSheetId="17">'x-210'!$A$6:$B$21</definedName>
    <definedName name="TABLE_INFO_1" localSheetId="18">'x-211'!$A$6:$B$21</definedName>
    <definedName name="TABLE_INFO_1" localSheetId="19">'x-212'!$A$6:$B$21</definedName>
    <definedName name="TABLE_INFO_1" localSheetId="20">'x-213'!$A$6:$B$21</definedName>
    <definedName name="TABLE_INFO_1" localSheetId="21">'x-214'!$A$6:$B$21</definedName>
    <definedName name="TABLE_INFO_1" localSheetId="22">'x-215'!$A$6:$B$21</definedName>
    <definedName name="TABLE_INFO_1" localSheetId="23">'x-220'!$A$6:$B$21</definedName>
    <definedName name="TABLE_INFO_1" localSheetId="24">'x-221'!$A$6:$B$21</definedName>
    <definedName name="TABLE_INFO_1" localSheetId="25">'x-301'!$A$6:$B$21</definedName>
    <definedName name="TABLE_INFO_1" localSheetId="26">'x-302'!$A$6:$B$21</definedName>
    <definedName name="TABLE_INFO_1" localSheetId="27">'x-303'!$A$6:$B$21</definedName>
    <definedName name="TABLE_INFO_1" localSheetId="28">'x-304'!$A$6:$B$21</definedName>
    <definedName name="TABLE_INFO_1" localSheetId="29">'x-305'!$A$6:$B$21</definedName>
    <definedName name="TABLE_INFO_1" localSheetId="30">'x-306'!$A$6:$B$21</definedName>
    <definedName name="TABLE_INFO_1" localSheetId="31">'x-307'!$A$6:$B$21</definedName>
    <definedName name="TABLE_INFO_1" localSheetId="32">'x-308'!$A$6:$B$21</definedName>
    <definedName name="TABLE_INFO_1" localSheetId="33">'x-309'!$A$6:$B$21</definedName>
    <definedName name="TABLE_INFO_1" localSheetId="34">'x-310'!$A$6:$B$21</definedName>
    <definedName name="TABLE_INFO_1" localSheetId="35">'x-311'!$A$6:$B$21</definedName>
    <definedName name="TABLE_INFO_1" localSheetId="36">'x-312'!$A$6:$B$21</definedName>
    <definedName name="TABLE_INFO_1" localSheetId="37">'x-313'!$A$6:$B$21</definedName>
    <definedName name="TABLE_INFO_1" localSheetId="38">'x-314'!$A$6:$B$21</definedName>
    <definedName name="TABLE_INFO_1" localSheetId="39">'x-315'!$A$6:$B$21</definedName>
    <definedName name="TABLE_INFO_1" localSheetId="40">'x-316'!$A$6:$B$21</definedName>
    <definedName name="TABLE_INFO_1" localSheetId="41">'x-317'!$A$6:$B$21</definedName>
    <definedName name="TABLE_INFO_1" localSheetId="42">'x-318'!$A$6:$B$21</definedName>
    <definedName name="TABLE_INFO_1" localSheetId="43">'x-319'!$A$6:$B$21</definedName>
    <definedName name="TABLE_INFO_1" localSheetId="44">'x-320'!$A$6:$B$21</definedName>
    <definedName name="TABLE_INFO_1" localSheetId="45">'x-321'!$A$6:$B$21</definedName>
    <definedName name="TABLE_INFO_1" localSheetId="46">'x-322'!$A$6:$B$21</definedName>
    <definedName name="TABLE_INFO_1" localSheetId="47">'x-323'!$A$6:$B$21</definedName>
    <definedName name="TABLE_INFO_1" localSheetId="48">'x-324'!$A$6:$B$21</definedName>
    <definedName name="TABLE_INFO_1" localSheetId="49">'x-325'!$A$6:$B$21</definedName>
    <definedName name="TABLE_INFO_1" localSheetId="50">'x-326'!$A$6:$B$21</definedName>
    <definedName name="TABLE_INFO_1" localSheetId="51">'x-327'!$A$6:$B$21</definedName>
    <definedName name="TABLE_INFO_1" localSheetId="52">'x-328'!$A$6:$B$21</definedName>
    <definedName name="TABLE_INFO_1" localSheetId="53">'x-401'!$A$6:$B$21</definedName>
    <definedName name="TABLE_INFO_1" localSheetId="54">'x-403'!$A$6:$B$21</definedName>
    <definedName name="TABLE_INFO_1" localSheetId="55">'x-404'!$A$6:$B$21</definedName>
    <definedName name="TABLE_INFO_1" localSheetId="56">'x-405'!$A$6:$B$21</definedName>
    <definedName name="TABLE_INFO_1" localSheetId="57">'x-406'!$A$6:$B$21</definedName>
    <definedName name="TABLE_INFO_1" localSheetId="58">'x-407'!$A$6:$B$21</definedName>
    <definedName name="TABLE_INFO_1" localSheetId="59">'x-501'!$A$6:$B$21</definedName>
    <definedName name="TABLE_INFO_1" localSheetId="60">'x-502'!$A$6:$B$21</definedName>
    <definedName name="TABLE_INFO_1" localSheetId="61">'x-503'!$A$6:$B$21</definedName>
    <definedName name="TABLE_INFO_1" localSheetId="62">'x-504'!$A$6:$B$21</definedName>
    <definedName name="TABLE_INFO_1" localSheetId="63">'x-505'!$A$6:$B$21</definedName>
    <definedName name="TABLE_INFO_1" localSheetId="64">'x-506'!$A$6:$B$21</definedName>
    <definedName name="TABLE_INFO_1" localSheetId="65">'x-603'!$A$6:$B$21</definedName>
    <definedName name="TABLE_INFO_1" localSheetId="66">'x-604'!$A$6:$B$21</definedName>
    <definedName name="TABLE_INFO_1" localSheetId="67">'x-605'!$A$6:$B$21</definedName>
    <definedName name="TABLE_INFO_1" localSheetId="68">'x-606'!$A$6:$B$21</definedName>
    <definedName name="TABLE_INFO_1" localSheetId="69">'x-607'!$A$6:$B$21</definedName>
    <definedName name="TABLE_INFO_1" localSheetId="70">'x-608'!$A$6:$B$21</definedName>
    <definedName name="TABLE_INFO_1" localSheetId="71">'x-609'!$A$6:$B$21</definedName>
    <definedName name="TABLE_INFO_1" localSheetId="72">'x-610'!$A$6:$B$21</definedName>
    <definedName name="TABLE_INFO_1" localSheetId="73">'x-611'!$A$6:$B$21</definedName>
    <definedName name="TABLE_INFO_1" localSheetId="74">'x-612'!$A$6:$B$21</definedName>
    <definedName name="TABLE_INFO_1" localSheetId="75">'x-613'!$A$6:$B$21</definedName>
    <definedName name="TABLE_INFO_1" localSheetId="76">'x-614'!$A$6:$B$21</definedName>
    <definedName name="TABLE_INFO_1" localSheetId="77">'x-615'!$A$6:$B$21</definedName>
    <definedName name="TABLE_INFO_1" localSheetId="78">'x-616'!$A$6:$B$21</definedName>
    <definedName name="TABLE_INFO_1" localSheetId="79">'x-617'!$A$6:$B$21</definedName>
    <definedName name="TABLE_INFO_1" localSheetId="80">'x-618'!$A$6:$B$21</definedName>
    <definedName name="TABLE_INFO_1" localSheetId="81">'x-619'!$A$6:$B$21</definedName>
    <definedName name="TABLE_INFO_1" localSheetId="82">'x-620'!$A$6:$B$21</definedName>
    <definedName name="TABLE_INFO_1" localSheetId="83">'x-621'!$A$6:$B$21</definedName>
    <definedName name="TABLE_INFO_1" localSheetId="84">'x-622'!$A$6:$B$21</definedName>
    <definedName name="TABLE_INFO_1" localSheetId="85">'x-623'!$A$6:$B$21</definedName>
    <definedName name="TABLE_INFO_1" localSheetId="86">'x-624'!$A$6:$B$21</definedName>
    <definedName name="TABLE_INFO_1" localSheetId="87">'x-625'!$A$6:$B$21</definedName>
    <definedName name="TABLE_INFO_1" localSheetId="88">'x-626'!$A$6:$B$21</definedName>
    <definedName name="TABLE_INFO_1" localSheetId="89">'x-627'!$A$6:$B$21</definedName>
    <definedName name="TABLE_INFO_1" localSheetId="90">'x-701'!$A$6:$B$21</definedName>
    <definedName name="TABLE_INFO_1" localSheetId="91">'x-702'!$A$6:$B$21</definedName>
    <definedName name="TABLE_INFO_1" localSheetId="92">'x-802'!$A$6:$B$21</definedName>
    <definedName name="TABLE_INFO_2" localSheetId="90">'x-701'!$E$6:$F$21</definedName>
    <definedName name="TABLE_INFO_2" localSheetId="92">'x-802'!$F$6:$G$21</definedName>
    <definedName name="TABLE_INFO_3" localSheetId="92">'x-802'!$J$6:$K$21</definedName>
    <definedName name="TABLE_REFERENCE">'x-Series Number'!$B$15</definedName>
    <definedName name="TABLE_REFERENCE_1" localSheetId="8">'x-201'!$B$15</definedName>
    <definedName name="TABLE_REFERENCE_1" localSheetId="9">'x-202'!$B$15</definedName>
    <definedName name="TABLE_REFERENCE_1" localSheetId="10">'x-203'!$B$15</definedName>
    <definedName name="TABLE_REFERENCE_1" localSheetId="11">'x-204'!$B$15</definedName>
    <definedName name="TABLE_REFERENCE_1" localSheetId="12">'x-205'!$B$15</definedName>
    <definedName name="TABLE_REFERENCE_1" localSheetId="13">'x-206'!$B$15</definedName>
    <definedName name="TABLE_REFERENCE_1" localSheetId="14">'x-207'!$B$15</definedName>
    <definedName name="TABLE_REFERENCE_1" localSheetId="15">'x-208'!$B$15</definedName>
    <definedName name="TABLE_REFERENCE_1" localSheetId="16">'x-209'!$B$15</definedName>
    <definedName name="TABLE_REFERENCE_1" localSheetId="17">'x-210'!$B$15</definedName>
    <definedName name="TABLE_REFERENCE_1" localSheetId="18">'x-211'!$B$15</definedName>
    <definedName name="TABLE_REFERENCE_1" localSheetId="19">'x-212'!$B$15</definedName>
    <definedName name="TABLE_REFERENCE_1" localSheetId="20">'x-213'!$B$15</definedName>
    <definedName name="TABLE_REFERENCE_1" localSheetId="21">'x-214'!$B$15</definedName>
    <definedName name="TABLE_REFERENCE_1" localSheetId="22">'x-215'!$B$15</definedName>
    <definedName name="TABLE_REFERENCE_1" localSheetId="23">'x-220'!$B$15</definedName>
    <definedName name="TABLE_REFERENCE_1" localSheetId="24">'x-221'!$B$15</definedName>
    <definedName name="TABLE_REFERENCE_1" localSheetId="25">'x-301'!$B$15</definedName>
    <definedName name="TABLE_REFERENCE_1" localSheetId="26">'x-302'!$B$15</definedName>
    <definedName name="TABLE_REFERENCE_1" localSheetId="27">'x-303'!$B$15</definedName>
    <definedName name="TABLE_REFERENCE_1" localSheetId="28">'x-304'!$B$15</definedName>
    <definedName name="TABLE_REFERENCE_1" localSheetId="29">'x-305'!$B$15</definedName>
    <definedName name="TABLE_REFERENCE_1" localSheetId="30">'x-306'!$B$15</definedName>
    <definedName name="TABLE_REFERENCE_1" localSheetId="31">'x-307'!$B$15</definedName>
    <definedName name="TABLE_REFERENCE_1" localSheetId="32">'x-308'!$B$15</definedName>
    <definedName name="TABLE_REFERENCE_1" localSheetId="33">'x-309'!$B$15</definedName>
    <definedName name="TABLE_REFERENCE_1" localSheetId="34">'x-310'!$B$15</definedName>
    <definedName name="TABLE_REFERENCE_1" localSheetId="35">'x-311'!$B$15</definedName>
    <definedName name="TABLE_REFERENCE_1" localSheetId="36">'x-312'!$B$15</definedName>
    <definedName name="TABLE_REFERENCE_1" localSheetId="37">'x-313'!$B$15</definedName>
    <definedName name="TABLE_REFERENCE_1" localSheetId="38">'x-314'!$B$15</definedName>
    <definedName name="TABLE_REFERENCE_1" localSheetId="39">'x-315'!$B$15</definedName>
    <definedName name="TABLE_REFERENCE_1" localSheetId="40">'x-316'!$B$15</definedName>
    <definedName name="TABLE_REFERENCE_1" localSheetId="41">'x-317'!$B$15</definedName>
    <definedName name="TABLE_REFERENCE_1" localSheetId="42">'x-318'!$B$15</definedName>
    <definedName name="TABLE_REFERENCE_1" localSheetId="43">'x-319'!$B$15</definedName>
    <definedName name="TABLE_REFERENCE_1" localSheetId="44">'x-320'!$B$15</definedName>
    <definedName name="TABLE_REFERENCE_1" localSheetId="45">'x-321'!$B$15</definedName>
    <definedName name="TABLE_REFERENCE_1" localSheetId="46">'x-322'!$B$15</definedName>
    <definedName name="TABLE_REFERENCE_1" localSheetId="47">'x-323'!$B$15</definedName>
    <definedName name="TABLE_REFERENCE_1" localSheetId="48">'x-324'!$B$15</definedName>
    <definedName name="TABLE_REFERENCE_1" localSheetId="49">'x-325'!$B$15</definedName>
    <definedName name="TABLE_REFERENCE_1" localSheetId="50">'x-326'!$B$15</definedName>
    <definedName name="TABLE_REFERENCE_1" localSheetId="51">'x-327'!$B$15</definedName>
    <definedName name="TABLE_REFERENCE_1" localSheetId="52">'x-328'!$B$15</definedName>
    <definedName name="TABLE_REFERENCE_1" localSheetId="53">'x-401'!$B$15</definedName>
    <definedName name="TABLE_REFERENCE_1" localSheetId="54">'x-403'!$B$15</definedName>
    <definedName name="TABLE_REFERENCE_1" localSheetId="55">'x-404'!$B$15</definedName>
    <definedName name="TABLE_REFERENCE_1" localSheetId="56">'x-405'!$B$15</definedName>
    <definedName name="TABLE_REFERENCE_1" localSheetId="57">'x-406'!$B$15</definedName>
    <definedName name="TABLE_REFERENCE_1" localSheetId="58">'x-407'!$B$15</definedName>
    <definedName name="TABLE_REFERENCE_1" localSheetId="59">'x-501'!$B$15</definedName>
    <definedName name="TABLE_REFERENCE_1" localSheetId="60">'x-502'!$B$15</definedName>
    <definedName name="TABLE_REFERENCE_1" localSheetId="61">'x-503'!$B$15</definedName>
    <definedName name="TABLE_REFERENCE_1" localSheetId="62">'x-504'!$B$15</definedName>
    <definedName name="TABLE_REFERENCE_1" localSheetId="63">'x-505'!$B$15</definedName>
    <definedName name="TABLE_REFERENCE_1" localSheetId="64">'x-506'!$B$15</definedName>
    <definedName name="TABLE_REFERENCE_1" localSheetId="65">'x-603'!$B$15</definedName>
    <definedName name="TABLE_REFERENCE_1" localSheetId="66">'x-604'!$B$15</definedName>
    <definedName name="TABLE_REFERENCE_1" localSheetId="67">'x-605'!$B$15</definedName>
    <definedName name="TABLE_REFERENCE_1" localSheetId="68">'x-606'!$B$15</definedName>
    <definedName name="TABLE_REFERENCE_1" localSheetId="69">'x-607'!$B$15</definedName>
    <definedName name="TABLE_REFERENCE_1" localSheetId="70">'x-608'!$B$15</definedName>
    <definedName name="TABLE_REFERENCE_1" localSheetId="71">'x-609'!$B$15</definedName>
    <definedName name="TABLE_REFERENCE_1" localSheetId="72">'x-610'!$B$15</definedName>
    <definedName name="TABLE_REFERENCE_1" localSheetId="73">'x-611'!$B$15</definedName>
    <definedName name="TABLE_REFERENCE_1" localSheetId="74">'x-612'!$B$15</definedName>
    <definedName name="TABLE_REFERENCE_1" localSheetId="75">'x-613'!$B$15</definedName>
    <definedName name="TABLE_REFERENCE_1" localSheetId="76">'x-614'!$B$15</definedName>
    <definedName name="TABLE_REFERENCE_1" localSheetId="77">'x-615'!$B$15</definedName>
    <definedName name="TABLE_REFERENCE_1" localSheetId="78">'x-616'!$B$15</definedName>
    <definedName name="TABLE_REFERENCE_1" localSheetId="79">'x-617'!$B$15</definedName>
    <definedName name="TABLE_REFERENCE_1" localSheetId="80">'x-618'!$B$15</definedName>
    <definedName name="TABLE_REFERENCE_1" localSheetId="81">'x-619'!$B$15</definedName>
    <definedName name="TABLE_REFERENCE_1" localSheetId="82">'x-620'!$B$15</definedName>
    <definedName name="TABLE_REFERENCE_1" localSheetId="83">'x-621'!$B$15</definedName>
    <definedName name="TABLE_REFERENCE_1" localSheetId="84">'x-622'!$B$15</definedName>
    <definedName name="TABLE_REFERENCE_1" localSheetId="85">'x-623'!$B$15</definedName>
    <definedName name="TABLE_REFERENCE_1" localSheetId="86">'x-624'!$B$15</definedName>
    <definedName name="TABLE_REFERENCE_1" localSheetId="87">'x-625'!$B$15</definedName>
    <definedName name="TABLE_REFERENCE_1" localSheetId="88">'x-626'!$B$15</definedName>
    <definedName name="TABLE_REFERENCE_1" localSheetId="89">'x-627'!$B$15</definedName>
    <definedName name="TABLE_REFERENCE_1" localSheetId="90">'x-701'!$B$15</definedName>
    <definedName name="TABLE_REFERENCE_1" localSheetId="91">'x-702'!$B$15</definedName>
    <definedName name="TABLE_REFERENCE_1" localSheetId="92">'x-802'!$B$15</definedName>
    <definedName name="TABLE_REFERENCE_2" localSheetId="90">'x-701'!$F$15</definedName>
    <definedName name="TABLE_REFERENCE_2" localSheetId="92">'x-802'!$G$15</definedName>
    <definedName name="TABLE_REFERENCE_3" localSheetId="92">'x-802'!$K$15</definedName>
    <definedName name="TABLE_REFERENCE_GUIDANCE">'x-Series Number'!$B$16</definedName>
    <definedName name="TABLE_REFERENCE_GUIDANCE_1" localSheetId="8">'x-201'!$B$16</definedName>
    <definedName name="TABLE_REFERENCE_GUIDANCE_1" localSheetId="9">'x-202'!$B$16</definedName>
    <definedName name="TABLE_REFERENCE_GUIDANCE_1" localSheetId="10">'x-203'!$B$16</definedName>
    <definedName name="TABLE_REFERENCE_GUIDANCE_1" localSheetId="11">'x-204'!$B$16</definedName>
    <definedName name="TABLE_REFERENCE_GUIDANCE_1" localSheetId="12">'x-205'!$B$16</definedName>
    <definedName name="TABLE_REFERENCE_GUIDANCE_1" localSheetId="13">'x-206'!$B$16</definedName>
    <definedName name="TABLE_REFERENCE_GUIDANCE_1" localSheetId="14">'x-207'!$B$16</definedName>
    <definedName name="TABLE_REFERENCE_GUIDANCE_1" localSheetId="15">'x-208'!$B$16</definedName>
    <definedName name="TABLE_REFERENCE_GUIDANCE_1" localSheetId="16">'x-209'!$B$16</definedName>
    <definedName name="TABLE_REFERENCE_GUIDANCE_1" localSheetId="17">'x-210'!$B$16</definedName>
    <definedName name="TABLE_REFERENCE_GUIDANCE_1" localSheetId="18">'x-211'!$B$16</definedName>
    <definedName name="TABLE_REFERENCE_GUIDANCE_1" localSheetId="19">'x-212'!$B$16</definedName>
    <definedName name="TABLE_REFERENCE_GUIDANCE_1" localSheetId="20">'x-213'!$B$16</definedName>
    <definedName name="TABLE_REFERENCE_GUIDANCE_1" localSheetId="21">'x-214'!$B$16</definedName>
    <definedName name="TABLE_REFERENCE_GUIDANCE_1" localSheetId="22">'x-215'!$B$16</definedName>
    <definedName name="TABLE_REFERENCE_GUIDANCE_1" localSheetId="23">'x-220'!$B$16</definedName>
    <definedName name="TABLE_REFERENCE_GUIDANCE_1" localSheetId="24">'x-221'!$B$16</definedName>
    <definedName name="TABLE_REFERENCE_GUIDANCE_1" localSheetId="25">'x-301'!$B$16</definedName>
    <definedName name="TABLE_REFERENCE_GUIDANCE_1" localSheetId="26">'x-302'!$B$16</definedName>
    <definedName name="TABLE_REFERENCE_GUIDANCE_1" localSheetId="27">'x-303'!$B$16</definedName>
    <definedName name="TABLE_REFERENCE_GUIDANCE_1" localSheetId="28">'x-304'!$B$16</definedName>
    <definedName name="TABLE_REFERENCE_GUIDANCE_1" localSheetId="29">'x-305'!$B$16</definedName>
    <definedName name="TABLE_REFERENCE_GUIDANCE_1" localSheetId="30">'x-306'!$B$16</definedName>
    <definedName name="TABLE_REFERENCE_GUIDANCE_1" localSheetId="31">'x-307'!$B$16</definedName>
    <definedName name="TABLE_REFERENCE_GUIDANCE_1" localSheetId="32">'x-308'!$B$16</definedName>
    <definedName name="TABLE_REFERENCE_GUIDANCE_1" localSheetId="33">'x-309'!$B$16</definedName>
    <definedName name="TABLE_REFERENCE_GUIDANCE_1" localSheetId="34">'x-310'!$B$16</definedName>
    <definedName name="TABLE_REFERENCE_GUIDANCE_1" localSheetId="35">'x-311'!$B$16</definedName>
    <definedName name="TABLE_REFERENCE_GUIDANCE_1" localSheetId="36">'x-312'!$B$16</definedName>
    <definedName name="TABLE_REFERENCE_GUIDANCE_1" localSheetId="37">'x-313'!$B$16</definedName>
    <definedName name="TABLE_REFERENCE_GUIDANCE_1" localSheetId="38">'x-314'!$B$16</definedName>
    <definedName name="TABLE_REFERENCE_GUIDANCE_1" localSheetId="39">'x-315'!$B$16</definedName>
    <definedName name="TABLE_REFERENCE_GUIDANCE_1" localSheetId="40">'x-316'!$B$16</definedName>
    <definedName name="TABLE_REFERENCE_GUIDANCE_1" localSheetId="41">'x-317'!$B$16</definedName>
    <definedName name="TABLE_REFERENCE_GUIDANCE_1" localSheetId="42">'x-318'!$B$16</definedName>
    <definedName name="TABLE_REFERENCE_GUIDANCE_1" localSheetId="43">'x-319'!$B$16</definedName>
    <definedName name="TABLE_REFERENCE_GUIDANCE_1" localSheetId="44">'x-320'!$B$16</definedName>
    <definedName name="TABLE_REFERENCE_GUIDANCE_1" localSheetId="45">'x-321'!$B$16</definedName>
    <definedName name="TABLE_REFERENCE_GUIDANCE_1" localSheetId="46">'x-322'!$B$16</definedName>
    <definedName name="TABLE_REFERENCE_GUIDANCE_1" localSheetId="47">'x-323'!$B$16</definedName>
    <definedName name="TABLE_REFERENCE_GUIDANCE_1" localSheetId="48">'x-324'!$B$16</definedName>
    <definedName name="TABLE_REFERENCE_GUIDANCE_1" localSheetId="49">'x-325'!$B$16</definedName>
    <definedName name="TABLE_REFERENCE_GUIDANCE_1" localSheetId="50">'x-326'!$B$16</definedName>
    <definedName name="TABLE_REFERENCE_GUIDANCE_1" localSheetId="51">'x-327'!$B$16</definedName>
    <definedName name="TABLE_REFERENCE_GUIDANCE_1" localSheetId="52">'x-328'!$B$16</definedName>
    <definedName name="TABLE_REFERENCE_GUIDANCE_1" localSheetId="53">'x-401'!$B$16</definedName>
    <definedName name="TABLE_REFERENCE_GUIDANCE_1" localSheetId="54">'x-403'!$B$16</definedName>
    <definedName name="TABLE_REFERENCE_GUIDANCE_1" localSheetId="55">'x-404'!$B$16</definedName>
    <definedName name="TABLE_REFERENCE_GUIDANCE_1" localSheetId="56">'x-405'!$B$16</definedName>
    <definedName name="TABLE_REFERENCE_GUIDANCE_1" localSheetId="57">'x-406'!$B$16</definedName>
    <definedName name="TABLE_REFERENCE_GUIDANCE_1" localSheetId="58">'x-407'!$B$16</definedName>
    <definedName name="TABLE_REFERENCE_GUIDANCE_1" localSheetId="59">'x-501'!$B$16</definedName>
    <definedName name="TABLE_REFERENCE_GUIDANCE_1" localSheetId="60">'x-502'!$B$16</definedName>
    <definedName name="TABLE_REFERENCE_GUIDANCE_1" localSheetId="61">'x-503'!$B$16</definedName>
    <definedName name="TABLE_REFERENCE_GUIDANCE_1" localSheetId="62">'x-504'!$B$16</definedName>
    <definedName name="TABLE_REFERENCE_GUIDANCE_1" localSheetId="63">'x-505'!$B$16</definedName>
    <definedName name="TABLE_REFERENCE_GUIDANCE_1" localSheetId="64">'x-506'!$B$16</definedName>
    <definedName name="TABLE_REFERENCE_GUIDANCE_1" localSheetId="65">'x-603'!$B$16</definedName>
    <definedName name="TABLE_REFERENCE_GUIDANCE_1" localSheetId="66">'x-604'!$B$16</definedName>
    <definedName name="TABLE_REFERENCE_GUIDANCE_1" localSheetId="67">'x-605'!$B$16</definedName>
    <definedName name="TABLE_REFERENCE_GUIDANCE_1" localSheetId="68">'x-606'!$B$16</definedName>
    <definedName name="TABLE_REFERENCE_GUIDANCE_1" localSheetId="69">'x-607'!$B$16</definedName>
    <definedName name="TABLE_REFERENCE_GUIDANCE_1" localSheetId="70">'x-608'!$B$16</definedName>
    <definedName name="TABLE_REFERENCE_GUIDANCE_1" localSheetId="71">'x-609'!$B$16</definedName>
    <definedName name="TABLE_REFERENCE_GUIDANCE_1" localSheetId="72">'x-610'!$B$16</definedName>
    <definedName name="TABLE_REFERENCE_GUIDANCE_1" localSheetId="73">'x-611'!$B$16</definedName>
    <definedName name="TABLE_REFERENCE_GUIDANCE_1" localSheetId="74">'x-612'!$B$16</definedName>
    <definedName name="TABLE_REFERENCE_GUIDANCE_1" localSheetId="75">'x-613'!$B$16</definedName>
    <definedName name="TABLE_REFERENCE_GUIDANCE_1" localSheetId="76">'x-614'!$B$16</definedName>
    <definedName name="TABLE_REFERENCE_GUIDANCE_1" localSheetId="77">'x-615'!$B$16</definedName>
    <definedName name="TABLE_REFERENCE_GUIDANCE_1" localSheetId="78">'x-616'!$B$16</definedName>
    <definedName name="TABLE_REFERENCE_GUIDANCE_1" localSheetId="79">'x-617'!$B$16</definedName>
    <definedName name="TABLE_REFERENCE_GUIDANCE_1" localSheetId="80">'x-618'!$B$16</definedName>
    <definedName name="TABLE_REFERENCE_GUIDANCE_1" localSheetId="81">'x-619'!$B$16</definedName>
    <definedName name="TABLE_REFERENCE_GUIDANCE_1" localSheetId="82">'x-620'!$B$16</definedName>
    <definedName name="TABLE_REFERENCE_GUIDANCE_1" localSheetId="83">'x-621'!$B$16</definedName>
    <definedName name="TABLE_REFERENCE_GUIDANCE_1" localSheetId="84">'x-622'!$B$16</definedName>
    <definedName name="TABLE_REFERENCE_GUIDANCE_1" localSheetId="85">'x-623'!$B$16</definedName>
    <definedName name="TABLE_REFERENCE_GUIDANCE_1" localSheetId="86">'x-624'!$B$16</definedName>
    <definedName name="TABLE_REFERENCE_GUIDANCE_1" localSheetId="87">'x-625'!$B$16</definedName>
    <definedName name="TABLE_REFERENCE_GUIDANCE_1" localSheetId="88">'x-626'!$B$16</definedName>
    <definedName name="TABLE_REFERENCE_GUIDANCE_1" localSheetId="89">'x-627'!$B$16</definedName>
    <definedName name="TABLE_REFERENCE_GUIDANCE_1" localSheetId="90">'x-701'!$B$16</definedName>
    <definedName name="TABLE_REFERENCE_GUIDANCE_1" localSheetId="91">'x-702'!$B$16</definedName>
    <definedName name="TABLE_REFERENCE_GUIDANCE_1" localSheetId="92">'x-802'!$B$16</definedName>
    <definedName name="TABLE_REFERENCE_GUIDANCE_2" localSheetId="90">'x-701'!$F$16</definedName>
    <definedName name="TABLE_REFERENCE_GUIDANCE_2" localSheetId="92">'x-802'!$G$16</definedName>
    <definedName name="TABLE_REFERENCE_GUIDANCE_3" localSheetId="92">'x-802'!$K$16</definedName>
    <definedName name="TABLE_RELATED" localSheetId="8">'x-201'!#REF!</definedName>
    <definedName name="TABLE_RELATED">'x-Series Number'!$B$17</definedName>
    <definedName name="TABLE_RELATED_1" localSheetId="8">'x-201'!$B$17</definedName>
    <definedName name="TABLE_RELATED_1" localSheetId="9">'x-202'!$B$17</definedName>
    <definedName name="TABLE_RELATED_1" localSheetId="10">'x-203'!$B$17</definedName>
    <definedName name="TABLE_RELATED_1" localSheetId="11">'x-204'!$B$17</definedName>
    <definedName name="TABLE_RELATED_1" localSheetId="12">'x-205'!$B$17</definedName>
    <definedName name="TABLE_RELATED_1" localSheetId="13">'x-206'!$B$17</definedName>
    <definedName name="TABLE_RELATED_1" localSheetId="14">'x-207'!$B$17</definedName>
    <definedName name="TABLE_RELATED_1" localSheetId="15">'x-208'!$B$17</definedName>
    <definedName name="TABLE_RELATED_1" localSheetId="16">'x-209'!$B$17</definedName>
    <definedName name="TABLE_RELATED_1" localSheetId="17">'x-210'!$B$17</definedName>
    <definedName name="TABLE_RELATED_1" localSheetId="18">'x-211'!$B$17</definedName>
    <definedName name="TABLE_RELATED_1" localSheetId="19">'x-212'!$B$17</definedName>
    <definedName name="TABLE_RELATED_1" localSheetId="20">'x-213'!$B$17</definedName>
    <definedName name="TABLE_RELATED_1" localSheetId="21">'x-214'!$B$17</definedName>
    <definedName name="TABLE_RELATED_1" localSheetId="22">'x-215'!$B$17</definedName>
    <definedName name="TABLE_RELATED_1" localSheetId="23">'x-220'!$B$17</definedName>
    <definedName name="TABLE_RELATED_1" localSheetId="24">'x-221'!$B$17</definedName>
    <definedName name="TABLE_RELATED_1" localSheetId="25">'x-301'!$B$17</definedName>
    <definedName name="TABLE_RELATED_1" localSheetId="26">'x-302'!$B$17</definedName>
    <definedName name="TABLE_RELATED_1" localSheetId="27">'x-303'!$B$17</definedName>
    <definedName name="TABLE_RELATED_1" localSheetId="28">'x-304'!$B$17</definedName>
    <definedName name="TABLE_RELATED_1" localSheetId="29">'x-305'!$B$17</definedName>
    <definedName name="TABLE_RELATED_1" localSheetId="30">'x-306'!$B$17</definedName>
    <definedName name="TABLE_RELATED_1" localSheetId="31">'x-307'!$B$17</definedName>
    <definedName name="TABLE_RELATED_1" localSheetId="32">'x-308'!$B$17</definedName>
    <definedName name="TABLE_RELATED_1" localSheetId="33">'x-309'!$B$17</definedName>
    <definedName name="TABLE_RELATED_1" localSheetId="34">'x-310'!$B$17</definedName>
    <definedName name="TABLE_RELATED_1" localSheetId="35">'x-311'!$B$17</definedName>
    <definedName name="TABLE_RELATED_1" localSheetId="36">'x-312'!$B$17</definedName>
    <definedName name="TABLE_RELATED_1" localSheetId="37">'x-313'!$B$17</definedName>
    <definedName name="TABLE_RELATED_1" localSheetId="38">'x-314'!$B$17</definedName>
    <definedName name="TABLE_RELATED_1" localSheetId="39">'x-315'!$B$17</definedName>
    <definedName name="TABLE_RELATED_1" localSheetId="40">'x-316'!$B$17</definedName>
    <definedName name="TABLE_RELATED_1" localSheetId="41">'x-317'!$B$17</definedName>
    <definedName name="TABLE_RELATED_1" localSheetId="42">'x-318'!$B$17</definedName>
    <definedName name="TABLE_RELATED_1" localSheetId="43">'x-319'!$B$17</definedName>
    <definedName name="TABLE_RELATED_1" localSheetId="44">'x-320'!$B$17</definedName>
    <definedName name="TABLE_RELATED_1" localSheetId="45">'x-321'!$B$17</definedName>
    <definedName name="TABLE_RELATED_1" localSheetId="46">'x-322'!$B$17</definedName>
    <definedName name="TABLE_RELATED_1" localSheetId="47">'x-323'!$B$17</definedName>
    <definedName name="TABLE_RELATED_1" localSheetId="48">'x-324'!$B$17</definedName>
    <definedName name="TABLE_RELATED_1" localSheetId="49">'x-325'!$B$17</definedName>
    <definedName name="TABLE_RELATED_1" localSheetId="50">'x-326'!$B$17</definedName>
    <definedName name="TABLE_RELATED_1" localSheetId="51">'x-327'!$B$17</definedName>
    <definedName name="TABLE_RELATED_1" localSheetId="52">'x-328'!$B$17</definedName>
    <definedName name="TABLE_RELATED_1" localSheetId="53">'x-401'!$B$17</definedName>
    <definedName name="TABLE_RELATED_1" localSheetId="54">'x-403'!$B$17</definedName>
    <definedName name="TABLE_RELATED_1" localSheetId="55">'x-404'!$B$17</definedName>
    <definedName name="TABLE_RELATED_1" localSheetId="56">'x-405'!$B$17</definedName>
    <definedName name="TABLE_RELATED_1" localSheetId="57">'x-406'!$B$17</definedName>
    <definedName name="TABLE_RELATED_1" localSheetId="58">'x-407'!$B$17</definedName>
    <definedName name="TABLE_RELATED_1" localSheetId="59">'x-501'!$B$17</definedName>
    <definedName name="TABLE_RELATED_1" localSheetId="60">'x-502'!$B$17</definedName>
    <definedName name="TABLE_RELATED_1" localSheetId="61">'x-503'!$B$17</definedName>
    <definedName name="TABLE_RELATED_1" localSheetId="62">'x-504'!$B$17</definedName>
    <definedName name="TABLE_RELATED_1" localSheetId="63">'x-505'!$B$17</definedName>
    <definedName name="TABLE_RELATED_1" localSheetId="64">'x-506'!$B$17</definedName>
    <definedName name="TABLE_RELATED_1" localSheetId="65">'x-603'!$B$17</definedName>
    <definedName name="TABLE_RELATED_1" localSheetId="66">'x-604'!$B$17</definedName>
    <definedName name="TABLE_RELATED_1" localSheetId="67">'x-605'!$B$17</definedName>
    <definedName name="TABLE_RELATED_1" localSheetId="68">'x-606'!$B$17</definedName>
    <definedName name="TABLE_RELATED_1" localSheetId="69">'x-607'!$B$17</definedName>
    <definedName name="TABLE_RELATED_1" localSheetId="70">'x-608'!$B$17</definedName>
    <definedName name="TABLE_RELATED_1" localSheetId="71">'x-609'!$B$17</definedName>
    <definedName name="TABLE_RELATED_1" localSheetId="72">'x-610'!$B$17</definedName>
    <definedName name="TABLE_RELATED_1" localSheetId="73">'x-611'!$B$17</definedName>
    <definedName name="TABLE_RELATED_1" localSheetId="74">'x-612'!$B$17</definedName>
    <definedName name="TABLE_RELATED_1" localSheetId="75">'x-613'!$B$17</definedName>
    <definedName name="TABLE_RELATED_1" localSheetId="76">'x-614'!$B$17</definedName>
    <definedName name="TABLE_RELATED_1" localSheetId="77">'x-615'!$B$17</definedName>
    <definedName name="TABLE_RELATED_1" localSheetId="78">'x-616'!$B$17</definedName>
    <definedName name="TABLE_RELATED_1" localSheetId="79">'x-617'!$B$17</definedName>
    <definedName name="TABLE_RELATED_1" localSheetId="80">'x-618'!$B$17</definedName>
    <definedName name="TABLE_RELATED_1" localSheetId="81">'x-619'!$B$17</definedName>
    <definedName name="TABLE_RELATED_1" localSheetId="82">'x-620'!$B$17</definedName>
    <definedName name="TABLE_RELATED_1" localSheetId="83">'x-621'!$B$17</definedName>
    <definedName name="TABLE_RELATED_1" localSheetId="84">'x-622'!$B$17</definedName>
    <definedName name="TABLE_RELATED_1" localSheetId="85">'x-623'!$B$17</definedName>
    <definedName name="TABLE_RELATED_1" localSheetId="86">'x-624'!$B$17</definedName>
    <definedName name="TABLE_RELATED_1" localSheetId="87">'x-625'!$B$17</definedName>
    <definedName name="TABLE_RELATED_1" localSheetId="88">'x-626'!$B$17</definedName>
    <definedName name="TABLE_RELATED_1" localSheetId="89">'x-627'!$B$17</definedName>
    <definedName name="TABLE_RELATED_1" localSheetId="90">'x-701'!$B$17</definedName>
    <definedName name="TABLE_RELATED_1" localSheetId="91">'x-702'!$B$17</definedName>
    <definedName name="TABLE_RELATED_1" localSheetId="92">'x-802'!$B$17</definedName>
    <definedName name="TABLE_RELATED_2" localSheetId="90">'x-701'!$F$17</definedName>
    <definedName name="TABLE_RELATED_2" localSheetId="92">'x-802'!$G$17</definedName>
    <definedName name="TABLE_RELATED_3" localSheetId="92">'x-802'!$K$17</definedName>
    <definedName name="TABLE_SECTION">'x-Series Number'!$B$8</definedName>
    <definedName name="TABLE_SECTION_1" localSheetId="8">'x-201'!$B$8</definedName>
    <definedName name="TABLE_SECTION_1" localSheetId="9">'x-202'!$B$8</definedName>
    <definedName name="TABLE_SECTION_1" localSheetId="10">'x-203'!$B$8</definedName>
    <definedName name="TABLE_SECTION_1" localSheetId="11">'x-204'!$B$8</definedName>
    <definedName name="TABLE_SECTION_1" localSheetId="12">'x-205'!$B$8</definedName>
    <definedName name="TABLE_SECTION_1" localSheetId="13">'x-206'!$B$8</definedName>
    <definedName name="TABLE_SECTION_1" localSheetId="14">'x-207'!$B$8</definedName>
    <definedName name="TABLE_SECTION_1" localSheetId="15">'x-208'!$B$8</definedName>
    <definedName name="TABLE_SECTION_1" localSheetId="16">'x-209'!$B$8</definedName>
    <definedName name="TABLE_SECTION_1" localSheetId="17">'x-210'!$B$8</definedName>
    <definedName name="TABLE_SECTION_1" localSheetId="18">'x-211'!$B$8</definedName>
    <definedName name="TABLE_SECTION_1" localSheetId="19">'x-212'!$B$8</definedName>
    <definedName name="TABLE_SECTION_1" localSheetId="20">'x-213'!$B$8</definedName>
    <definedName name="TABLE_SECTION_1" localSheetId="21">'x-214'!$B$8</definedName>
    <definedName name="TABLE_SECTION_1" localSheetId="22">'x-215'!$B$8</definedName>
    <definedName name="TABLE_SECTION_1" localSheetId="23">'x-220'!$B$8</definedName>
    <definedName name="TABLE_SECTION_1" localSheetId="24">'x-221'!$B$8</definedName>
    <definedName name="TABLE_SECTION_1" localSheetId="25">'x-301'!$B$8</definedName>
    <definedName name="TABLE_SECTION_1" localSheetId="26">'x-302'!$B$8</definedName>
    <definedName name="TABLE_SECTION_1" localSheetId="27">'x-303'!$B$8</definedName>
    <definedName name="TABLE_SECTION_1" localSheetId="28">'x-304'!$B$8</definedName>
    <definedName name="TABLE_SECTION_1" localSheetId="29">'x-305'!$B$8</definedName>
    <definedName name="TABLE_SECTION_1" localSheetId="30">'x-306'!$B$8</definedName>
    <definedName name="TABLE_SECTION_1" localSheetId="31">'x-307'!$B$8</definedName>
    <definedName name="TABLE_SECTION_1" localSheetId="32">'x-308'!$B$8</definedName>
    <definedName name="TABLE_SECTION_1" localSheetId="33">'x-309'!$B$8</definedName>
    <definedName name="TABLE_SECTION_1" localSheetId="34">'x-310'!$B$8</definedName>
    <definedName name="TABLE_SECTION_1" localSheetId="35">'x-311'!$B$8</definedName>
    <definedName name="TABLE_SECTION_1" localSheetId="36">'x-312'!$B$8</definedName>
    <definedName name="TABLE_SECTION_1" localSheetId="37">'x-313'!$B$8</definedName>
    <definedName name="TABLE_SECTION_1" localSheetId="38">'x-314'!$B$8</definedName>
    <definedName name="TABLE_SECTION_1" localSheetId="39">'x-315'!$B$8</definedName>
    <definedName name="TABLE_SECTION_1" localSheetId="40">'x-316'!$B$8</definedName>
    <definedName name="TABLE_SECTION_1" localSheetId="41">'x-317'!$B$8</definedName>
    <definedName name="TABLE_SECTION_1" localSheetId="42">'x-318'!$B$8</definedName>
    <definedName name="TABLE_SECTION_1" localSheetId="43">'x-319'!$B$8</definedName>
    <definedName name="TABLE_SECTION_1" localSheetId="44">'x-320'!$B$8</definedName>
    <definedName name="TABLE_SECTION_1" localSheetId="45">'x-321'!$B$8</definedName>
    <definedName name="TABLE_SECTION_1" localSheetId="46">'x-322'!$B$8</definedName>
    <definedName name="TABLE_SECTION_1" localSheetId="47">'x-323'!$B$8</definedName>
    <definedName name="TABLE_SECTION_1" localSheetId="48">'x-324'!$B$8</definedName>
    <definedName name="TABLE_SECTION_1" localSheetId="49">'x-325'!$B$8</definedName>
    <definedName name="TABLE_SECTION_1" localSheetId="50">'x-326'!$B$8</definedName>
    <definedName name="TABLE_SECTION_1" localSheetId="51">'x-327'!$B$8</definedName>
    <definedName name="TABLE_SECTION_1" localSheetId="52">'x-328'!$B$8</definedName>
    <definedName name="TABLE_SECTION_1" localSheetId="53">'x-401'!$B$8</definedName>
    <definedName name="TABLE_SECTION_1" localSheetId="54">'x-403'!$B$8</definedName>
    <definedName name="TABLE_SECTION_1" localSheetId="55">'x-404'!$B$8</definedName>
    <definedName name="TABLE_SECTION_1" localSheetId="56">'x-405'!$B$8</definedName>
    <definedName name="TABLE_SECTION_1" localSheetId="57">'x-406'!$B$8</definedName>
    <definedName name="TABLE_SECTION_1" localSheetId="58">'x-407'!$B$8</definedName>
    <definedName name="TABLE_SECTION_1" localSheetId="59">'x-501'!$B$8</definedName>
    <definedName name="TABLE_SECTION_1" localSheetId="60">'x-502'!$B$8</definedName>
    <definedName name="TABLE_SECTION_1" localSheetId="61">'x-503'!$B$8</definedName>
    <definedName name="TABLE_SECTION_1" localSheetId="62">'x-504'!$B$8</definedName>
    <definedName name="TABLE_SECTION_1" localSheetId="63">'x-505'!$B$8</definedName>
    <definedName name="TABLE_SECTION_1" localSheetId="64">'x-506'!$B$8</definedName>
    <definedName name="TABLE_SECTION_1" localSheetId="65">'x-603'!$B$8</definedName>
    <definedName name="TABLE_SECTION_1" localSheetId="66">'x-604'!$B$8</definedName>
    <definedName name="TABLE_SECTION_1" localSheetId="67">'x-605'!$B$8</definedName>
    <definedName name="TABLE_SECTION_1" localSheetId="68">'x-606'!$B$8</definedName>
    <definedName name="TABLE_SECTION_1" localSheetId="69">'x-607'!$B$8</definedName>
    <definedName name="TABLE_SECTION_1" localSheetId="70">'x-608'!$B$8</definedName>
    <definedName name="TABLE_SECTION_1" localSheetId="71">'x-609'!$B$8</definedName>
    <definedName name="TABLE_SECTION_1" localSheetId="72">'x-610'!$B$8</definedName>
    <definedName name="TABLE_SECTION_1" localSheetId="73">'x-611'!$B$8</definedName>
    <definedName name="TABLE_SECTION_1" localSheetId="74">'x-612'!$B$8</definedName>
    <definedName name="TABLE_SECTION_1" localSheetId="75">'x-613'!$B$8</definedName>
    <definedName name="TABLE_SECTION_1" localSheetId="76">'x-614'!$B$8</definedName>
    <definedName name="TABLE_SECTION_1" localSheetId="77">'x-615'!$B$8</definedName>
    <definedName name="TABLE_SECTION_1" localSheetId="78">'x-616'!$B$8</definedName>
    <definedName name="TABLE_SECTION_1" localSheetId="79">'x-617'!$B$8</definedName>
    <definedName name="TABLE_SECTION_1" localSheetId="80">'x-618'!$B$8</definedName>
    <definedName name="TABLE_SECTION_1" localSheetId="81">'x-619'!$B$8</definedName>
    <definedName name="TABLE_SECTION_1" localSheetId="82">'x-620'!$B$8</definedName>
    <definedName name="TABLE_SECTION_1" localSheetId="83">'x-621'!$B$8</definedName>
    <definedName name="TABLE_SECTION_1" localSheetId="84">'x-622'!$B$8</definedName>
    <definedName name="TABLE_SECTION_1" localSheetId="85">'x-623'!$B$8</definedName>
    <definedName name="TABLE_SECTION_1" localSheetId="86">'x-624'!$B$8</definedName>
    <definedName name="TABLE_SECTION_1" localSheetId="87">'x-625'!$B$8</definedName>
    <definedName name="TABLE_SECTION_1" localSheetId="88">'x-626'!$B$8</definedName>
    <definedName name="TABLE_SECTION_1" localSheetId="89">'x-627'!$B$8</definedName>
    <definedName name="TABLE_SECTION_1" localSheetId="90">'x-701'!$B$8</definedName>
    <definedName name="TABLE_SECTION_1" localSheetId="91">'x-702'!$B$8</definedName>
    <definedName name="TABLE_SECTION_1" localSheetId="92">'x-802'!$B$8</definedName>
    <definedName name="TABLE_SECTION_2" localSheetId="90">'x-701'!$F$8</definedName>
    <definedName name="TABLE_SECTION_2" localSheetId="92">'x-802'!$G$8</definedName>
    <definedName name="TABLE_SECTION_3" localSheetId="92">'x-802'!$K$8</definedName>
    <definedName name="TABLE_SECTION_NUMBER">'x-Series Number'!$B$13</definedName>
    <definedName name="TABLE_SECTION_NUMBER_1" localSheetId="8">'x-201'!$B$13</definedName>
    <definedName name="TABLE_SECTION_NUMBER_1" localSheetId="9">'x-202'!$B$13</definedName>
    <definedName name="TABLE_SECTION_NUMBER_1" localSheetId="10">'x-203'!$B$13</definedName>
    <definedName name="TABLE_SECTION_NUMBER_1" localSheetId="11">'x-204'!$B$13</definedName>
    <definedName name="TABLE_SECTION_NUMBER_1" localSheetId="12">'x-205'!$B$13</definedName>
    <definedName name="TABLE_SECTION_NUMBER_1" localSheetId="13">'x-206'!$B$13</definedName>
    <definedName name="TABLE_SECTION_NUMBER_1" localSheetId="14">'x-207'!$B$13</definedName>
    <definedName name="TABLE_SECTION_NUMBER_1" localSheetId="15">'x-208'!$B$13</definedName>
    <definedName name="TABLE_SECTION_NUMBER_1" localSheetId="16">'x-209'!$B$13</definedName>
    <definedName name="TABLE_SECTION_NUMBER_1" localSheetId="17">'x-210'!$B$13</definedName>
    <definedName name="TABLE_SECTION_NUMBER_1" localSheetId="18">'x-211'!$B$13</definedName>
    <definedName name="TABLE_SECTION_NUMBER_1" localSheetId="19">'x-212'!$B$13</definedName>
    <definedName name="TABLE_SECTION_NUMBER_1" localSheetId="20">'x-213'!$B$13</definedName>
    <definedName name="TABLE_SECTION_NUMBER_1" localSheetId="21">'x-214'!$B$13</definedName>
    <definedName name="TABLE_SECTION_NUMBER_1" localSheetId="22">'x-215'!$B$13</definedName>
    <definedName name="TABLE_SECTION_NUMBER_1" localSheetId="23">'x-220'!$B$13</definedName>
    <definedName name="TABLE_SECTION_NUMBER_1" localSheetId="24">'x-221'!$B$13</definedName>
    <definedName name="TABLE_SECTION_NUMBER_1" localSheetId="25">'x-301'!$B$13</definedName>
    <definedName name="TABLE_SECTION_NUMBER_1" localSheetId="26">'x-302'!$B$13</definedName>
    <definedName name="TABLE_SECTION_NUMBER_1" localSheetId="27">'x-303'!$B$13</definedName>
    <definedName name="TABLE_SECTION_NUMBER_1" localSheetId="28">'x-304'!$B$13</definedName>
    <definedName name="TABLE_SECTION_NUMBER_1" localSheetId="29">'x-305'!$B$13</definedName>
    <definedName name="TABLE_SECTION_NUMBER_1" localSheetId="30">'x-306'!$B$13</definedName>
    <definedName name="TABLE_SECTION_NUMBER_1" localSheetId="31">'x-307'!$B$13</definedName>
    <definedName name="TABLE_SECTION_NUMBER_1" localSheetId="32">'x-308'!$B$13</definedName>
    <definedName name="TABLE_SECTION_NUMBER_1" localSheetId="33">'x-309'!$B$13</definedName>
    <definedName name="TABLE_SECTION_NUMBER_1" localSheetId="34">'x-310'!$B$13</definedName>
    <definedName name="TABLE_SECTION_NUMBER_1" localSheetId="35">'x-311'!$B$13</definedName>
    <definedName name="TABLE_SECTION_NUMBER_1" localSheetId="36">'x-312'!$B$13</definedName>
    <definedName name="TABLE_SECTION_NUMBER_1" localSheetId="37">'x-313'!$B$13</definedName>
    <definedName name="TABLE_SECTION_NUMBER_1" localSheetId="38">'x-314'!$B$13</definedName>
    <definedName name="TABLE_SECTION_NUMBER_1" localSheetId="39">'x-315'!$B$13</definedName>
    <definedName name="TABLE_SECTION_NUMBER_1" localSheetId="40">'x-316'!$B$13</definedName>
    <definedName name="TABLE_SECTION_NUMBER_1" localSheetId="41">'x-317'!$B$13</definedName>
    <definedName name="TABLE_SECTION_NUMBER_1" localSheetId="42">'x-318'!$B$13</definedName>
    <definedName name="TABLE_SECTION_NUMBER_1" localSheetId="43">'x-319'!$B$13</definedName>
    <definedName name="TABLE_SECTION_NUMBER_1" localSheetId="44">'x-320'!$B$13</definedName>
    <definedName name="TABLE_SECTION_NUMBER_1" localSheetId="45">'x-321'!$B$13</definedName>
    <definedName name="TABLE_SECTION_NUMBER_1" localSheetId="46">'x-322'!$B$13</definedName>
    <definedName name="TABLE_SECTION_NUMBER_1" localSheetId="47">'x-323'!$B$13</definedName>
    <definedName name="TABLE_SECTION_NUMBER_1" localSheetId="48">'x-324'!$B$13</definedName>
    <definedName name="TABLE_SECTION_NUMBER_1" localSheetId="49">'x-325'!$B$13</definedName>
    <definedName name="TABLE_SECTION_NUMBER_1" localSheetId="50">'x-326'!$B$13</definedName>
    <definedName name="TABLE_SECTION_NUMBER_1" localSheetId="51">'x-327'!$B$13</definedName>
    <definedName name="TABLE_SECTION_NUMBER_1" localSheetId="52">'x-328'!$B$13</definedName>
    <definedName name="TABLE_SECTION_NUMBER_1" localSheetId="53">'x-401'!$B$13</definedName>
    <definedName name="TABLE_SECTION_NUMBER_1" localSheetId="54">'x-403'!$B$13</definedName>
    <definedName name="TABLE_SECTION_NUMBER_1" localSheetId="55">'x-404'!$B$13</definedName>
    <definedName name="TABLE_SECTION_NUMBER_1" localSheetId="56">'x-405'!$B$13</definedName>
    <definedName name="TABLE_SECTION_NUMBER_1" localSheetId="57">'x-406'!$B$13</definedName>
    <definedName name="TABLE_SECTION_NUMBER_1" localSheetId="58">'x-407'!$B$13</definedName>
    <definedName name="TABLE_SECTION_NUMBER_1" localSheetId="59">'x-501'!$B$13</definedName>
    <definedName name="TABLE_SECTION_NUMBER_1" localSheetId="60">'x-502'!$B$13</definedName>
    <definedName name="TABLE_SECTION_NUMBER_1" localSheetId="61">'x-503'!$B$13</definedName>
    <definedName name="TABLE_SECTION_NUMBER_1" localSheetId="62">'x-504'!$B$13</definedName>
    <definedName name="TABLE_SECTION_NUMBER_1" localSheetId="63">'x-505'!$B$13</definedName>
    <definedName name="TABLE_SECTION_NUMBER_1" localSheetId="64">'x-506'!$B$13</definedName>
    <definedName name="TABLE_SECTION_NUMBER_1" localSheetId="65">'x-603'!$B$13</definedName>
    <definedName name="TABLE_SECTION_NUMBER_1" localSheetId="66">'x-604'!$B$13</definedName>
    <definedName name="TABLE_SECTION_NUMBER_1" localSheetId="67">'x-605'!$B$13</definedName>
    <definedName name="TABLE_SECTION_NUMBER_1" localSheetId="68">'x-606'!$B$13</definedName>
    <definedName name="TABLE_SECTION_NUMBER_1" localSheetId="69">'x-607'!$B$13</definedName>
    <definedName name="TABLE_SECTION_NUMBER_1" localSheetId="70">'x-608'!$B$13</definedName>
    <definedName name="TABLE_SECTION_NUMBER_1" localSheetId="71">'x-609'!$B$13</definedName>
    <definedName name="TABLE_SECTION_NUMBER_1" localSheetId="72">'x-610'!$B$13</definedName>
    <definedName name="TABLE_SECTION_NUMBER_1" localSheetId="73">'x-611'!$B$13</definedName>
    <definedName name="TABLE_SECTION_NUMBER_1" localSheetId="74">'x-612'!$B$13</definedName>
    <definedName name="TABLE_SECTION_NUMBER_1" localSheetId="75">'x-613'!$B$13</definedName>
    <definedName name="TABLE_SECTION_NUMBER_1" localSheetId="76">'x-614'!$B$13</definedName>
    <definedName name="TABLE_SECTION_NUMBER_1" localSheetId="77">'x-615'!$B$13</definedName>
    <definedName name="TABLE_SECTION_NUMBER_1" localSheetId="78">'x-616'!$B$13</definedName>
    <definedName name="TABLE_SECTION_NUMBER_1" localSheetId="79">'x-617'!$B$13</definedName>
    <definedName name="TABLE_SECTION_NUMBER_1" localSheetId="80">'x-618'!$B$13</definedName>
    <definedName name="TABLE_SECTION_NUMBER_1" localSheetId="81">'x-619'!$B$13</definedName>
    <definedName name="TABLE_SECTION_NUMBER_1" localSheetId="82">'x-620'!$B$13</definedName>
    <definedName name="TABLE_SECTION_NUMBER_1" localSheetId="83">'x-621'!$B$13</definedName>
    <definedName name="TABLE_SECTION_NUMBER_1" localSheetId="84">'x-622'!$B$13</definedName>
    <definedName name="TABLE_SECTION_NUMBER_1" localSheetId="85">'x-623'!$B$13</definedName>
    <definedName name="TABLE_SECTION_NUMBER_1" localSheetId="86">'x-624'!$B$13</definedName>
    <definedName name="TABLE_SECTION_NUMBER_1" localSheetId="87">'x-625'!$B$13</definedName>
    <definedName name="TABLE_SECTION_NUMBER_1" localSheetId="88">'x-626'!$B$13</definedName>
    <definedName name="TABLE_SECTION_NUMBER_1" localSheetId="89">'x-627'!$B$13</definedName>
    <definedName name="TABLE_SECTION_NUMBER_1" localSheetId="90">'x-701'!$B$13</definedName>
    <definedName name="TABLE_SECTION_NUMBER_1" localSheetId="91">'x-702'!$B$13</definedName>
    <definedName name="TABLE_SECTION_NUMBER_1" localSheetId="92">'x-802'!$B$13</definedName>
    <definedName name="TABLE_SECTION_NUMBER_2" localSheetId="90">'x-701'!$F$13</definedName>
    <definedName name="TABLE_SECTION_NUMBER_2" localSheetId="92">'x-802'!$G$13</definedName>
    <definedName name="TABLE_SECTION_NUMBER_3" localSheetId="92">'x-802'!$K$13</definedName>
    <definedName name="TABLE_SERIES_NUMBER" localSheetId="7">'[2]x-Series Number'!$B$14</definedName>
    <definedName name="TABLE_SERIES_NUMBER">'x-Series Number'!$B$14</definedName>
    <definedName name="TABLE_SERIES_NUMBER_1" localSheetId="8">'x-201'!$B$14</definedName>
    <definedName name="TABLE_SERIES_NUMBER_1" localSheetId="9">'x-202'!$B$14</definedName>
    <definedName name="TABLE_SERIES_NUMBER_1" localSheetId="10">'x-203'!$B$14</definedName>
    <definedName name="TABLE_SERIES_NUMBER_1" localSheetId="11">'x-204'!$B$14</definedName>
    <definedName name="TABLE_SERIES_NUMBER_1" localSheetId="12">'x-205'!$B$14</definedName>
    <definedName name="TABLE_SERIES_NUMBER_1" localSheetId="13">'x-206'!$B$14</definedName>
    <definedName name="TABLE_SERIES_NUMBER_1" localSheetId="14">'x-207'!$B$14</definedName>
    <definedName name="TABLE_SERIES_NUMBER_1" localSheetId="15">'x-208'!$B$14</definedName>
    <definedName name="TABLE_SERIES_NUMBER_1" localSheetId="16">'x-209'!$B$14</definedName>
    <definedName name="TABLE_SERIES_NUMBER_1" localSheetId="17">'x-210'!$B$14</definedName>
    <definedName name="TABLE_SERIES_NUMBER_1" localSheetId="18">'x-211'!$B$14</definedName>
    <definedName name="TABLE_SERIES_NUMBER_1" localSheetId="19">'x-212'!$B$14</definedName>
    <definedName name="TABLE_SERIES_NUMBER_1" localSheetId="20">'x-213'!$B$14</definedName>
    <definedName name="TABLE_SERIES_NUMBER_1" localSheetId="21">'x-214'!$B$14</definedName>
    <definedName name="TABLE_SERIES_NUMBER_1" localSheetId="22">'x-215'!$B$14</definedName>
    <definedName name="TABLE_SERIES_NUMBER_1" localSheetId="23">'x-220'!$B$14</definedName>
    <definedName name="TABLE_SERIES_NUMBER_1" localSheetId="24">'x-221'!$B$14</definedName>
    <definedName name="TABLE_SERIES_NUMBER_1" localSheetId="25">'x-301'!$B$14</definedName>
    <definedName name="TABLE_SERIES_NUMBER_1" localSheetId="26">'x-302'!$B$14</definedName>
    <definedName name="TABLE_SERIES_NUMBER_1" localSheetId="27">'x-303'!$B$14</definedName>
    <definedName name="TABLE_SERIES_NUMBER_1" localSheetId="28">'x-304'!$B$14</definedName>
    <definedName name="TABLE_SERIES_NUMBER_1" localSheetId="29">'x-305'!$B$14</definedName>
    <definedName name="TABLE_SERIES_NUMBER_1" localSheetId="30">'x-306'!$B$14</definedName>
    <definedName name="TABLE_SERIES_NUMBER_1" localSheetId="31">'x-307'!$B$14</definedName>
    <definedName name="TABLE_SERIES_NUMBER_1" localSheetId="32">'x-308'!$B$14</definedName>
    <definedName name="TABLE_SERIES_NUMBER_1" localSheetId="33">'x-309'!$B$14</definedName>
    <definedName name="TABLE_SERIES_NUMBER_1" localSheetId="34">'x-310'!$B$14</definedName>
    <definedName name="TABLE_SERIES_NUMBER_1" localSheetId="35">'x-311'!$B$14</definedName>
    <definedName name="TABLE_SERIES_NUMBER_1" localSheetId="36">'x-312'!$B$14</definedName>
    <definedName name="TABLE_SERIES_NUMBER_1" localSheetId="37">'x-313'!$B$14</definedName>
    <definedName name="TABLE_SERIES_NUMBER_1" localSheetId="38">'x-314'!$B$14</definedName>
    <definedName name="TABLE_SERIES_NUMBER_1" localSheetId="39">'x-315'!$B$14</definedName>
    <definedName name="TABLE_SERIES_NUMBER_1" localSheetId="40">'x-316'!$B$14</definedName>
    <definedName name="TABLE_SERIES_NUMBER_1" localSheetId="41">'x-317'!$B$14</definedName>
    <definedName name="TABLE_SERIES_NUMBER_1" localSheetId="42">'x-318'!$B$14</definedName>
    <definedName name="TABLE_SERIES_NUMBER_1" localSheetId="43">'x-319'!$B$14</definedName>
    <definedName name="TABLE_SERIES_NUMBER_1" localSheetId="44">'x-320'!$B$14</definedName>
    <definedName name="TABLE_SERIES_NUMBER_1" localSheetId="45">'x-321'!$B$14</definedName>
    <definedName name="TABLE_SERIES_NUMBER_1" localSheetId="46">'x-322'!$B$14</definedName>
    <definedName name="TABLE_SERIES_NUMBER_1" localSheetId="47">'x-323'!$B$14</definedName>
    <definedName name="TABLE_SERIES_NUMBER_1" localSheetId="48">'x-324'!$B$14</definedName>
    <definedName name="TABLE_SERIES_NUMBER_1" localSheetId="49">'x-325'!$B$14</definedName>
    <definedName name="TABLE_SERIES_NUMBER_1" localSheetId="50">'x-326'!$B$14</definedName>
    <definedName name="TABLE_SERIES_NUMBER_1" localSheetId="51">'x-327'!$B$14</definedName>
    <definedName name="TABLE_SERIES_NUMBER_1" localSheetId="52">'x-328'!$B$14</definedName>
    <definedName name="TABLE_SERIES_NUMBER_1" localSheetId="53">'x-401'!$B$14</definedName>
    <definedName name="TABLE_SERIES_NUMBER_1" localSheetId="54">'x-403'!$B$14</definedName>
    <definedName name="TABLE_SERIES_NUMBER_1" localSheetId="55">'x-404'!$B$14</definedName>
    <definedName name="TABLE_SERIES_NUMBER_1" localSheetId="56">'x-405'!$B$14</definedName>
    <definedName name="TABLE_SERIES_NUMBER_1" localSheetId="57">'x-406'!$B$14</definedName>
    <definedName name="TABLE_SERIES_NUMBER_1" localSheetId="58">'x-407'!$B$14</definedName>
    <definedName name="TABLE_SERIES_NUMBER_1" localSheetId="59">'x-501'!$B$14</definedName>
    <definedName name="TABLE_SERIES_NUMBER_1" localSheetId="60">'x-502'!$B$14</definedName>
    <definedName name="TABLE_SERIES_NUMBER_1" localSheetId="61">'x-503'!$B$14</definedName>
    <definedName name="TABLE_SERIES_NUMBER_1" localSheetId="62">'x-504'!$B$14</definedName>
    <definedName name="TABLE_SERIES_NUMBER_1" localSheetId="63">'x-505'!$B$14</definedName>
    <definedName name="TABLE_SERIES_NUMBER_1" localSheetId="64">'x-506'!$B$14</definedName>
    <definedName name="TABLE_SERIES_NUMBER_1" localSheetId="65">'x-603'!$B$14</definedName>
    <definedName name="TABLE_SERIES_NUMBER_1" localSheetId="66">'x-604'!$B$14</definedName>
    <definedName name="TABLE_SERIES_NUMBER_1" localSheetId="67">'x-605'!$B$14</definedName>
    <definedName name="TABLE_SERIES_NUMBER_1" localSheetId="68">'x-606'!$B$14</definedName>
    <definedName name="TABLE_SERIES_NUMBER_1" localSheetId="69">'x-607'!$B$14</definedName>
    <definedName name="TABLE_SERIES_NUMBER_1" localSheetId="70">'x-608'!$B$14</definedName>
    <definedName name="TABLE_SERIES_NUMBER_1" localSheetId="71">'x-609'!$B$14</definedName>
    <definedName name="TABLE_SERIES_NUMBER_1" localSheetId="72">'x-610'!$B$14</definedName>
    <definedName name="TABLE_SERIES_NUMBER_1" localSheetId="73">'x-611'!$B$14</definedName>
    <definedName name="TABLE_SERIES_NUMBER_1" localSheetId="74">'x-612'!$B$14</definedName>
    <definedName name="TABLE_SERIES_NUMBER_1" localSheetId="75">'x-613'!$B$14</definedName>
    <definedName name="TABLE_SERIES_NUMBER_1" localSheetId="76">'x-614'!$B$14</definedName>
    <definedName name="TABLE_SERIES_NUMBER_1" localSheetId="77">'x-615'!$B$14</definedName>
    <definedName name="TABLE_SERIES_NUMBER_1" localSheetId="78">'x-616'!$B$14</definedName>
    <definedName name="TABLE_SERIES_NUMBER_1" localSheetId="79">'x-617'!$B$14</definedName>
    <definedName name="TABLE_SERIES_NUMBER_1" localSheetId="80">'x-618'!$B$14</definedName>
    <definedName name="TABLE_SERIES_NUMBER_1" localSheetId="81">'x-619'!$B$14</definedName>
    <definedName name="TABLE_SERIES_NUMBER_1" localSheetId="82">'x-620'!$B$14</definedName>
    <definedName name="TABLE_SERIES_NUMBER_1" localSheetId="83">'x-621'!$B$14</definedName>
    <definedName name="TABLE_SERIES_NUMBER_1" localSheetId="84">'x-622'!$B$14</definedName>
    <definedName name="TABLE_SERIES_NUMBER_1" localSheetId="85">'x-623'!$B$14</definedName>
    <definedName name="TABLE_SERIES_NUMBER_1" localSheetId="86">'x-624'!$B$14</definedName>
    <definedName name="TABLE_SERIES_NUMBER_1" localSheetId="87">'x-625'!$B$14</definedName>
    <definedName name="TABLE_SERIES_NUMBER_1" localSheetId="88">'x-626'!$B$14</definedName>
    <definedName name="TABLE_SERIES_NUMBER_1" localSheetId="89">'x-627'!$B$14</definedName>
    <definedName name="TABLE_SERIES_NUMBER_1" localSheetId="90">'x-701'!$B$14</definedName>
    <definedName name="TABLE_SERIES_NUMBER_1" localSheetId="91">'x-702'!$B$14</definedName>
    <definedName name="TABLE_SERIES_NUMBER_1" localSheetId="92">'x-802'!$B$14</definedName>
    <definedName name="TABLE_SERIES_NUMBER_2" localSheetId="90">'x-701'!$F$14</definedName>
    <definedName name="TABLE_SERIES_NUMBER_2" localSheetId="92">'x-802'!$G$14</definedName>
    <definedName name="TABLE_SERIES_NUMBER_3" localSheetId="92">'x-802'!$K$14</definedName>
    <definedName name="title" localSheetId="7">[2]Cover!$A$2</definedName>
    <definedName name="title" localSheetId="54">[1]Cover!$A$2</definedName>
    <definedName name="title" localSheetId="63">[3]Cover!$A$2</definedName>
    <definedName name="title" localSheetId="64">[3]Cover!$A$2</definedName>
    <definedName name="title" localSheetId="92">[1]Cover!$A$2</definedName>
    <definedName name="title">Cover!$A$2</definedName>
    <definedName name="title_new">Cover!$A$2</definedName>
    <definedName name="tn">Cover!$A$2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 i="105" l="1"/>
  <c r="A3" i="106"/>
  <c r="A3" i="107"/>
  <c r="A3" i="108"/>
  <c r="A3" i="109"/>
  <c r="A3" i="110"/>
  <c r="A3" i="111"/>
  <c r="A3" i="112"/>
  <c r="A3" i="113"/>
  <c r="A3" i="114"/>
  <c r="A3" i="115"/>
  <c r="A3" i="116"/>
  <c r="A3" i="117"/>
  <c r="A3" i="118"/>
  <c r="A3" i="136"/>
  <c r="A3" i="137"/>
  <c r="A3" i="119"/>
  <c r="A3" i="120"/>
  <c r="A3" i="121"/>
  <c r="A3" i="122"/>
  <c r="A3" i="123"/>
  <c r="A3" i="124"/>
  <c r="A3" i="125"/>
  <c r="A3" i="126"/>
  <c r="A3" i="127"/>
  <c r="A3" i="128"/>
  <c r="A3" i="129"/>
  <c r="A3" i="130"/>
  <c r="A3" i="138"/>
  <c r="A3" i="139"/>
  <c r="A3" i="140"/>
  <c r="A3" i="141"/>
  <c r="A3" i="142"/>
  <c r="A3" i="143"/>
  <c r="A3" i="144"/>
  <c r="A3" i="145"/>
  <c r="A3" i="146"/>
  <c r="A3" i="147"/>
  <c r="A3" i="148"/>
  <c r="A3" i="149"/>
  <c r="A3" i="150"/>
  <c r="A3" i="151"/>
  <c r="A3" i="152"/>
  <c r="A3" i="153"/>
  <c r="A3" i="154"/>
  <c r="A3" i="201"/>
  <c r="A3" i="157"/>
  <c r="A3" i="158"/>
  <c r="A3" i="159"/>
  <c r="A3" i="160"/>
  <c r="A3" i="161"/>
  <c r="A3" i="162"/>
  <c r="A3" i="163"/>
  <c r="A3" i="164"/>
  <c r="A3" i="195"/>
  <c r="A3" i="199"/>
  <c r="A3" i="165"/>
  <c r="A3" i="166"/>
  <c r="A3" i="167"/>
  <c r="A3" i="168"/>
  <c r="A3" i="169"/>
  <c r="A3" i="170"/>
  <c r="A3" i="171"/>
  <c r="A3" i="172"/>
  <c r="A3" i="173"/>
  <c r="A3" i="174"/>
  <c r="A3" i="175"/>
  <c r="A3" i="176"/>
  <c r="A3" i="177"/>
  <c r="A3" i="178"/>
  <c r="A3" i="179"/>
  <c r="A3" i="180"/>
  <c r="A3" i="181"/>
  <c r="A3" i="182"/>
  <c r="A3" i="183"/>
  <c r="A3" i="184"/>
  <c r="A3" i="185"/>
  <c r="A3" i="186"/>
  <c r="A3" i="187"/>
  <c r="A3" i="188"/>
  <c r="A3" i="189"/>
  <c r="A3" i="190"/>
  <c r="A3" i="191"/>
  <c r="A3" i="200"/>
  <c r="A3" i="104"/>
  <c r="A95" i="55" l="1"/>
  <c r="A94" i="55"/>
  <c r="A93" i="55"/>
  <c r="A92" i="55"/>
  <c r="A91" i="55"/>
  <c r="A90" i="55"/>
  <c r="A89" i="55"/>
  <c r="A88" i="55"/>
  <c r="A87" i="55"/>
  <c r="A86" i="55"/>
  <c r="A85" i="55"/>
  <c r="A84" i="55"/>
  <c r="A83" i="55"/>
  <c r="A82" i="55"/>
  <c r="A81" i="55"/>
  <c r="A80" i="55"/>
  <c r="A79" i="55"/>
  <c r="A78" i="55"/>
  <c r="A77" i="55"/>
  <c r="A76" i="55"/>
  <c r="A75" i="55"/>
  <c r="A74" i="55"/>
  <c r="A73" i="55"/>
  <c r="A72" i="55"/>
  <c r="A71" i="55"/>
  <c r="A70" i="55"/>
  <c r="A69" i="55"/>
  <c r="A68" i="55"/>
  <c r="A67" i="55"/>
  <c r="A66" i="55"/>
  <c r="A65" i="55"/>
  <c r="A64" i="55"/>
  <c r="A63" i="55"/>
  <c r="A62" i="55"/>
  <c r="A61" i="55"/>
  <c r="A60" i="55"/>
  <c r="A59" i="55"/>
  <c r="A58" i="55"/>
  <c r="A57" i="55"/>
  <c r="A56" i="55"/>
  <c r="A55" i="55"/>
  <c r="A54" i="55"/>
  <c r="A53" i="55"/>
  <c r="A52" i="55"/>
  <c r="A51" i="55"/>
  <c r="A50" i="55"/>
  <c r="A49" i="55"/>
  <c r="A48" i="55"/>
  <c r="A47" i="55"/>
  <c r="A46" i="55"/>
  <c r="A45" i="55"/>
  <c r="A44" i="55"/>
  <c r="A43" i="55"/>
  <c r="A42" i="55"/>
  <c r="A41" i="55"/>
  <c r="A40" i="55"/>
  <c r="A39" i="55"/>
  <c r="A38" i="55"/>
  <c r="A37" i="55"/>
  <c r="A36" i="55"/>
  <c r="A35" i="55"/>
  <c r="A34" i="55"/>
  <c r="A33" i="55"/>
  <c r="A32" i="55"/>
  <c r="A31" i="55"/>
  <c r="A30" i="55"/>
  <c r="A29" i="55"/>
  <c r="A28" i="55"/>
  <c r="A27" i="55"/>
  <c r="A26" i="55"/>
  <c r="A25" i="55"/>
  <c r="A24" i="55"/>
  <c r="A23" i="55"/>
  <c r="A22" i="55"/>
  <c r="A21" i="55"/>
  <c r="A20" i="55"/>
  <c r="A19" i="55"/>
  <c r="A18" i="55"/>
  <c r="A17" i="55"/>
  <c r="A16" i="55"/>
  <c r="A15" i="55"/>
  <c r="A14" i="55"/>
  <c r="A13" i="55"/>
  <c r="A12" i="55"/>
  <c r="A11" i="55"/>
  <c r="A10" i="55"/>
  <c r="A9" i="55"/>
  <c r="A8" i="55"/>
  <c r="B23" i="201" l="1"/>
  <c r="A2" i="201"/>
  <c r="A2" i="200" l="1"/>
  <c r="K23" i="200"/>
  <c r="G23" i="200"/>
  <c r="B23" i="200"/>
  <c r="B23" i="199"/>
  <c r="A2" i="197"/>
  <c r="B23" i="190"/>
  <c r="B23" i="189"/>
  <c r="B23" i="188"/>
  <c r="B23" i="187"/>
  <c r="B23" i="186"/>
  <c r="B23" i="185"/>
  <c r="B23" i="184"/>
  <c r="B23" i="183"/>
  <c r="B23" i="182"/>
  <c r="B23" i="181"/>
  <c r="B23" i="180"/>
  <c r="B23" i="179"/>
  <c r="B23" i="178"/>
  <c r="B23" i="177"/>
  <c r="B23" i="176"/>
  <c r="B23" i="175"/>
  <c r="B23" i="174"/>
  <c r="B23" i="173"/>
  <c r="B23" i="172"/>
  <c r="B23" i="171"/>
  <c r="B23" i="170"/>
  <c r="B23" i="169"/>
  <c r="B23" i="168"/>
  <c r="B23" i="167"/>
  <c r="B23" i="166"/>
  <c r="B23" i="165"/>
  <c r="B23" i="164"/>
  <c r="B23" i="163"/>
  <c r="B23" i="162"/>
  <c r="B23" i="161"/>
  <c r="B23" i="160"/>
  <c r="B23" i="159"/>
  <c r="B23" i="158"/>
  <c r="B23" i="157"/>
  <c r="B23" i="154"/>
  <c r="B23" i="153"/>
  <c r="B23" i="152"/>
  <c r="B23" i="151"/>
  <c r="B23" i="150"/>
  <c r="B23" i="149"/>
  <c r="B23" i="148"/>
  <c r="B23" i="147"/>
  <c r="B23" i="146"/>
  <c r="B23" i="145"/>
  <c r="B23" i="144"/>
  <c r="B23" i="143"/>
  <c r="B23" i="142"/>
  <c r="B23" i="141"/>
  <c r="B23" i="140"/>
  <c r="B23" i="139"/>
  <c r="B23" i="138"/>
  <c r="B23" i="130"/>
  <c r="B23" i="129"/>
  <c r="B23" i="128"/>
  <c r="B23" i="127"/>
  <c r="B23" i="126"/>
  <c r="B23" i="125"/>
  <c r="B23" i="124"/>
  <c r="B23" i="123"/>
  <c r="B23" i="122"/>
  <c r="B23" i="121"/>
  <c r="B23" i="120"/>
  <c r="B23" i="119"/>
  <c r="B23" i="137"/>
  <c r="B23" i="136"/>
  <c r="B23" i="118"/>
  <c r="B23" i="117"/>
  <c r="B23" i="116"/>
  <c r="B23" i="115"/>
  <c r="B23" i="114"/>
  <c r="B23" i="113"/>
  <c r="B23" i="112"/>
  <c r="B23" i="111"/>
  <c r="B23" i="110"/>
  <c r="B23" i="109"/>
  <c r="B23" i="108"/>
  <c r="B23" i="107"/>
  <c r="B23" i="106"/>
  <c r="B23" i="105"/>
  <c r="B23" i="104"/>
  <c r="B23" i="191"/>
  <c r="B23" i="195"/>
  <c r="B22" i="102"/>
  <c r="A2" i="191" l="1"/>
  <c r="A2" i="190"/>
  <c r="A2" i="189" l="1"/>
  <c r="A2" i="188"/>
  <c r="A2" i="187"/>
  <c r="A2" i="186"/>
  <c r="A2" i="185"/>
  <c r="A2" i="184"/>
  <c r="A2" i="183"/>
  <c r="A2" i="182"/>
  <c r="A2" i="181"/>
  <c r="A2" i="180"/>
  <c r="A2" i="179"/>
  <c r="A2" i="178"/>
  <c r="A2" i="177"/>
  <c r="A2" i="176"/>
  <c r="A2" i="175"/>
  <c r="A2" i="174"/>
  <c r="A2" i="173"/>
  <c r="A2" i="172"/>
  <c r="A2" i="171"/>
  <c r="A2" i="170"/>
  <c r="A2" i="169"/>
  <c r="A2" i="168"/>
  <c r="A2" i="167"/>
  <c r="A2" i="166"/>
  <c r="A2" i="165"/>
  <c r="A2" i="164" l="1"/>
  <c r="A2" i="163"/>
  <c r="A2" i="162"/>
  <c r="A2" i="161"/>
  <c r="A2" i="160" l="1"/>
  <c r="A2" i="159"/>
  <c r="A2" i="158"/>
  <c r="A2" i="157"/>
  <c r="A2" i="154"/>
  <c r="A2" i="153" l="1"/>
  <c r="A2" i="152"/>
  <c r="A2" i="151"/>
  <c r="A2" i="150"/>
  <c r="A2" i="149"/>
  <c r="A2" i="148"/>
  <c r="A2" i="147"/>
  <c r="A2" i="146"/>
  <c r="A2" i="145"/>
  <c r="A2" i="144"/>
  <c r="A2" i="143"/>
  <c r="A2" i="142"/>
  <c r="A2" i="141"/>
  <c r="A2" i="140"/>
  <c r="A2" i="139"/>
  <c r="A2" i="138"/>
  <c r="A2" i="137" l="1"/>
  <c r="A2" i="136"/>
  <c r="A2" i="130" l="1"/>
  <c r="A2" i="129"/>
  <c r="A2" i="128"/>
  <c r="A2" i="127"/>
  <c r="A2" i="126"/>
  <c r="A2" i="125"/>
  <c r="A2" i="124"/>
  <c r="A2" i="123"/>
  <c r="A2" i="122"/>
  <c r="A2" i="121"/>
  <c r="A2" i="120"/>
  <c r="A2" i="119"/>
  <c r="A2" i="118"/>
  <c r="A2" i="117"/>
  <c r="A2" i="116"/>
  <c r="A2" i="115"/>
  <c r="A2" i="114"/>
  <c r="A2" i="113"/>
  <c r="A2" i="112"/>
  <c r="A2" i="111"/>
  <c r="A2" i="110"/>
  <c r="A2" i="109"/>
  <c r="A2" i="108"/>
  <c r="A2" i="107"/>
  <c r="A2" i="106"/>
  <c r="A2" i="105"/>
  <c r="A2" i="104"/>
  <c r="A3" i="102" l="1"/>
  <c r="A4" i="102" l="1"/>
  <c r="A2" i="102"/>
  <c r="A4" i="93" l="1"/>
  <c r="A2" i="93"/>
  <c r="A2" i="78"/>
  <c r="A4" i="77"/>
  <c r="A2" i="77"/>
  <c r="A2" i="55" l="1"/>
  <c r="A4" i="1" l="1"/>
</calcChain>
</file>

<file path=xl/sharedStrings.xml><?xml version="1.0" encoding="utf-8"?>
<sst xmlns="http://schemas.openxmlformats.org/spreadsheetml/2006/main" count="4230" uniqueCount="704">
  <si>
    <t>DO NOT REMOVE WORKSHEET</t>
  </si>
  <si>
    <t>BaseTablesList</t>
  </si>
  <si>
    <t>ImprovementsList</t>
  </si>
  <si>
    <t>PCFA00</t>
  </si>
  <si>
    <t>CMI2016F-02-1pt25</t>
  </si>
  <si>
    <t>PCMA00</t>
  </si>
  <si>
    <t>CMI2016F-07-1pt5</t>
  </si>
  <si>
    <t>PFA80</t>
  </si>
  <si>
    <t>CMI2016M-02-1pt25</t>
  </si>
  <si>
    <t>PFA92</t>
  </si>
  <si>
    <t>CMI2016M-07-1pt5</t>
  </si>
  <si>
    <t>PFA92 - 08</t>
  </si>
  <si>
    <t>CMI2017F-07-1pt5</t>
  </si>
  <si>
    <t>PFA92-10</t>
  </si>
  <si>
    <t>CMI2017M-07-1pt5</t>
  </si>
  <si>
    <t>PMA80</t>
  </si>
  <si>
    <t>Long Cohort</t>
  </si>
  <si>
    <t>PMA92</t>
  </si>
  <si>
    <t>Medium Cohort</t>
  </si>
  <si>
    <t>PMA92 - 08</t>
  </si>
  <si>
    <t>PFA80imp</t>
  </si>
  <si>
    <t>PMA92-10</t>
  </si>
  <si>
    <t>PNFA00</t>
  </si>
  <si>
    <t>PMA80imp</t>
  </si>
  <si>
    <t>PNFA00-06</t>
  </si>
  <si>
    <t>PNFA00-08</t>
  </si>
  <si>
    <t>S3-UKF2016imp</t>
  </si>
  <si>
    <t>PNFA00-10</t>
  </si>
  <si>
    <t>S3-UKM2016imp</t>
  </si>
  <si>
    <t>PNMA00</t>
  </si>
  <si>
    <t>Short Cohort</t>
  </si>
  <si>
    <t>PNMA00-06</t>
  </si>
  <si>
    <t>SMPI-2018imp</t>
  </si>
  <si>
    <t>PNMA00-08</t>
  </si>
  <si>
    <t>UKF2004imp</t>
  </si>
  <si>
    <t>PNMA00-10</t>
  </si>
  <si>
    <t>UKF2006imp</t>
  </si>
  <si>
    <t>S1DFA</t>
  </si>
  <si>
    <t>UKF2006imp_HLE</t>
  </si>
  <si>
    <t>S1DFA-06</t>
  </si>
  <si>
    <t>UKF2006imp_LLE</t>
  </si>
  <si>
    <t>S1DFA-08</t>
  </si>
  <si>
    <t>UKF2008imp</t>
  </si>
  <si>
    <t>S1DFA-10</t>
  </si>
  <si>
    <t>UKF2010imp</t>
  </si>
  <si>
    <t>S1DFA-12</t>
  </si>
  <si>
    <t>UKF2012imp</t>
  </si>
  <si>
    <t>S1DFA-14</t>
  </si>
  <si>
    <t>UKF2014imp</t>
  </si>
  <si>
    <t>S1DFA-16</t>
  </si>
  <si>
    <t>UKf2016HLEimp</t>
  </si>
  <si>
    <t>S1DFA-L</t>
  </si>
  <si>
    <t>UKF2016imp</t>
  </si>
  <si>
    <t>S1DFA-L-06</t>
  </si>
  <si>
    <t>UKf2016LLEimp</t>
  </si>
  <si>
    <t>S1DFA-L-08</t>
  </si>
  <si>
    <t>UKM2004imp</t>
  </si>
  <si>
    <t>S1DFA-L-10</t>
  </si>
  <si>
    <t>UKM2006imp</t>
  </si>
  <si>
    <t>S1DFA-L-12</t>
  </si>
  <si>
    <t>UKM2006imp_HLE</t>
  </si>
  <si>
    <t>S1IFA</t>
  </si>
  <si>
    <t>UKM2006imp_LLE</t>
  </si>
  <si>
    <t>S1IFA-06</t>
  </si>
  <si>
    <t>UKM2008imp</t>
  </si>
  <si>
    <t>S1IFA-08</t>
  </si>
  <si>
    <t>UKM2010imp</t>
  </si>
  <si>
    <t>S1IFA-10</t>
  </si>
  <si>
    <t>UKM2012imp</t>
  </si>
  <si>
    <t>S1IFA-12</t>
  </si>
  <si>
    <t>UKM2014imp</t>
  </si>
  <si>
    <t>S1IFA-14</t>
  </si>
  <si>
    <t>UKm2016HLEimp</t>
  </si>
  <si>
    <t>S1IFA-16</t>
  </si>
  <si>
    <t>UKM2016imp</t>
  </si>
  <si>
    <t>S1IFA-STSS-16</t>
  </si>
  <si>
    <t>UKm2016LLEimp</t>
  </si>
  <si>
    <t>S1IFA-TPS-16</t>
  </si>
  <si>
    <t>None</t>
  </si>
  <si>
    <t>S1IMA</t>
  </si>
  <si>
    <t>S1IMA-06</t>
  </si>
  <si>
    <t>S1IMA-08</t>
  </si>
  <si>
    <t>S1IMA-10</t>
  </si>
  <si>
    <t>S1IMA-12</t>
  </si>
  <si>
    <t>S1IMA-14</t>
  </si>
  <si>
    <t>S1IMA-16</t>
  </si>
  <si>
    <t>S1IMA-STSS-16</t>
  </si>
  <si>
    <t>S1IMA-TPS-16</t>
  </si>
  <si>
    <t>S1NFA</t>
  </si>
  <si>
    <t>S1NFA-06</t>
  </si>
  <si>
    <t>S1NFA-08</t>
  </si>
  <si>
    <t>S1NFA-10</t>
  </si>
  <si>
    <t>S1NFA-12</t>
  </si>
  <si>
    <t>S1NFA-14</t>
  </si>
  <si>
    <t>S1NFA-16</t>
  </si>
  <si>
    <t>S1NFA-L</t>
  </si>
  <si>
    <t>S1NFA-L-06</t>
  </si>
  <si>
    <t>S1NFA-L-08</t>
  </si>
  <si>
    <t>S1NFA-L-10</t>
  </si>
  <si>
    <t>S1NFA-L-12</t>
  </si>
  <si>
    <t>S1NFA-L-14</t>
  </si>
  <si>
    <t>S1NFA-L-16</t>
  </si>
  <si>
    <t>S1NFA-L-STSS</t>
  </si>
  <si>
    <t>S1NFA-L-STSS-06</t>
  </si>
  <si>
    <t>S1NFA-L-STSS-08</t>
  </si>
  <si>
    <t>S1NFA-L-STSS-10</t>
  </si>
  <si>
    <t>S1NFA-L-STSS-12</t>
  </si>
  <si>
    <t>S1NFA-L-STSS-14</t>
  </si>
  <si>
    <t>S1NFA-L-STSS-16</t>
  </si>
  <si>
    <t>S1NFA-L-TPS</t>
  </si>
  <si>
    <t>S1NFA-L-TPS-06</t>
  </si>
  <si>
    <t>S1NFA-L-TPS-08</t>
  </si>
  <si>
    <t>S1NFA-L-TPS-10</t>
  </si>
  <si>
    <t>S1NFA-L-TPS-12</t>
  </si>
  <si>
    <t>S1NFA-L-TPS-14</t>
  </si>
  <si>
    <t>S1NFA-L-TPS-16</t>
  </si>
  <si>
    <t>S1NMA</t>
  </si>
  <si>
    <t>S1NMA-06</t>
  </si>
  <si>
    <t>S1NMA-08</t>
  </si>
  <si>
    <t>S1NMA-10</t>
  </si>
  <si>
    <t>S1NMA-12</t>
  </si>
  <si>
    <t>S1NMA-14</t>
  </si>
  <si>
    <t>S1NMA-16</t>
  </si>
  <si>
    <t>S1NMA-L</t>
  </si>
  <si>
    <t>S1NMA-L-06</t>
  </si>
  <si>
    <t>S1NMA-L-08</t>
  </si>
  <si>
    <t>S1NMA-L-10</t>
  </si>
  <si>
    <t>S1NMA-L-12</t>
  </si>
  <si>
    <t>S1NMA-L-14</t>
  </si>
  <si>
    <t>S1NMA-L-16</t>
  </si>
  <si>
    <t>S1PFA</t>
  </si>
  <si>
    <t>S1PFA-06</t>
  </si>
  <si>
    <t>S1PFA-08</t>
  </si>
  <si>
    <t>S1PFA-10</t>
  </si>
  <si>
    <t>S1PFA-12</t>
  </si>
  <si>
    <t>S1PFA-14</t>
  </si>
  <si>
    <t>S1PFA-16</t>
  </si>
  <si>
    <t>S1PMA</t>
  </si>
  <si>
    <t>S1PMA-06</t>
  </si>
  <si>
    <t>S1PMA-08</t>
  </si>
  <si>
    <t>S1PMA-10</t>
  </si>
  <si>
    <t>S1PMA-12</t>
  </si>
  <si>
    <t>S1PMA-14</t>
  </si>
  <si>
    <t>S1PMA-16</t>
  </si>
  <si>
    <t>S2DFA</t>
  </si>
  <si>
    <t>S2DFA-12</t>
  </si>
  <si>
    <t>S2DFA-14</t>
  </si>
  <si>
    <t>S2DFA-16</t>
  </si>
  <si>
    <t>S2DFL</t>
  </si>
  <si>
    <t>S2DFL-12</t>
  </si>
  <si>
    <t>S2DFL-16</t>
  </si>
  <si>
    <t>S2IFA</t>
  </si>
  <si>
    <t>S2IFA-12</t>
  </si>
  <si>
    <t>S2IFA-14</t>
  </si>
  <si>
    <t>S2IFA-16</t>
  </si>
  <si>
    <t>S2IMA</t>
  </si>
  <si>
    <t>S2IMA-12</t>
  </si>
  <si>
    <t>S2IMA-14</t>
  </si>
  <si>
    <t>S2IMA-16</t>
  </si>
  <si>
    <t>S2NFA</t>
  </si>
  <si>
    <t>S2NFA-12</t>
  </si>
  <si>
    <t>S2NFA-14</t>
  </si>
  <si>
    <t>S2NFA-16</t>
  </si>
  <si>
    <t>S2NFA-CMI</t>
  </si>
  <si>
    <t>S2NMA</t>
  </si>
  <si>
    <t>S2NMA_L-16</t>
  </si>
  <si>
    <t xml:space="preserve">S2NMA-12 </t>
  </si>
  <si>
    <t>S2NMA-14</t>
  </si>
  <si>
    <t>S2NMA-16</t>
  </si>
  <si>
    <t>S2NMA-CMI</t>
  </si>
  <si>
    <t>S2PFA</t>
  </si>
  <si>
    <t>S2PFA-12</t>
  </si>
  <si>
    <t>S2PFA-14</t>
  </si>
  <si>
    <t>S2PFA-16</t>
  </si>
  <si>
    <t>S2PFL</t>
  </si>
  <si>
    <t>S2PFL-12</t>
  </si>
  <si>
    <t>S2PFL-16</t>
  </si>
  <si>
    <t>S2PMA</t>
  </si>
  <si>
    <t>S2PMA-12</t>
  </si>
  <si>
    <t>S2PMA-14</t>
  </si>
  <si>
    <t>S2PMA-16</t>
  </si>
  <si>
    <t>S2PML</t>
  </si>
  <si>
    <t>S2PML-12</t>
  </si>
  <si>
    <t>S2PML-16</t>
  </si>
  <si>
    <t>S3DFA</t>
  </si>
  <si>
    <t>S3DFA_L</t>
  </si>
  <si>
    <t>S3DFA_VL</t>
  </si>
  <si>
    <t>S3DFL</t>
  </si>
  <si>
    <t>S3DMA</t>
  </si>
  <si>
    <t>S3DML</t>
  </si>
  <si>
    <t>S3IFA</t>
  </si>
  <si>
    <t>S3IMA</t>
  </si>
  <si>
    <t>S3NFA</t>
  </si>
  <si>
    <t>S3NFA_H</t>
  </si>
  <si>
    <t>S3NFA_L</t>
  </si>
  <si>
    <t>S3NFA_M</t>
  </si>
  <si>
    <t>S3NFA_VL</t>
  </si>
  <si>
    <t>S3NMA</t>
  </si>
  <si>
    <t>S3NMA_H</t>
  </si>
  <si>
    <t>S3NMA_L</t>
  </si>
  <si>
    <t>S3NMA_M</t>
  </si>
  <si>
    <t>S3NMA_VL</t>
  </si>
  <si>
    <t>S3PFA</t>
  </si>
  <si>
    <t>S3PFA_H</t>
  </si>
  <si>
    <t>S3PFA_L</t>
  </si>
  <si>
    <t>S3PFA_M</t>
  </si>
  <si>
    <t>S3PFA_VL</t>
  </si>
  <si>
    <t>S3PFL</t>
  </si>
  <si>
    <t>S3PMA</t>
  </si>
  <si>
    <t>S3PMA_H</t>
  </si>
  <si>
    <t>S3PMA_L</t>
  </si>
  <si>
    <t>S3PMA_M</t>
  </si>
  <si>
    <t>S3PMA_VL</t>
  </si>
  <si>
    <t>S3PML</t>
  </si>
  <si>
    <t>SMPI-2018</t>
  </si>
  <si>
    <t>UKF</t>
  </si>
  <si>
    <t>UKF2004</t>
  </si>
  <si>
    <t>UKF2006</t>
  </si>
  <si>
    <t>UKF2008</t>
  </si>
  <si>
    <t>UKF2010</t>
  </si>
  <si>
    <t>UKF2012</t>
  </si>
  <si>
    <t>UKM</t>
  </si>
  <si>
    <t>UKM2004</t>
  </si>
  <si>
    <t>UKM2006</t>
  </si>
  <si>
    <t>UKM2008</t>
  </si>
  <si>
    <t>UKM2010</t>
  </si>
  <si>
    <t>UKM2012</t>
  </si>
  <si>
    <t>Government Actuary's Department</t>
  </si>
  <si>
    <t>Fire Northern Ireland - Consolidated Factor Spreadsheet</t>
  </si>
  <si>
    <t>Cover</t>
  </si>
  <si>
    <t>Specification</t>
  </si>
  <si>
    <t>This spreadsheet contains updated factors for the Firefighters' Pension Schemes in Northern Ireland.</t>
  </si>
  <si>
    <t>Sheet</t>
  </si>
  <si>
    <t>Description</t>
  </si>
  <si>
    <t>Purpose of spreadsheet</t>
  </si>
  <si>
    <t>This sheet sets out the purpose of the spreadsheet and includes caveats on the use of the spreadsheet.</t>
  </si>
  <si>
    <t xml:space="preserve">Version Control </t>
  </si>
  <si>
    <t>This sheet is used to show which factor tables have been updated since the last issued version of the consolidated factor spreadsheet.</t>
  </si>
  <si>
    <t>Factor List</t>
  </si>
  <si>
    <t xml:space="preserve">This sheet lists the suite of factors set out in this spreadsheet. </t>
  </si>
  <si>
    <t>Assumptions</t>
  </si>
  <si>
    <t>This sheet lists the suite of key assumptions underlying the factors set out in this speadsheet.</t>
  </si>
  <si>
    <t>x-101 and onwards</t>
  </si>
  <si>
    <t>The 100 series factors contain the club transfer factors. Each different type of club transfer factor is set out on a separate sheet starting with sheet x-101, where x relates to the scheme section (if applicable). Male and female factors for the same type of factor are shown on the same sheet.</t>
  </si>
  <si>
    <t>x-201 and onwards</t>
  </si>
  <si>
    <t xml:space="preserve">The 200 series factors contain the non club (CETV) transfer factors. Each different type of non club transfer factor is set out on a separate sheet starting with sheet x-201. </t>
  </si>
  <si>
    <t>x-301 and onwards</t>
  </si>
  <si>
    <t xml:space="preserve">The 300 series factors contain the pension sharing on divorce factors. Each different type of pension sharing on divorce factor is set out on a separate sheet starting with sheet x-301. </t>
  </si>
  <si>
    <t>x-401 and onwards</t>
  </si>
  <si>
    <t>The 400 series factors contain the early of late retirement factors. Each different type of early or late retirement factor is set out on a separate sheet starting with sheet x-401, where x relates to the scheme section (if applicable). Male and female factors for the same type of factor are shown on the same sheet.</t>
  </si>
  <si>
    <t>x-501 and onwards</t>
  </si>
  <si>
    <t>The 500 series factors contain the commutation factors. Each different type of commutation factor is set out on a separate sheet starting with sheet x-501, where x relates to the scheme section (if applicable). Male and female factors for the same type of factor are shown on the same sheet.</t>
  </si>
  <si>
    <t>x-601 and onwards</t>
  </si>
  <si>
    <t>The 600 series factors contain the scheme pays factors. Each different type of scheme pays factor is set out on a separate sheet starting with sheet x-601, where x relates to the scheme section (if applicable). Male and female factors for the same type of factor are shown on the same sheet.</t>
  </si>
  <si>
    <t>x-701 and onwards</t>
  </si>
  <si>
    <t>The 700 series factors contain the additional benefit or additional contribution factors. Each different type of additional benefit or additional contribution factor is set out on a separate sheet starting with sheet x-701, where x relates to the scheme section (if applicable). Male and female factors for the same type of factor are shown on the same sheet.</t>
  </si>
  <si>
    <t>x-801 and onwards</t>
  </si>
  <si>
    <t>The 800 series factors contain the other scheme specific factors. Each different type of other scheme specific factor is set out on a separate sheet starting with sheet x-801, where x relates to the scheme section (if applicable). Male and female factors for the same type of factor are shown on the same sheet.</t>
  </si>
  <si>
    <t>Purpose of Spreadsheet</t>
  </si>
  <si>
    <t>Purpose of the Fire Northern Ireland Consolidated Factor Spreadsheet</t>
  </si>
  <si>
    <t xml:space="preserve">This spreadsheet is provided by GAD at the request of the Department of Health (NI) ("the Department").  Its purpose is to set out in one place for convenience the actuarial factors provided by GAD to the Department from time to time in respect of Firefighters' Pension Schemes (Northern Ireland) and related schemes, and the dates on which these factors have been sent to the client and implemented by the client. Also, the key assumptions underlying the factors are set out in this spreadsheet. It should not be used or relied on for any other purpose and GAD has no liability for any act or omission taken on the basis of this spreadsheet.  In particular, it does not constitute an instruction or manual for plan administration purposes, and it does not cover the implementation or backdating of factors other than to specify the factor implementation date (if provided by the Department).   
GAD has no liability for any changes made to this spreadsheet whilst being used by the Department or any other third party.
This spreadsheet should not be made available online without the express permission of GAD. 
This spreadsheet is password protected. 
</t>
  </si>
  <si>
    <t>Version Control</t>
  </si>
  <si>
    <t>Version control</t>
  </si>
  <si>
    <t xml:space="preserve">This sheet is intended to assist the Department of Health (NI) in understanding which factors have changed and when. </t>
  </si>
  <si>
    <t>Version control on this sheet commences with the 2017/18 factor review (version 2018-1)</t>
  </si>
  <si>
    <t xml:space="preserve">Version 2018 - 1 </t>
  </si>
  <si>
    <t>Provides the following new factor tables:</t>
  </si>
  <si>
    <t>Provides the following revised factors:</t>
  </si>
  <si>
    <t>Confirms that the following factor table is no longer required by DoH (NI):</t>
  </si>
  <si>
    <t>Factors still to follow:</t>
  </si>
  <si>
    <t>Methodology changes:</t>
  </si>
  <si>
    <t>Date modified:</t>
  </si>
  <si>
    <t>Version 2023-01</t>
  </si>
  <si>
    <t>Provides the following updated factor tables:</t>
  </si>
  <si>
    <t>x-201 to x-215 and x-301 to x-328</t>
  </si>
  <si>
    <t>Date Modified:</t>
  </si>
  <si>
    <t>Version 2023-02</t>
  </si>
  <si>
    <t>x-220 to x-221, x-401, x-404 to x-407</t>
  </si>
  <si>
    <t>Withdrawn factor tables:</t>
  </si>
  <si>
    <t>x-218 to x-219 removed (final salary transfer in factors)</t>
  </si>
  <si>
    <t>Version 2023-03</t>
  </si>
  <si>
    <t xml:space="preserve">x-501 to x-504
x-603 to x-627
</t>
  </si>
  <si>
    <t>Version 2023-04</t>
  </si>
  <si>
    <t>x-701 to x-702</t>
  </si>
  <si>
    <t>x-703 to x-704 (Purchase of Increased Benefits - 2006 scheme), x-801 (CPD factors)</t>
  </si>
  <si>
    <t>Version 2025-01</t>
  </si>
  <si>
    <t>x-506, x-801</t>
  </si>
  <si>
    <t>x-622, x-623, x-624, x-625, x-626, x-627</t>
  </si>
  <si>
    <t>Other changes:</t>
  </si>
  <si>
    <t>The key assumptions underlying the factors have been added on a separate tab called "Assumptions".</t>
  </si>
  <si>
    <t xml:space="preserve">Summary of Factors </t>
  </si>
  <si>
    <t>x=0</t>
  </si>
  <si>
    <t>x=1</t>
  </si>
  <si>
    <t>x=2</t>
  </si>
  <si>
    <t>Fire_E</t>
  </si>
  <si>
    <t>100 Series - Club Transfer</t>
  </si>
  <si>
    <t>x-</t>
  </si>
  <si>
    <t>200 Series - Non Club Transfers</t>
  </si>
  <si>
    <t>300 Series - Pension Sharing on divorce</t>
  </si>
  <si>
    <t>400 Series - Early or Late Retirement</t>
  </si>
  <si>
    <t>500 Series - Commutation</t>
  </si>
  <si>
    <t>600 Series - Scheme Pays</t>
  </si>
  <si>
    <t>700 Series - Additional Benefits or Additional Contributions</t>
  </si>
  <si>
    <t>800 Series - Other Scheme Specific</t>
  </si>
  <si>
    <t>Table Location</t>
  </si>
  <si>
    <t>Client</t>
  </si>
  <si>
    <t>Section</t>
  </si>
  <si>
    <t>Factor Type</t>
  </si>
  <si>
    <t>Gender</t>
  </si>
  <si>
    <t>Factor Age/Period Definition</t>
  </si>
  <si>
    <t>Section Number (x)</t>
  </si>
  <si>
    <t>Series Number</t>
  </si>
  <si>
    <t>Table Reference (Section-Series Number)</t>
  </si>
  <si>
    <t>Table Reference in Guidance</t>
  </si>
  <si>
    <t>Related Factor Table Reference (where the factor uses the same table as another factor in this spreadsheet)</t>
  </si>
  <si>
    <t>Date Factors Issued to Client</t>
  </si>
  <si>
    <t>Date Factors Implemented (if known)</t>
  </si>
  <si>
    <t>Factor Status</t>
  </si>
  <si>
    <t>Assumption Set</t>
  </si>
  <si>
    <t>Fire_NI</t>
  </si>
  <si>
    <t>FPS 2007</t>
  </si>
  <si>
    <t>CETV</t>
  </si>
  <si>
    <t>CETV factors for deferred benefits payable from 60</t>
  </si>
  <si>
    <t>Male</t>
  </si>
  <si>
    <t>Age last birthday at relevant date</t>
  </si>
  <si>
    <t>x-201</t>
  </si>
  <si>
    <t>Table A1</t>
  </si>
  <si>
    <t>Issued</t>
  </si>
  <si>
    <t>2023 factor review set</t>
  </si>
  <si>
    <t>Female</t>
  </si>
  <si>
    <t>x-202</t>
  </si>
  <si>
    <t>Table A2</t>
  </si>
  <si>
    <t>NFPS 2007</t>
  </si>
  <si>
    <t>CETV factors for deferred benefits payable from 65</t>
  </si>
  <si>
    <t>x-203</t>
  </si>
  <si>
    <t>x-204</t>
  </si>
  <si>
    <t>CETV factors for deferred benefits payable from 65 (Females age 60 and above)</t>
  </si>
  <si>
    <t>x-205</t>
  </si>
  <si>
    <t>Table A3</t>
  </si>
  <si>
    <t>x-206</t>
  </si>
  <si>
    <t>Table B1</t>
  </si>
  <si>
    <t>x-207</t>
  </si>
  <si>
    <t>Table B2</t>
  </si>
  <si>
    <t>x-208</t>
  </si>
  <si>
    <t>Table 3</t>
  </si>
  <si>
    <t>x-209</t>
  </si>
  <si>
    <t>Table 4</t>
  </si>
  <si>
    <t>CETV factors for deferred benefits payable from 66</t>
  </si>
  <si>
    <t>x-210</t>
  </si>
  <si>
    <t>Table 5</t>
  </si>
  <si>
    <t>x-211</t>
  </si>
  <si>
    <t>Table 6</t>
  </si>
  <si>
    <t>CETV factors for deferred benefits payable from 67</t>
  </si>
  <si>
    <t>x-212</t>
  </si>
  <si>
    <t>Table 7</t>
  </si>
  <si>
    <t>x-213</t>
  </si>
  <si>
    <t>Table 8</t>
  </si>
  <si>
    <t>CETV factors for deferred benefits payable from 68</t>
  </si>
  <si>
    <t>x-214</t>
  </si>
  <si>
    <t>Table 9</t>
  </si>
  <si>
    <t>x-215</t>
  </si>
  <si>
    <t>Table 10</t>
  </si>
  <si>
    <t>TV In (non-club)</t>
  </si>
  <si>
    <t>Factors for non-club transfers - in based on NPA55</t>
  </si>
  <si>
    <t>x-220</t>
  </si>
  <si>
    <t>Table NM55</t>
  </si>
  <si>
    <t>x-221</t>
  </si>
  <si>
    <t>Table NF55</t>
  </si>
  <si>
    <t>Pensioner Cash Equivalent</t>
  </si>
  <si>
    <t>Pensioner cash equivalent factors for divorce purposes - retirement not on grounds of ill health</t>
  </si>
  <si>
    <t>x-301</t>
  </si>
  <si>
    <t>Table F1</t>
  </si>
  <si>
    <t>x-302</t>
  </si>
  <si>
    <t>Table F2</t>
  </si>
  <si>
    <t>Pensioner cash equivalent factors for divorce purposes - retirement on grounds of ill health</t>
  </si>
  <si>
    <t>x-303</t>
  </si>
  <si>
    <t>Table G1</t>
  </si>
  <si>
    <t>x-304</t>
  </si>
  <si>
    <t>Table G2</t>
  </si>
  <si>
    <t>x-305</t>
  </si>
  <si>
    <t>x-306</t>
  </si>
  <si>
    <t>x-307</t>
  </si>
  <si>
    <t>x-308</t>
  </si>
  <si>
    <t>x-309</t>
  </si>
  <si>
    <t>x-310</t>
  </si>
  <si>
    <t>x-311</t>
  </si>
  <si>
    <t>x-312</t>
  </si>
  <si>
    <t>Pension Credit</t>
  </si>
  <si>
    <t>Factors for calculating the pension credit</t>
  </si>
  <si>
    <t>Male and Female</t>
  </si>
  <si>
    <t>x-313</t>
  </si>
  <si>
    <t>Table J</t>
  </si>
  <si>
    <t>x-314</t>
  </si>
  <si>
    <t>Factors for calculating the pension credit (special members)</t>
  </si>
  <si>
    <t>x-315</t>
  </si>
  <si>
    <t>Table J1</t>
  </si>
  <si>
    <t>Factors for calculating pension credit - Females</t>
  </si>
  <si>
    <t>x-316</t>
  </si>
  <si>
    <t>Table C1</t>
  </si>
  <si>
    <t>Factors for calculating pension credit - Males</t>
  </si>
  <si>
    <t>x-317</t>
  </si>
  <si>
    <t>Table C2</t>
  </si>
  <si>
    <t>Pension Debit</t>
  </si>
  <si>
    <t>Reduction to pension debit on retirement before age 60 - Adjustment to pension</t>
  </si>
  <si>
    <t>Unisex</t>
  </si>
  <si>
    <t>Age of the member when benefits come into payment</t>
  </si>
  <si>
    <t>x-318</t>
  </si>
  <si>
    <t>Table L1</t>
  </si>
  <si>
    <t>Increase to pension debit on retirement after age 60 - Adjustment to pension</t>
  </si>
  <si>
    <t>x-319</t>
  </si>
  <si>
    <t>Table L2</t>
  </si>
  <si>
    <t>Reduction to pension debit on ill health retirement - Adjustment to pension</t>
  </si>
  <si>
    <t>x-320</t>
  </si>
  <si>
    <t>Table M1</t>
  </si>
  <si>
    <t>Reduction to pension debit on retirement before age 65</t>
  </si>
  <si>
    <t>Age of the member in years and complete months when benefits come into payment</t>
  </si>
  <si>
    <t>x-321</t>
  </si>
  <si>
    <t>Reduction to pension debit on retirement before age 60 (special members)</t>
  </si>
  <si>
    <t>x-322</t>
  </si>
  <si>
    <t>Table L1S</t>
  </si>
  <si>
    <t>Increase to pension debit on retirement after age 65</t>
  </si>
  <si>
    <t>x-323</t>
  </si>
  <si>
    <t>Increase to pension debit on retirement after age 60 (special members)</t>
  </si>
  <si>
    <t>x-324</t>
  </si>
  <si>
    <t>Table L2S</t>
  </si>
  <si>
    <t>Reduction to pension debit on ill health retirement</t>
  </si>
  <si>
    <t>x-325</t>
  </si>
  <si>
    <t>Reduction to pension debit on ill health retirement (special members)</t>
  </si>
  <si>
    <t>x-326</t>
  </si>
  <si>
    <t>Table M1S</t>
  </si>
  <si>
    <t>Early payment reduction - males and females (normal health)</t>
  </si>
  <si>
    <t xml:space="preserve">Years until DPA at date of retirement </t>
  </si>
  <si>
    <t>x-327</t>
  </si>
  <si>
    <t>Table D</t>
  </si>
  <si>
    <t>Early payment reduction - males and females (ill-health)</t>
  </si>
  <si>
    <t>x-328</t>
  </si>
  <si>
    <t>Table E</t>
  </si>
  <si>
    <t>ERF</t>
  </si>
  <si>
    <t>Early retirement factors for members retiring without entitlement to immediate benefits but with deferred benefits payable from 65</t>
  </si>
  <si>
    <t>x-401</t>
  </si>
  <si>
    <t>Table on page 4</t>
  </si>
  <si>
    <t xml:space="preserve">2015 scheme - deferred member accounts </t>
  </si>
  <si>
    <t>Years/Months</t>
  </si>
  <si>
    <t>X-403</t>
  </si>
  <si>
    <t>Table in paragraph 2.6</t>
  </si>
  <si>
    <t>LRF</t>
  </si>
  <si>
    <t>Age addition percentage factors for members retiring from active service – 2015 scheme (active member account)</t>
  </si>
  <si>
    <t>Age at start of Scheme Year (years/months)</t>
  </si>
  <si>
    <t>x-404</t>
  </si>
  <si>
    <t>A</t>
  </si>
  <si>
    <t>Age addition percentage factors for members retiring from active service –2015 scheme (added pension account)</t>
  </si>
  <si>
    <t>Age at start of scheme year (years/months)</t>
  </si>
  <si>
    <t>x-405</t>
  </si>
  <si>
    <t>B</t>
  </si>
  <si>
    <t>Assumed age addition percentage factors for members retiring from active service – 2015 scheme (active member account)</t>
  </si>
  <si>
    <t>Age (in complete years at the start of the Scheme Year or normal pension age if later)
Term in months between normal pension age (or start of Scheme Year if later) and date of leaving or retirement</t>
  </si>
  <si>
    <t>x-406</t>
  </si>
  <si>
    <t>C</t>
  </si>
  <si>
    <t>Assumed age addition percentage factors for members retiring from active service – 2015 scheme (added pension account)</t>
  </si>
  <si>
    <t>x-407</t>
  </si>
  <si>
    <t>D</t>
  </si>
  <si>
    <t>FPS 2007 / NFPS 2007</t>
  </si>
  <si>
    <t>Triv Comm</t>
  </si>
  <si>
    <t xml:space="preserve">Factors for commutation of small pension </t>
  </si>
  <si>
    <t>Age in completed years</t>
  </si>
  <si>
    <t>x-501</t>
  </si>
  <si>
    <t>Table 1</t>
  </si>
  <si>
    <t>Factors for commutation of small pension and for capitalisation of survivor pension for determination of death gratuity</t>
  </si>
  <si>
    <t>x-502</t>
  </si>
  <si>
    <t>Table 2</t>
  </si>
  <si>
    <t xml:space="preserve">Trivial commutation factors for former firefighters </t>
  </si>
  <si>
    <t>x-503</t>
  </si>
  <si>
    <t>Trivial commutation for surviving spouse or partner</t>
  </si>
  <si>
    <t>x-504</t>
  </si>
  <si>
    <t>Commutation</t>
  </si>
  <si>
    <t>Factors for commutation of pension to lump sum</t>
  </si>
  <si>
    <t>Age in years and completed months on day pension commences</t>
  </si>
  <si>
    <t>x-505</t>
  </si>
  <si>
    <t>2007, NEW2007</t>
  </si>
  <si>
    <t>Rule of thumb capitalisation factors for adult survivor pensions where there is a GMP entitlement and the deceased member reached State Pension age before 6 April 2016</t>
  </si>
  <si>
    <t>N/A</t>
  </si>
  <si>
    <t>x-506</t>
  </si>
  <si>
    <t>Scheme pays AA</t>
  </si>
  <si>
    <t xml:space="preserve">Factors for calculating annual allowance pension debit for members below age 60 </t>
  </si>
  <si>
    <t>Male &amp; Female</t>
  </si>
  <si>
    <t>Age last birthday at implemention date</t>
  </si>
  <si>
    <t>x-603</t>
  </si>
  <si>
    <t xml:space="preserve">Factors for calculating annual allowance pension debit for members aged 60 or above </t>
  </si>
  <si>
    <t>x-604</t>
  </si>
  <si>
    <t>Factor for calculating annual allowance debit for members below age 65</t>
  </si>
  <si>
    <t>x-605</t>
  </si>
  <si>
    <t>Factors for calculating annual allowance debit for members aged 65 or above</t>
  </si>
  <si>
    <t>x-606</t>
  </si>
  <si>
    <t xml:space="preserve">Scheme pays factors </t>
  </si>
  <si>
    <t>x-607</t>
  </si>
  <si>
    <t>x-608</t>
  </si>
  <si>
    <t>Age pensioner pension offset factors</t>
  </si>
  <si>
    <t>x-609</t>
  </si>
  <si>
    <t>Ill-health pensioner pension offset factors</t>
  </si>
  <si>
    <t>x-610</t>
  </si>
  <si>
    <t>Table D1</t>
  </si>
  <si>
    <t>Retirement timing factor - annual allowance pension debit on normal retirement before age 60</t>
  </si>
  <si>
    <t>x-611</t>
  </si>
  <si>
    <t>Retirement timing factor - annual allowance pension debit on normal retirement after age 60</t>
  </si>
  <si>
    <t>x-612</t>
  </si>
  <si>
    <t>Retirement timing factor - annual allowance pension debit on ill health retirement before age 60</t>
  </si>
  <si>
    <t>x-613</t>
  </si>
  <si>
    <t>Table C</t>
  </si>
  <si>
    <t>Retirement timing factor - annual allowance pension debit on normal retirement before age 65 - Retirement not on grounds for ill health</t>
  </si>
  <si>
    <t xml:space="preserve">Age of the member when benefits come into payment </t>
  </si>
  <si>
    <t>x-614</t>
  </si>
  <si>
    <t>Retirement timing factor - AA pension debit on retirement after age 65 - Retirement not on grounds for ill health</t>
  </si>
  <si>
    <t>x-615</t>
  </si>
  <si>
    <t>Retirement timing factor - AA pension debit on retirement before 60 (special members) - Retirement not on grounds for ill health</t>
  </si>
  <si>
    <t>x-616</t>
  </si>
  <si>
    <t>Table B1S</t>
  </si>
  <si>
    <t>Retirement timing factor - AA pension debit on retirement after age 60 (special members) - Retirement not on grounds for ill health</t>
  </si>
  <si>
    <t>x-617</t>
  </si>
  <si>
    <t>Table B2S</t>
  </si>
  <si>
    <t>Retirement timing factor - AA pension debit on ill health retirement before 65 - adjustment to pension</t>
  </si>
  <si>
    <t>x-618</t>
  </si>
  <si>
    <t>Retirement timing factor - AA pension debit on ill health retirement before 60 (special members) - adjustment to pension</t>
  </si>
  <si>
    <t>x-619</t>
  </si>
  <si>
    <t>Table CS</t>
  </si>
  <si>
    <t>Retirement timing factor - ill health retirement before deferred pension age - early payment reduction</t>
  </si>
  <si>
    <t>x-620</t>
  </si>
  <si>
    <t>Retirement timing factor - normal health retirement before deferred pension age - early payment reduction</t>
  </si>
  <si>
    <t>x-621</t>
  </si>
  <si>
    <t>Scheme pays LTA</t>
  </si>
  <si>
    <t>Factors for calculating Lifetime Allowance debit</t>
  </si>
  <si>
    <t>Age last birthday at retirement</t>
  </si>
  <si>
    <t>x-622</t>
  </si>
  <si>
    <t>Withdrawn</t>
  </si>
  <si>
    <t>Factors for calculating Lifetime Allowance debit (retirement in ill health)</t>
  </si>
  <si>
    <t>x-623</t>
  </si>
  <si>
    <t>Factors for calculating LTA debit</t>
  </si>
  <si>
    <t>x-624</t>
  </si>
  <si>
    <t>Factors for calculating LTA debit (retirement in ill health)</t>
  </si>
  <si>
    <t>x-625</t>
  </si>
  <si>
    <t>x-626</t>
  </si>
  <si>
    <t>Table A</t>
  </si>
  <si>
    <t>Factors for calculating LTA debit (ill health retirement)</t>
  </si>
  <si>
    <t>x-627</t>
  </si>
  <si>
    <t>Table B</t>
  </si>
  <si>
    <t>Added pension</t>
  </si>
  <si>
    <t>Added Pension Lum Sum and Periodic Contribution factors</t>
  </si>
  <si>
    <t>Age Last Birthday</t>
  </si>
  <si>
    <t>701A</t>
  </si>
  <si>
    <t>x-701A</t>
  </si>
  <si>
    <t>701B</t>
  </si>
  <si>
    <t>x-701B</t>
  </si>
  <si>
    <t>Added pension revaluation factors</t>
  </si>
  <si>
    <t>Number of Complete Scheme Years before NRA</t>
  </si>
  <si>
    <t>x-702</t>
  </si>
  <si>
    <t>Conversion Factors</t>
  </si>
  <si>
    <t>Conversion Factors for Transferred-in Service Credits</t>
  </si>
  <si>
    <t>x-802A</t>
  </si>
  <si>
    <t>Under Review</t>
  </si>
  <si>
    <t>Conversion Factors for Added Years</t>
  </si>
  <si>
    <t>x-802B</t>
  </si>
  <si>
    <t>Conversion Factors for Additional Pension Benefits</t>
  </si>
  <si>
    <t>x-802C</t>
  </si>
  <si>
    <t>Data Item</t>
  </si>
  <si>
    <t>Factor Table Information</t>
  </si>
  <si>
    <t>Enter the client name eg NHSPS_EW</t>
  </si>
  <si>
    <t>Enter the section name eg NHSPS 2015</t>
  </si>
  <si>
    <t>Enter the factor type (which should be consistent with the series header types found on the summary sheet (eg early or late retirement)</t>
  </si>
  <si>
    <t>Enter a description of the factor (eg use description from factor table in guidance)</t>
  </si>
  <si>
    <t>Enter either "unisex" or "m and f"</t>
  </si>
  <si>
    <t>Enter in age definition</t>
  </si>
  <si>
    <t>Section Number</t>
  </si>
  <si>
    <t>Enter section number (this relates to the number used to identify the scheme section - see top of summary tab for section number)</t>
  </si>
  <si>
    <t>Enter series number (this reflects the number in the relevant series eg if it’s the first ER/LR factor then it would be "401")</t>
  </si>
  <si>
    <t>Table Reference</t>
  </si>
  <si>
    <t>Enter table number (this is the section number plus the series number so we can identify the section and factor type eg if the section number for NHSPS 2015 was 0 and the factor was the first in the ER/LR factor series then this would be "0-401" entered here.</t>
  </si>
  <si>
    <t>Enter the table reference from the guidance notes</t>
  </si>
  <si>
    <t>If the factor table on this sheet is the same as another factor in the spreadsheet. Then enter that table reference here eg 0-.201. If this factor table is unique then put "n/a".</t>
  </si>
  <si>
    <t>Enter the date the factors are issued to the client</t>
  </si>
  <si>
    <t xml:space="preserve">Enter the date the factors are implemented </t>
  </si>
  <si>
    <t>Enter whether table is inforce, withdrawn, refer to gad etc</t>
  </si>
  <si>
    <t>Copy the relevant factor table and foot notes here. Unisex or male factor table in this grey box.</t>
  </si>
  <si>
    <t>Assumptions underlying factors (Note 1 &amp; 2)</t>
  </si>
  <si>
    <t>Financial assumptions</t>
  </si>
  <si>
    <t>Nominal discount rate p.a.</t>
  </si>
  <si>
    <t>Consumer Price Indexation (CPI) p.a.</t>
  </si>
  <si>
    <t>Retail Price Indexation (RPI) - pre 2030 p.a.</t>
  </si>
  <si>
    <t>Retail Price Indexation (RPI) - post 2030 p.a.</t>
  </si>
  <si>
    <t>Post 88 GMP increases p.a.</t>
  </si>
  <si>
    <t>Long term general earnings growth p.a.</t>
  </si>
  <si>
    <t>CARE scheme in service revaluation p.a.</t>
  </si>
  <si>
    <t>Discount rate net of CPI p.a.</t>
  </si>
  <si>
    <t>Discount rate net of post 88 GMP increases p.a.</t>
  </si>
  <si>
    <t>Allowance for short term salary increases</t>
  </si>
  <si>
    <t>Nil</t>
  </si>
  <si>
    <t>Pension increases in payment</t>
  </si>
  <si>
    <t>In line with the Pensions (Increase) Act 1971, currently CPI.</t>
  </si>
  <si>
    <t>Mortality after retirement assumptions</t>
  </si>
  <si>
    <t>Normal health pensioner - male</t>
  </si>
  <si>
    <t>109% of S3NMA_M</t>
  </si>
  <si>
    <t>Normal health pensioner - female</t>
  </si>
  <si>
    <t>109% of S3NFA_M</t>
  </si>
  <si>
    <t>Ill health pensioner - male</t>
  </si>
  <si>
    <t>Ill health pensioner - female</t>
  </si>
  <si>
    <t>Dependant - male</t>
  </si>
  <si>
    <t>Dependant - female</t>
  </si>
  <si>
    <t xml:space="preserve">99% of S3DFA </t>
  </si>
  <si>
    <t>Future mortality improvement tables</t>
  </si>
  <si>
    <t>ONS 2020 principal UK population projections.</t>
  </si>
  <si>
    <t>Year of use</t>
  </si>
  <si>
    <t>Age adjustments</t>
  </si>
  <si>
    <t>Other demographic assumptions</t>
  </si>
  <si>
    <t>Proportion of male members for unisex factors</t>
  </si>
  <si>
    <t>Proportion of male dependants for unisex factors</t>
  </si>
  <si>
    <t>Age difference between member and spouse/dependant/partner, where member is male</t>
  </si>
  <si>
    <t>3 years older than partner.</t>
  </si>
  <si>
    <t>Age difference between member and spouse/dependant/partner, where member is female</t>
  </si>
  <si>
    <t>3 years younger than partner.</t>
  </si>
  <si>
    <t>Proportion married or partnered</t>
  </si>
  <si>
    <t>Generally in line with proposed 2020 valuation assumptions (Note 3): 75% of member’s assumed married at retirement (80% assumed partnered).
100% for options where the member can purchase additional dependant benefits.</t>
  </si>
  <si>
    <t>Allowance for commutation</t>
  </si>
  <si>
    <t>Expense loading</t>
  </si>
  <si>
    <t>Allowance for short-term dependants pension</t>
  </si>
  <si>
    <t>Normal pension age in the 2015 scheme</t>
  </si>
  <si>
    <t>In line with DOF valuation directions.</t>
  </si>
  <si>
    <t>Rates of ill health retirement</t>
  </si>
  <si>
    <t>In line with proposed 2020 valuation assumptions (Note 3).</t>
  </si>
  <si>
    <t>Ill health benefit enhancements</t>
  </si>
  <si>
    <t>Mortality before retirement</t>
  </si>
  <si>
    <t>Rates of leaving service</t>
  </si>
  <si>
    <t>Retirement ages</t>
  </si>
  <si>
    <t>All retirements from active service assumed to take place at normal pension age.
All retirements from deferred assumed to take place at deferred pension age.</t>
  </si>
  <si>
    <t>Salary scales</t>
  </si>
  <si>
    <t>Not applicable.</t>
  </si>
  <si>
    <t>Guarantee periods</t>
  </si>
  <si>
    <t>For active and deferred members, full guarantee periods.
For existing normal health pensioners, full guarantee periods for members under normal pension age and reducing guarantee periods by a year for each year over normal pension age (to a minimum of zero).
For existing ill-health pensioners, no guarantee periods.</t>
  </si>
  <si>
    <t>Notes to the assumptions</t>
  </si>
  <si>
    <t>1. Advice underlying these assumptions</t>
  </si>
  <si>
    <t>Assumptions bulletin to the Department of Health (NI) dated 31 March 2024.</t>
  </si>
  <si>
    <t xml:space="preserve">2. Assumption summary </t>
  </si>
  <si>
    <t>The above assumptions were provided in the note dated 27 September 2023.</t>
  </si>
  <si>
    <t>3. 2020 valuation assumptions</t>
  </si>
  <si>
    <t>The 2020 valuation assumption report dated 13 February 2024.</t>
  </si>
  <si>
    <t>Related Factor Guidance</t>
  </si>
  <si>
    <t>Age</t>
  </si>
  <si>
    <t>Gross pension of £1 per annum</t>
  </si>
  <si>
    <t xml:space="preserve">Surviving partner's pension of £1 per annum </t>
  </si>
  <si>
    <t>Deduction for NI modification of £1 per annum</t>
  </si>
  <si>
    <t>Deduction for NI modification of £1 pa</t>
  </si>
  <si>
    <t>Surviving partner's Pension of £1 pa</t>
  </si>
  <si>
    <t>Surviving partner's Pension of £1</t>
  </si>
  <si>
    <t>Gross Pension of £1 per annum</t>
  </si>
  <si>
    <t>Surviving Partner's Pension of £1 pa</t>
  </si>
  <si>
    <t>Gross pension of £1 pa</t>
  </si>
  <si>
    <t>Member's pension of £1 per annum</t>
  </si>
  <si>
    <t>Accrued P.I. below age 55</t>
  </si>
  <si>
    <t>Surviving partner's pension of £1 per annum</t>
  </si>
  <si>
    <t>Deduction for GMP of £1 per annum</t>
  </si>
  <si>
    <t>Member's Pension of £1 per annum</t>
  </si>
  <si>
    <t>Survivor's Pension of £1 per annum</t>
  </si>
  <si>
    <t>Saving factor for GMP of £1 per annum</t>
  </si>
  <si>
    <t>Surviving Partner's pension of £1 per annum</t>
  </si>
  <si>
    <t>Pension of £1 per annum - Males</t>
  </si>
  <si>
    <t>Pension of £1 per annum - Females</t>
  </si>
  <si>
    <t>DPA 65</t>
  </si>
  <si>
    <t>DPA 66</t>
  </si>
  <si>
    <t>DPA 67</t>
  </si>
  <si>
    <t>DPA 68</t>
  </si>
  <si>
    <t>Months/Age</t>
  </si>
  <si>
    <t>Years Early</t>
  </si>
  <si>
    <t>Early payment reduction</t>
  </si>
  <si>
    <t>Age/Months</t>
  </si>
  <si>
    <t>Years/Months Early</t>
  </si>
  <si>
    <t>Months ↓ / Age →</t>
  </si>
  <si>
    <t xml:space="preserve">Factors for benefits in payment to former firefighter </t>
  </si>
  <si>
    <t>Factors for spouse or partner pension</t>
  </si>
  <si>
    <t>Widow/Widower or other survivor</t>
  </si>
  <si>
    <t>Unisex factor for benefits in payment (Fpen)</t>
  </si>
  <si>
    <t>Unisex factor for spouse or partner's pension (Fspen)</t>
  </si>
  <si>
    <t>Survivng spouse or partner unisex (Fwpen)</t>
  </si>
  <si>
    <t>Below 50</t>
  </si>
  <si>
    <t>Factor</t>
  </si>
  <si>
    <t>Value</t>
  </si>
  <si>
    <t>RTCF</t>
  </si>
  <si>
    <t>Annual allowance debit factor per £1 of pension per annum F_p - Males</t>
  </si>
  <si>
    <t>Annual allowance debit factor per £1 of pension per annum F_p - Females</t>
  </si>
  <si>
    <t>Annual allowance debit (standard members) F_p - Males</t>
  </si>
  <si>
    <t>Annual allowance debit (standard members) F_p - Females</t>
  </si>
  <si>
    <t>Annual allowance debit (special members) F_p - Males</t>
  </si>
  <si>
    <t>Annual allowance debit (special members) F_p - Females</t>
  </si>
  <si>
    <t>Gross Pension of £1 per annum (standard members) - Males</t>
  </si>
  <si>
    <t>Gross Pension of £1 per annum (standard members)  - Females</t>
  </si>
  <si>
    <t>Gross Pension of £1 per annum (special members)  - Males</t>
  </si>
  <si>
    <t>Gross Pension of £1 per annum (special members)  - Females</t>
  </si>
  <si>
    <t>Male Factor</t>
  </si>
  <si>
    <t>Female Factor</t>
  </si>
  <si>
    <t>Early payment reduction - males and females</t>
  </si>
  <si>
    <t>Lump Sum factor</t>
  </si>
  <si>
    <t>Adj</t>
  </si>
  <si>
    <t>Revaluation Factor</t>
  </si>
  <si>
    <t>Males Conversion Factors</t>
  </si>
  <si>
    <t>Female Conversion Factors</t>
  </si>
  <si>
    <t>55 and under</t>
  </si>
  <si>
    <t>35 and under</t>
  </si>
  <si>
    <t>40-55 inclusive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</si>
</sst>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0"/>
    <numFmt numFmtId="165" formatCode="0.0%"/>
    <numFmt numFmtId="166" formatCode="0.000%"/>
    <numFmt numFmtId="167" formatCode="[$-F800]dddd\,\ mmmm\ dd\,\ yyyy"/>
  </numFmts>
  <fonts count="28" x14ac:knownFonts="1">
    <font>
      <sz val="10"/>
      <name val="Arial"/>
    </font>
    <font>
      <sz val="11"/>
      <color theme="1"/>
      <name val="Calibri"/>
      <family val="2"/>
      <scheme val="minor"/>
    </font>
    <font>
      <sz val="11"/>
      <color theme="1"/>
      <name val="Calibri"/>
      <family val="2"/>
      <scheme val="minor"/>
    </font>
    <font>
      <sz val="10"/>
      <name val="Arial"/>
      <family val="2"/>
    </font>
    <font>
      <sz val="8"/>
      <name val="Arial"/>
      <family val="2"/>
    </font>
    <font>
      <b/>
      <sz val="10"/>
      <name val="Arial"/>
      <family val="2"/>
    </font>
    <font>
      <b/>
      <sz val="16"/>
      <color indexed="9"/>
      <name val="Arial"/>
      <family val="2"/>
    </font>
    <font>
      <b/>
      <sz val="12"/>
      <color indexed="9"/>
      <name val="Arial"/>
      <family val="2"/>
    </font>
    <font>
      <b/>
      <sz val="12"/>
      <color indexed="56"/>
      <name val="Arial"/>
      <family val="2"/>
    </font>
    <font>
      <b/>
      <u/>
      <sz val="10"/>
      <name val="Arial"/>
      <family val="2"/>
    </font>
    <font>
      <b/>
      <sz val="11"/>
      <name val="Calibri"/>
      <family val="2"/>
    </font>
    <font>
      <sz val="10"/>
      <color rgb="FFFF0000"/>
      <name val="Arial"/>
      <family val="2"/>
    </font>
    <font>
      <b/>
      <sz val="10"/>
      <color rgb="FFFF0000"/>
      <name val="Arial"/>
      <family val="2"/>
    </font>
    <font>
      <b/>
      <sz val="8"/>
      <color rgb="FFFF0000"/>
      <name val="Arial"/>
      <family val="2"/>
    </font>
    <font>
      <sz val="10"/>
      <color rgb="FF000000"/>
      <name val="Arial"/>
      <family val="2"/>
    </font>
    <font>
      <b/>
      <sz val="10"/>
      <color rgb="FF000000"/>
      <name val="Arial"/>
      <family val="2"/>
    </font>
    <font>
      <u/>
      <sz val="10"/>
      <color theme="10"/>
      <name val="Arial"/>
      <family val="2"/>
    </font>
    <font>
      <b/>
      <sz val="10"/>
      <color rgb="FF808080"/>
      <name val="Arial"/>
      <family val="2"/>
    </font>
    <font>
      <sz val="10"/>
      <color rgb="FF808080"/>
      <name val="Arial"/>
      <family val="2"/>
    </font>
    <font>
      <i/>
      <sz val="10"/>
      <color rgb="FF808080"/>
      <name val="Arial"/>
      <family val="2"/>
    </font>
    <font>
      <b/>
      <sz val="12"/>
      <color rgb="FF000000"/>
      <name val="Arial"/>
      <family val="2"/>
    </font>
    <font>
      <b/>
      <sz val="12"/>
      <name val="Arial"/>
      <family val="2"/>
    </font>
    <font>
      <sz val="8"/>
      <name val="Arial"/>
      <family val="2"/>
    </font>
    <font>
      <b/>
      <sz val="10"/>
      <color theme="2" tint="-0.499984740745262"/>
      <name val="Arial"/>
      <family val="2"/>
    </font>
    <font>
      <sz val="10"/>
      <color theme="2" tint="-0.499984740745262"/>
      <name val="Arial"/>
      <family val="2"/>
    </font>
    <font>
      <sz val="12"/>
      <name val="Arial"/>
      <family val="2"/>
    </font>
    <font>
      <u/>
      <sz val="10"/>
      <color rgb="FF0563C1"/>
      <name val="Arial"/>
      <family val="2"/>
    </font>
    <font>
      <sz val="12"/>
      <color rgb="FF000000"/>
      <name val="Arial"/>
      <family val="2"/>
    </font>
  </fonts>
  <fills count="13">
    <fill>
      <patternFill patternType="none"/>
    </fill>
    <fill>
      <patternFill patternType="gray125"/>
    </fill>
    <fill>
      <patternFill patternType="solid">
        <fgColor indexed="62"/>
        <bgColor indexed="64"/>
      </patternFill>
    </fill>
    <fill>
      <patternFill patternType="solid">
        <fgColor indexed="18"/>
        <bgColor indexed="64"/>
      </patternFill>
    </fill>
    <fill>
      <patternFill patternType="solid">
        <fgColor theme="0" tint="-4.9989318521683403E-2"/>
        <bgColor indexed="64"/>
      </patternFill>
    </fill>
    <fill>
      <patternFill patternType="solid">
        <fgColor rgb="FF00B050"/>
        <bgColor indexed="64"/>
      </patternFill>
    </fill>
    <fill>
      <patternFill patternType="solid">
        <fgColor rgb="FFFFC000"/>
        <bgColor indexed="64"/>
      </patternFill>
    </fill>
    <fill>
      <patternFill patternType="solid">
        <fgColor theme="3" tint="0.39997558519241921"/>
        <bgColor indexed="64"/>
      </patternFill>
    </fill>
    <fill>
      <patternFill patternType="solid">
        <fgColor rgb="FF5B9BD5"/>
        <bgColor rgb="FF000000"/>
      </patternFill>
    </fill>
    <fill>
      <patternFill patternType="solid">
        <fgColor rgb="FFF7F7F7"/>
        <bgColor rgb="FF000000"/>
      </patternFill>
    </fill>
    <fill>
      <patternFill patternType="solid">
        <fgColor rgb="FFD9D9D9"/>
        <bgColor rgb="FF000000"/>
      </patternFill>
    </fill>
    <fill>
      <patternFill patternType="solid">
        <fgColor rgb="FFEDEDED"/>
        <bgColor rgb="FF000000"/>
      </patternFill>
    </fill>
    <fill>
      <patternFill patternType="solid">
        <fgColor rgb="FFE3E3E3"/>
        <bgColor rgb="FF000000"/>
      </patternFill>
    </fill>
  </fills>
  <borders count="17">
    <border>
      <left/>
      <right/>
      <top/>
      <bottom/>
      <diagonal/>
    </border>
    <border>
      <left/>
      <right/>
      <top/>
      <bottom style="thin">
        <color indexed="9"/>
      </bottom>
      <diagonal/>
    </border>
    <border>
      <left/>
      <right/>
      <top style="thin">
        <color indexed="9"/>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s>
  <cellStyleXfs count="7">
    <xf numFmtId="0" fontId="0" fillId="0" borderId="0"/>
    <xf numFmtId="0" fontId="2" fillId="0" borderId="0"/>
    <xf numFmtId="0" fontId="3" fillId="0" borderId="0"/>
    <xf numFmtId="9" fontId="3" fillId="0" borderId="0" applyFont="0" applyFill="0" applyBorder="0" applyAlignment="0" applyProtection="0"/>
    <xf numFmtId="0" fontId="16" fillId="0" borderId="0" applyNumberFormat="0" applyFill="0" applyBorder="0" applyAlignment="0" applyProtection="0"/>
    <xf numFmtId="0" fontId="1" fillId="0" borderId="0"/>
    <xf numFmtId="0" fontId="1" fillId="0" borderId="0"/>
  </cellStyleXfs>
  <cellXfs count="176">
    <xf numFmtId="0" fontId="0" fillId="0" borderId="0" xfId="0"/>
    <xf numFmtId="0" fontId="5" fillId="0" borderId="0" xfId="0" applyFont="1"/>
    <xf numFmtId="0" fontId="3" fillId="0" borderId="0" xfId="0" applyFont="1" applyAlignment="1">
      <alignment vertical="top" wrapText="1"/>
    </xf>
    <xf numFmtId="0" fontId="0" fillId="0" borderId="0" xfId="0" applyAlignment="1">
      <alignment vertical="top"/>
    </xf>
    <xf numFmtId="0" fontId="6" fillId="2" borderId="1" xfId="0" applyFont="1" applyFill="1" applyBorder="1"/>
    <xf numFmtId="0" fontId="7" fillId="3" borderId="2" xfId="0" applyFont="1" applyFill="1" applyBorder="1"/>
    <xf numFmtId="0" fontId="8" fillId="3" borderId="0" xfId="0" applyFont="1" applyFill="1"/>
    <xf numFmtId="0" fontId="4" fillId="0" borderId="0" xfId="0" applyFont="1"/>
    <xf numFmtId="14" fontId="0" fillId="0" borderId="0" xfId="0" applyNumberFormat="1"/>
    <xf numFmtId="0" fontId="0" fillId="3" borderId="0" xfId="0" applyFill="1"/>
    <xf numFmtId="0" fontId="0" fillId="2" borderId="1" xfId="0" applyFill="1" applyBorder="1"/>
    <xf numFmtId="0" fontId="7" fillId="3" borderId="0" xfId="0" applyFont="1" applyFill="1"/>
    <xf numFmtId="0" fontId="0" fillId="0" borderId="0" xfId="0" applyAlignment="1">
      <alignment horizontal="center"/>
    </xf>
    <xf numFmtId="0" fontId="0" fillId="2" borderId="1" xfId="0" applyFill="1" applyBorder="1" applyAlignment="1">
      <alignment horizontal="center"/>
    </xf>
    <xf numFmtId="0" fontId="0" fillId="3" borderId="0" xfId="0" applyFill="1" applyAlignment="1">
      <alignment horizontal="center"/>
    </xf>
    <xf numFmtId="0" fontId="0" fillId="0" borderId="5" xfId="0" applyBorder="1"/>
    <xf numFmtId="0" fontId="0" fillId="0" borderId="6" xfId="0" applyBorder="1" applyAlignment="1">
      <alignment horizontal="center"/>
    </xf>
    <xf numFmtId="0" fontId="0" fillId="0" borderId="10" xfId="0" applyBorder="1"/>
    <xf numFmtId="0" fontId="0" fillId="0" borderId="12" xfId="0" applyBorder="1"/>
    <xf numFmtId="0" fontId="0" fillId="0" borderId="13" xfId="0" applyBorder="1"/>
    <xf numFmtId="0" fontId="0" fillId="0" borderId="14" xfId="0" applyBorder="1" applyAlignment="1">
      <alignment horizontal="center"/>
    </xf>
    <xf numFmtId="0" fontId="0" fillId="0" borderId="5" xfId="0" applyBorder="1" applyAlignment="1">
      <alignment horizontal="center"/>
    </xf>
    <xf numFmtId="0" fontId="0" fillId="0" borderId="9" xfId="0" applyBorder="1" applyAlignment="1">
      <alignment horizontal="center"/>
    </xf>
    <xf numFmtId="0" fontId="0" fillId="0" borderId="8" xfId="0" applyBorder="1" applyAlignment="1">
      <alignment horizontal="center"/>
    </xf>
    <xf numFmtId="0" fontId="3" fillId="0" borderId="11" xfId="0" applyFont="1" applyBorder="1" applyAlignment="1">
      <alignment horizontal="center"/>
    </xf>
    <xf numFmtId="0" fontId="3" fillId="0" borderId="8" xfId="0" applyFont="1" applyBorder="1" applyAlignment="1">
      <alignment horizontal="center"/>
    </xf>
    <xf numFmtId="0" fontId="3" fillId="0" borderId="0" xfId="0" applyFont="1"/>
    <xf numFmtId="0" fontId="0" fillId="0" borderId="0" xfId="0" applyAlignment="1">
      <alignment wrapText="1"/>
    </xf>
    <xf numFmtId="0" fontId="3" fillId="0" borderId="0" xfId="2"/>
    <xf numFmtId="0" fontId="0" fillId="0" borderId="11" xfId="0" applyBorder="1"/>
    <xf numFmtId="0" fontId="0" fillId="0" borderId="14" xfId="0" applyBorder="1"/>
    <xf numFmtId="0" fontId="5" fillId="0" borderId="6" xfId="0" applyFont="1" applyBorder="1" applyAlignment="1">
      <alignment horizontal="center"/>
    </xf>
    <xf numFmtId="0" fontId="5" fillId="0" borderId="7" xfId="0" applyFont="1" applyBorder="1" applyAlignment="1">
      <alignment horizontal="center"/>
    </xf>
    <xf numFmtId="0" fontId="5" fillId="0" borderId="4" xfId="0" applyFont="1" applyBorder="1" applyAlignment="1">
      <alignment horizontal="left"/>
    </xf>
    <xf numFmtId="0" fontId="5" fillId="0" borderId="11" xfId="0" applyFont="1" applyBorder="1" applyAlignment="1">
      <alignment horizontal="left"/>
    </xf>
    <xf numFmtId="0" fontId="5" fillId="0" borderId="7" xfId="0" applyFont="1" applyBorder="1" applyAlignment="1">
      <alignment horizontal="center" wrapText="1"/>
    </xf>
    <xf numFmtId="14" fontId="0" fillId="0" borderId="14" xfId="0" applyNumberFormat="1" applyBorder="1" applyAlignment="1">
      <alignment horizontal="center"/>
    </xf>
    <xf numFmtId="14" fontId="0" fillId="0" borderId="11" xfId="0" applyNumberFormat="1" applyBorder="1" applyAlignment="1">
      <alignment horizontal="center"/>
    </xf>
    <xf numFmtId="14" fontId="0" fillId="0" borderId="6" xfId="0" applyNumberFormat="1" applyBorder="1" applyAlignment="1">
      <alignment horizontal="center"/>
    </xf>
    <xf numFmtId="14" fontId="0" fillId="0" borderId="7" xfId="0" applyNumberFormat="1" applyBorder="1" applyAlignment="1">
      <alignment horizontal="center"/>
    </xf>
    <xf numFmtId="0" fontId="6" fillId="2" borderId="1" xfId="2" applyFont="1" applyFill="1" applyBorder="1"/>
    <xf numFmtId="0" fontId="3" fillId="2" borderId="1" xfId="2" applyFill="1" applyBorder="1"/>
    <xf numFmtId="0" fontId="7" fillId="3" borderId="2" xfId="2" applyFont="1" applyFill="1" applyBorder="1"/>
    <xf numFmtId="0" fontId="3" fillId="3" borderId="0" xfId="2" applyFill="1"/>
    <xf numFmtId="0" fontId="8" fillId="3" borderId="0" xfId="2" applyFont="1" applyFill="1"/>
    <xf numFmtId="0" fontId="4" fillId="0" borderId="0" xfId="2" applyFont="1"/>
    <xf numFmtId="0" fontId="5" fillId="4" borderId="15" xfId="2" applyFont="1" applyFill="1" applyBorder="1" applyAlignment="1">
      <alignment vertical="top"/>
    </xf>
    <xf numFmtId="0" fontId="5" fillId="4" borderId="15" xfId="2" applyFont="1" applyFill="1" applyBorder="1" applyAlignment="1">
      <alignment vertical="top" wrapText="1"/>
    </xf>
    <xf numFmtId="0" fontId="3" fillId="4" borderId="15" xfId="2" applyFill="1" applyBorder="1" applyAlignment="1">
      <alignment horizontal="left" vertical="top"/>
    </xf>
    <xf numFmtId="0" fontId="11" fillId="4" borderId="6" xfId="2" applyFont="1" applyFill="1" applyBorder="1" applyAlignment="1">
      <alignment vertical="top" wrapText="1"/>
    </xf>
    <xf numFmtId="0" fontId="11" fillId="4" borderId="6" xfId="2" applyFont="1" applyFill="1" applyBorder="1" applyAlignment="1">
      <alignment horizontal="left" vertical="top" wrapText="1"/>
    </xf>
    <xf numFmtId="0" fontId="11" fillId="4" borderId="15" xfId="2" applyFont="1" applyFill="1" applyBorder="1" applyAlignment="1">
      <alignment vertical="top" wrapText="1"/>
    </xf>
    <xf numFmtId="0" fontId="3" fillId="4" borderId="4" xfId="2" applyFill="1" applyBorder="1" applyAlignment="1">
      <alignment horizontal="left" vertical="top"/>
    </xf>
    <xf numFmtId="0" fontId="11" fillId="4" borderId="15" xfId="2" applyFont="1" applyFill="1" applyBorder="1" applyAlignment="1">
      <alignment horizontal="left" vertical="top" wrapText="1"/>
    </xf>
    <xf numFmtId="0" fontId="3" fillId="4" borderId="15" xfId="2" applyFill="1" applyBorder="1" applyAlignment="1">
      <alignment horizontal="left" vertical="top" wrapText="1"/>
    </xf>
    <xf numFmtId="0" fontId="3" fillId="4" borderId="4" xfId="2" applyFill="1" applyBorder="1" applyAlignment="1">
      <alignment horizontal="left" vertical="top" wrapText="1"/>
    </xf>
    <xf numFmtId="14" fontId="11" fillId="4" borderId="15" xfId="2" applyNumberFormat="1" applyFont="1" applyFill="1" applyBorder="1" applyAlignment="1">
      <alignment horizontal="left" vertical="top" wrapText="1"/>
    </xf>
    <xf numFmtId="0" fontId="12" fillId="4" borderId="8" xfId="2" applyFont="1" applyFill="1" applyBorder="1"/>
    <xf numFmtId="0" fontId="12" fillId="4" borderId="10" xfId="2" applyFont="1" applyFill="1" applyBorder="1"/>
    <xf numFmtId="0" fontId="12" fillId="4" borderId="11" xfId="2" applyFont="1" applyFill="1" applyBorder="1"/>
    <xf numFmtId="0" fontId="12" fillId="4" borderId="12" xfId="2" applyFont="1" applyFill="1" applyBorder="1"/>
    <xf numFmtId="0" fontId="12" fillId="4" borderId="11" xfId="2" applyFont="1" applyFill="1" applyBorder="1" applyAlignment="1">
      <alignment horizontal="left"/>
    </xf>
    <xf numFmtId="0" fontId="12" fillId="4" borderId="12" xfId="2" applyFont="1" applyFill="1" applyBorder="1" applyAlignment="1">
      <alignment horizontal="left"/>
    </xf>
    <xf numFmtId="0" fontId="11" fillId="4" borderId="11" xfId="2" applyFont="1" applyFill="1" applyBorder="1"/>
    <xf numFmtId="0" fontId="11" fillId="4" borderId="12" xfId="2" applyFont="1" applyFill="1" applyBorder="1"/>
    <xf numFmtId="164" fontId="13" fillId="4" borderId="11" xfId="2" applyNumberFormat="1" applyFont="1" applyFill="1" applyBorder="1" applyAlignment="1">
      <alignment horizontal="right"/>
    </xf>
    <xf numFmtId="164" fontId="13" fillId="4" borderId="12" xfId="2" applyNumberFormat="1" applyFont="1" applyFill="1" applyBorder="1" applyAlignment="1">
      <alignment horizontal="right"/>
    </xf>
    <xf numFmtId="1" fontId="11" fillId="4" borderId="11" xfId="2" applyNumberFormat="1" applyFont="1" applyFill="1" applyBorder="1" applyAlignment="1">
      <alignment horizontal="right"/>
    </xf>
    <xf numFmtId="1" fontId="11" fillId="4" borderId="12" xfId="2" applyNumberFormat="1" applyFont="1" applyFill="1" applyBorder="1" applyAlignment="1">
      <alignment horizontal="right"/>
    </xf>
    <xf numFmtId="0" fontId="11" fillId="4" borderId="11" xfId="2" applyFont="1" applyFill="1" applyBorder="1" applyAlignment="1">
      <alignment vertical="top"/>
    </xf>
    <xf numFmtId="0" fontId="11" fillId="4" borderId="12" xfId="2" applyFont="1" applyFill="1" applyBorder="1" applyAlignment="1">
      <alignment vertical="top"/>
    </xf>
    <xf numFmtId="0" fontId="11" fillId="4" borderId="16" xfId="2" applyFont="1" applyFill="1" applyBorder="1"/>
    <xf numFmtId="0" fontId="11" fillId="4" borderId="13" xfId="2" applyFont="1" applyFill="1" applyBorder="1"/>
    <xf numFmtId="0" fontId="14" fillId="0" borderId="0" xfId="0" applyFont="1" applyAlignment="1">
      <alignment wrapText="1"/>
    </xf>
    <xf numFmtId="0" fontId="0" fillId="0" borderId="0" xfId="0" applyAlignment="1">
      <alignment vertical="center"/>
    </xf>
    <xf numFmtId="0" fontId="15" fillId="0" borderId="0" xfId="2" applyFont="1" applyAlignment="1">
      <alignment horizontal="left" wrapText="1"/>
    </xf>
    <xf numFmtId="0" fontId="15" fillId="0" borderId="0" xfId="2" applyFont="1" applyAlignment="1">
      <alignment horizontal="centerContinuous" wrapText="1"/>
    </xf>
    <xf numFmtId="0" fontId="14" fillId="0" borderId="0" xfId="2" applyFont="1" applyAlignment="1">
      <alignment horizontal="left" wrapText="1"/>
    </xf>
    <xf numFmtId="0" fontId="14" fillId="0" borderId="0" xfId="2" applyFont="1" applyAlignment="1">
      <alignment horizontal="centerContinuous" wrapText="1"/>
    </xf>
    <xf numFmtId="14" fontId="14" fillId="0" borderId="0" xfId="2" applyNumberFormat="1" applyFont="1" applyAlignment="1">
      <alignment horizontal="centerContinuous" wrapText="1"/>
    </xf>
    <xf numFmtId="1" fontId="15" fillId="0" borderId="0" xfId="2" applyNumberFormat="1" applyFont="1" applyAlignment="1">
      <alignment vertical="top" wrapText="1"/>
    </xf>
    <xf numFmtId="0" fontId="14" fillId="0" borderId="0" xfId="2" applyFont="1"/>
    <xf numFmtId="2" fontId="14" fillId="0" borderId="0" xfId="2" applyNumberFormat="1" applyFont="1"/>
    <xf numFmtId="164" fontId="3" fillId="0" borderId="0" xfId="2" applyNumberFormat="1"/>
    <xf numFmtId="0" fontId="14" fillId="0" borderId="0" xfId="2" applyFont="1" applyAlignment="1">
      <alignment wrapText="1"/>
    </xf>
    <xf numFmtId="0" fontId="14" fillId="0" borderId="0" xfId="2" applyFont="1" applyAlignment="1">
      <alignment horizontal="right"/>
    </xf>
    <xf numFmtId="14" fontId="3" fillId="0" borderId="11" xfId="0" applyNumberFormat="1" applyFont="1" applyBorder="1" applyAlignment="1">
      <alignment horizontal="center"/>
    </xf>
    <xf numFmtId="1" fontId="15" fillId="0" borderId="0" xfId="0" applyNumberFormat="1" applyFont="1" applyAlignment="1">
      <alignment horizontal="center" vertical="center" wrapText="1"/>
    </xf>
    <xf numFmtId="0" fontId="14" fillId="0" borderId="0" xfId="0" applyFont="1" applyAlignment="1">
      <alignment horizontal="center" vertical="center"/>
    </xf>
    <xf numFmtId="2" fontId="14" fillId="0" borderId="0" xfId="0" applyNumberFormat="1" applyFont="1" applyAlignment="1">
      <alignment horizontal="center" vertical="center"/>
    </xf>
    <xf numFmtId="164" fontId="14" fillId="0" borderId="0" xfId="0" applyNumberFormat="1" applyFont="1" applyAlignment="1">
      <alignment horizontal="center" vertical="center"/>
    </xf>
    <xf numFmtId="0" fontId="16" fillId="0" borderId="0" xfId="4"/>
    <xf numFmtId="164" fontId="16" fillId="0" borderId="0" xfId="4" applyNumberFormat="1"/>
    <xf numFmtId="0" fontId="20" fillId="0" borderId="0" xfId="0" applyFont="1" applyAlignment="1">
      <alignment horizontal="left" vertical="center" wrapText="1"/>
    </xf>
    <xf numFmtId="0" fontId="15" fillId="0" borderId="0" xfId="0" applyFont="1" applyAlignment="1">
      <alignment horizontal="left" vertical="center" wrapText="1"/>
    </xf>
    <xf numFmtId="0" fontId="20" fillId="0" borderId="0" xfId="0" applyFont="1" applyAlignment="1">
      <alignment vertical="center" wrapText="1"/>
    </xf>
    <xf numFmtId="0" fontId="0" fillId="5" borderId="0" xfId="0" applyFill="1" applyAlignment="1">
      <alignment vertical="center"/>
    </xf>
    <xf numFmtId="0" fontId="14" fillId="0" borderId="0" xfId="0" applyFont="1" applyAlignment="1">
      <alignment vertical="center" wrapText="1"/>
    </xf>
    <xf numFmtId="0" fontId="0" fillId="6" borderId="0" xfId="0" applyFill="1" applyAlignment="1">
      <alignment vertical="center"/>
    </xf>
    <xf numFmtId="0" fontId="3" fillId="7" borderId="0" xfId="0" applyFont="1" applyFill="1" applyAlignment="1">
      <alignment vertical="center"/>
    </xf>
    <xf numFmtId="0" fontId="3" fillId="0" borderId="0" xfId="0" applyFont="1" applyAlignment="1">
      <alignment vertical="center" wrapText="1"/>
    </xf>
    <xf numFmtId="1" fontId="15" fillId="0" borderId="0" xfId="2" applyNumberFormat="1" applyFont="1"/>
    <xf numFmtId="165" fontId="14" fillId="0" borderId="0" xfId="0" applyNumberFormat="1" applyFont="1" applyAlignment="1">
      <alignment horizontal="center" vertical="center"/>
    </xf>
    <xf numFmtId="1" fontId="15" fillId="0" borderId="0" xfId="2" applyNumberFormat="1" applyFont="1" applyAlignment="1">
      <alignment horizontal="center" vertical="center" wrapText="1"/>
    </xf>
    <xf numFmtId="0" fontId="14" fillId="0" borderId="0" xfId="2" applyFont="1" applyAlignment="1">
      <alignment horizontal="center" vertical="center"/>
    </xf>
    <xf numFmtId="165" fontId="14" fillId="0" borderId="0" xfId="2" applyNumberFormat="1" applyFont="1" applyAlignment="1">
      <alignment horizontal="center" vertical="center"/>
    </xf>
    <xf numFmtId="0" fontId="5" fillId="0" borderId="0" xfId="0" applyFont="1" applyAlignment="1">
      <alignment wrapText="1"/>
    </xf>
    <xf numFmtId="0" fontId="17" fillId="0" borderId="0" xfId="0" applyFont="1"/>
    <xf numFmtId="0" fontId="18" fillId="0" borderId="0" xfId="0" applyFont="1" applyAlignment="1">
      <alignment vertical="top" wrapText="1"/>
    </xf>
    <xf numFmtId="0" fontId="18" fillId="0" borderId="0" xfId="0" applyFont="1"/>
    <xf numFmtId="0" fontId="18" fillId="0" borderId="0" xfId="0" applyFont="1" applyAlignment="1">
      <alignment wrapText="1"/>
    </xf>
    <xf numFmtId="0" fontId="19" fillId="0" borderId="0" xfId="0" applyFont="1" applyAlignment="1">
      <alignment vertical="top" wrapText="1"/>
    </xf>
    <xf numFmtId="14" fontId="18" fillId="0" borderId="0" xfId="0" applyNumberFormat="1" applyFont="1"/>
    <xf numFmtId="22" fontId="18" fillId="0" borderId="0" xfId="0" applyNumberFormat="1" applyFont="1" applyAlignment="1">
      <alignment wrapText="1"/>
    </xf>
    <xf numFmtId="164" fontId="3" fillId="0" borderId="0" xfId="4" applyNumberFormat="1" applyFont="1"/>
    <xf numFmtId="14" fontId="14" fillId="0" borderId="0" xfId="2" applyNumberFormat="1" applyFont="1" applyAlignment="1">
      <alignment wrapText="1"/>
    </xf>
    <xf numFmtId="14" fontId="14" fillId="0" borderId="0" xfId="0" applyNumberFormat="1" applyFont="1" applyAlignment="1">
      <alignment wrapText="1"/>
    </xf>
    <xf numFmtId="0" fontId="15" fillId="0" borderId="0" xfId="2" applyFont="1" applyAlignment="1">
      <alignment wrapText="1"/>
    </xf>
    <xf numFmtId="0" fontId="3" fillId="8" borderId="0" xfId="0" applyFont="1" applyFill="1" applyAlignment="1">
      <alignment vertical="center"/>
    </xf>
    <xf numFmtId="0" fontId="14" fillId="9" borderId="0" xfId="0" applyFont="1" applyFill="1" applyAlignment="1">
      <alignment vertical="center" wrapText="1"/>
    </xf>
    <xf numFmtId="0" fontId="23" fillId="0" borderId="0" xfId="0" applyFont="1"/>
    <xf numFmtId="0" fontId="24" fillId="0" borderId="0" xfId="0" applyFont="1"/>
    <xf numFmtId="0" fontId="24" fillId="0" borderId="0" xfId="0" applyFont="1" applyAlignment="1">
      <alignment wrapText="1"/>
    </xf>
    <xf numFmtId="0" fontId="24" fillId="0" borderId="0" xfId="0" applyFont="1" applyAlignment="1">
      <alignment horizontal="left" vertical="top"/>
    </xf>
    <xf numFmtId="14" fontId="24" fillId="0" borderId="0" xfId="0" applyNumberFormat="1" applyFont="1"/>
    <xf numFmtId="0" fontId="5" fillId="10" borderId="0" xfId="0" applyFont="1" applyFill="1"/>
    <xf numFmtId="0" fontId="3" fillId="12" borderId="0" xfId="0" applyFont="1" applyFill="1"/>
    <xf numFmtId="0" fontId="3" fillId="10" borderId="0" xfId="0" applyFont="1" applyFill="1"/>
    <xf numFmtId="0" fontId="3" fillId="9" borderId="0" xfId="0" applyFont="1" applyFill="1"/>
    <xf numFmtId="0" fontId="3" fillId="9" borderId="0" xfId="0" applyFont="1" applyFill="1" applyAlignment="1">
      <alignment wrapText="1"/>
    </xf>
    <xf numFmtId="0" fontId="3" fillId="11" borderId="0" xfId="0" applyFont="1" applyFill="1"/>
    <xf numFmtId="14" fontId="3" fillId="11" borderId="0" xfId="0" applyNumberFormat="1" applyFont="1" applyFill="1"/>
    <xf numFmtId="0" fontId="3" fillId="0" borderId="0" xfId="2" applyAlignment="1">
      <alignment horizontal="center"/>
    </xf>
    <xf numFmtId="0" fontId="26" fillId="0" borderId="0" xfId="2" applyFont="1" applyAlignment="1">
      <alignment vertical="center"/>
    </xf>
    <xf numFmtId="0" fontId="20" fillId="11" borderId="0" xfId="2" applyFont="1" applyFill="1" applyAlignment="1">
      <alignment wrapText="1"/>
    </xf>
    <xf numFmtId="0" fontId="20" fillId="11" borderId="0" xfId="2" applyFont="1" applyFill="1" applyAlignment="1">
      <alignment horizontal="left" wrapText="1"/>
    </xf>
    <xf numFmtId="0" fontId="20" fillId="9" borderId="0" xfId="2" applyFont="1" applyFill="1" applyAlignment="1">
      <alignment wrapText="1"/>
    </xf>
    <xf numFmtId="0" fontId="20" fillId="9" borderId="0" xfId="2" applyFont="1" applyFill="1" applyAlignment="1">
      <alignment horizontal="left" wrapText="1"/>
    </xf>
    <xf numFmtId="0" fontId="27" fillId="11" borderId="0" xfId="2" applyFont="1" applyFill="1" applyAlignment="1">
      <alignment horizontal="left" wrapText="1"/>
    </xf>
    <xf numFmtId="0" fontId="27" fillId="9" borderId="0" xfId="2" applyFont="1" applyFill="1" applyAlignment="1">
      <alignment horizontal="left" wrapText="1"/>
    </xf>
    <xf numFmtId="10" fontId="27" fillId="9" borderId="0" xfId="2" applyNumberFormat="1" applyFont="1" applyFill="1" applyAlignment="1">
      <alignment horizontal="left" wrapText="1"/>
    </xf>
    <xf numFmtId="10" fontId="27" fillId="11" borderId="0" xfId="2" applyNumberFormat="1" applyFont="1" applyFill="1" applyAlignment="1">
      <alignment horizontal="left" wrapText="1"/>
    </xf>
    <xf numFmtId="0" fontId="27" fillId="9" borderId="0" xfId="2" applyFont="1" applyFill="1" applyAlignment="1">
      <alignment horizontal="left"/>
    </xf>
    <xf numFmtId="0" fontId="25" fillId="9" borderId="0" xfId="2" applyFont="1" applyFill="1" applyAlignment="1">
      <alignment horizontal="left" wrapText="1"/>
    </xf>
    <xf numFmtId="0" fontId="25" fillId="11" borderId="0" xfId="2" applyFont="1" applyFill="1" applyAlignment="1">
      <alignment horizontal="left" wrapText="1"/>
    </xf>
    <xf numFmtId="9" fontId="25" fillId="9" borderId="0" xfId="2" applyNumberFormat="1" applyFont="1" applyFill="1" applyAlignment="1">
      <alignment horizontal="left" wrapText="1"/>
    </xf>
    <xf numFmtId="9" fontId="27" fillId="11" borderId="0" xfId="2" applyNumberFormat="1" applyFont="1" applyFill="1" applyAlignment="1">
      <alignment horizontal="left" wrapText="1"/>
    </xf>
    <xf numFmtId="0" fontId="25" fillId="0" borderId="0" xfId="0" applyFont="1" applyAlignment="1">
      <alignment vertical="center"/>
    </xf>
    <xf numFmtId="0" fontId="25" fillId="0" borderId="0" xfId="0" applyFont="1"/>
    <xf numFmtId="166" fontId="27" fillId="9" borderId="0" xfId="2" applyNumberFormat="1" applyFont="1" applyFill="1" applyAlignment="1">
      <alignment horizontal="left" wrapText="1"/>
    </xf>
    <xf numFmtId="1" fontId="14" fillId="0" borderId="0" xfId="2" applyNumberFormat="1" applyFont="1" applyAlignment="1">
      <alignment vertical="top" wrapText="1"/>
    </xf>
    <xf numFmtId="164" fontId="14" fillId="0" borderId="0" xfId="2" applyNumberFormat="1" applyFont="1"/>
    <xf numFmtId="164" fontId="5" fillId="0" borderId="0" xfId="4" applyNumberFormat="1" applyFont="1"/>
    <xf numFmtId="164" fontId="14" fillId="0" borderId="0" xfId="2" applyNumberFormat="1" applyFont="1" applyAlignment="1">
      <alignment horizontal="center" vertical="center"/>
    </xf>
    <xf numFmtId="0" fontId="14" fillId="0" borderId="0" xfId="0" applyFont="1" applyAlignment="1">
      <alignment horizontal="left"/>
    </xf>
    <xf numFmtId="0" fontId="15" fillId="0" borderId="0" xfId="0" applyFont="1" applyAlignment="1">
      <alignment horizontal="left" wrapText="1"/>
    </xf>
    <xf numFmtId="0" fontId="14" fillId="0" borderId="0" xfId="0" applyFont="1" applyAlignment="1">
      <alignment horizontal="left" wrapText="1"/>
    </xf>
    <xf numFmtId="14" fontId="14" fillId="0" borderId="0" xfId="0" applyNumberFormat="1" applyFont="1" applyAlignment="1">
      <alignment horizontal="left"/>
    </xf>
    <xf numFmtId="0" fontId="15" fillId="0" borderId="0" xfId="2" applyFont="1" applyAlignment="1">
      <alignment horizontal="left"/>
    </xf>
    <xf numFmtId="0" fontId="14" fillId="0" borderId="0" xfId="2" applyFont="1" applyAlignment="1">
      <alignment horizontal="left"/>
    </xf>
    <xf numFmtId="0" fontId="14" fillId="0" borderId="0" xfId="2" applyFont="1" applyAlignment="1">
      <alignment horizontal="left" vertical="top" wrapText="1"/>
    </xf>
    <xf numFmtId="14" fontId="14" fillId="0" borderId="0" xfId="2" applyNumberFormat="1" applyFont="1" applyAlignment="1">
      <alignment horizontal="left"/>
    </xf>
    <xf numFmtId="0" fontId="14" fillId="0" borderId="0" xfId="0" applyFont="1" applyAlignment="1">
      <alignment horizontal="left" vertical="center" wrapText="1"/>
    </xf>
    <xf numFmtId="0" fontId="16" fillId="0" borderId="0" xfId="4" applyFill="1" applyAlignment="1">
      <alignment horizontal="left" vertical="center" wrapText="1"/>
    </xf>
    <xf numFmtId="167" fontId="14" fillId="0" borderId="0" xfId="0" applyNumberFormat="1" applyFont="1" applyAlignment="1">
      <alignment horizontal="left" vertical="center" wrapText="1"/>
    </xf>
    <xf numFmtId="0" fontId="21" fillId="0" borderId="8" xfId="0" applyFont="1" applyBorder="1" applyAlignment="1">
      <alignment wrapText="1"/>
    </xf>
    <xf numFmtId="0" fontId="9" fillId="0" borderId="9" xfId="0" applyFont="1" applyBorder="1" applyAlignment="1">
      <alignment wrapText="1"/>
    </xf>
    <xf numFmtId="0" fontId="9" fillId="0" borderId="10" xfId="0" applyFont="1" applyBorder="1" applyAlignment="1">
      <alignment wrapText="1"/>
    </xf>
    <xf numFmtId="0" fontId="10" fillId="0" borderId="11" xfId="0" applyFont="1" applyBorder="1" applyAlignment="1">
      <alignment vertical="center" wrapText="1"/>
    </xf>
    <xf numFmtId="0" fontId="10" fillId="0" borderId="0" xfId="0" applyFont="1" applyAlignment="1">
      <alignment vertical="center" wrapText="1"/>
    </xf>
    <xf numFmtId="0" fontId="10" fillId="0" borderId="12" xfId="0" applyFont="1" applyBorder="1" applyAlignment="1">
      <alignment vertical="center" wrapText="1"/>
    </xf>
    <xf numFmtId="0" fontId="10" fillId="0" borderId="16" xfId="0" applyFont="1" applyBorder="1" applyAlignment="1">
      <alignment vertical="center" wrapText="1"/>
    </xf>
    <xf numFmtId="0" fontId="10" fillId="0" borderId="3" xfId="0" applyFont="1" applyBorder="1" applyAlignment="1">
      <alignment vertical="center" wrapText="1"/>
    </xf>
    <xf numFmtId="0" fontId="10" fillId="0" borderId="13" xfId="0" applyFont="1" applyBorder="1" applyAlignment="1">
      <alignment vertical="center" wrapText="1"/>
    </xf>
    <xf numFmtId="0" fontId="3" fillId="11" borderId="0" xfId="0" applyFont="1" applyFill="1"/>
    <xf numFmtId="0" fontId="3" fillId="9" borderId="0" xfId="0" applyFont="1" applyFill="1"/>
  </cellXfs>
  <cellStyles count="7">
    <cellStyle name="Hyperlink" xfId="4" builtinId="8"/>
    <cellStyle name="Normal" xfId="0" builtinId="0"/>
    <cellStyle name="Normal 2" xfId="1" xr:uid="{00000000-0005-0000-0000-000001000000}"/>
    <cellStyle name="Normal 2 2" xfId="2" xr:uid="{00000000-0005-0000-0000-000002000000}"/>
    <cellStyle name="Normal 2 3" xfId="5" xr:uid="{6C1EBBFC-C40A-41FB-94BF-2E438F1CCFBA}"/>
    <cellStyle name="Normal 3" xfId="6" xr:uid="{3A501EC1-AB5E-4104-AD5D-4B3D12106EF1}"/>
    <cellStyle name="Percent 2" xfId="3" xr:uid="{00000000-0005-0000-0000-000003000000}"/>
  </cellStyles>
  <dxfs count="1659">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DEDED"/>
        </patternFill>
      </fill>
    </dxf>
    <dxf>
      <fill>
        <patternFill>
          <bgColor rgb="FFF7F7F7"/>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00FFFF"/>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2469"/>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8AADB0"/>
      <rgbColor rgb="00339966"/>
      <rgbColor rgb="00BA9E66"/>
      <rgbColor rgb="00C2B3A1"/>
      <rgbColor rgb="00A8AD70"/>
      <rgbColor rgb="00993366"/>
      <rgbColor rgb="009C1F2E"/>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102" Type="http://schemas.openxmlformats.org/officeDocument/2006/relationships/customXml" Target="../customXml/item2.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externalLink" Target="externalLinks/externalLink2.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80" Type="http://schemas.openxmlformats.org/officeDocument/2006/relationships/worksheet" Target="worksheets/sheet80.xml"/><Relationship Id="rId85" Type="http://schemas.openxmlformats.org/officeDocument/2006/relationships/worksheet" Target="worksheets/sheet85.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103" Type="http://schemas.openxmlformats.org/officeDocument/2006/relationships/customXml" Target="../customXml/item3.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96" Type="http://schemas.openxmlformats.org/officeDocument/2006/relationships/externalLink" Target="externalLinks/externalLink3.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externalLink" Target="externalLinks/externalLink1.xml"/><Relationship Id="rId99" Type="http://schemas.openxmlformats.org/officeDocument/2006/relationships/sharedStrings" Target="sharedStrings.xml"/><Relationship Id="rId101"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theme" Target="theme/theme1.xml"/><Relationship Id="rId104" Type="http://schemas.openxmlformats.org/officeDocument/2006/relationships/customXml" Target="../customXml/item4.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styles" Target="styles.xml"/><Relationship Id="rId3" Type="http://schemas.openxmlformats.org/officeDocument/2006/relationships/worksheet" Target="worksheets/sheet3.xml"/></Relationships>
</file>

<file path=xl/externalLinks/_rels/externalLink1.xml.rels><?xml version="1.0" encoding="UTF-8" standalone="yes"?>
<Relationships xmlns="http://schemas.openxmlformats.org/package/2006/relationships"><Relationship Id="rId3" Type="http://schemas.openxmlformats.org/officeDocument/2006/relationships/externalLinkPath" Target="https://tris42.sharepoint.com/sites/gad_wrkgrp_actuarial/pspsactuarialwork/Client%20Work/Fire%20E/Factors%20&amp;%20Guidance/2024%20Guidance%20Review/3.%20Guidance%20updates/0.%20Consolidated%20factor%20workbook%20for%20website/Fire%20E%20Consolidated%20Factors%202025-01.xlsm" TargetMode="External"/><Relationship Id="rId2" Type="http://schemas.microsoft.com/office/2019/04/relationships/externalLinkLongPath" Target="/sites/gad_wrkgrp_actuarial/pspsactuarialwork/Client%20Work/Fire%20E/Factors%20&amp;%20Guidance/2024%20Guidance%20Review/3.%20Guidance%20updates/0.%20Consolidated%20factor%20workbook%20for%20website/Fire%20E%20Consolidated%20Factors%202025-01.xlsm?291AFFFF" TargetMode="External"/><Relationship Id="rId1" Type="http://schemas.openxmlformats.org/officeDocument/2006/relationships/externalLinkPath" Target="file:///\\291AFFFF\Fire%20E%20Consolidated%20Factors%202025-01.xlsm" TargetMode="External"/><Relationship Id="rId4" Type="http://schemas.openxmlformats.org/officeDocument/2006/relationships/externalLinkPath" Target="../../../../../../../../../Client%20Work/Fire%20E/Factors%20&amp;%20Guidance/2024%20Guidance%20Review/3.%20Guidance%20updates/0.%20Consolidated%20factor%20workbook%20for%20website/Fire%20E%20Consolidated%20Factors%202025-01.xlsm" TargetMode="External"/></Relationships>
</file>

<file path=xl/externalLinks/_rels/externalLink2.xml.rels><?xml version="1.0" encoding="UTF-8" standalone="yes"?>
<Relationships xmlns="http://schemas.openxmlformats.org/package/2006/relationships"><Relationship Id="rId3" Type="http://schemas.openxmlformats.org/officeDocument/2006/relationships/externalLinkPath" Target="../../../../../../../../../Client%20Work/CS%20GB/Factors%20&amp;%20Guidance/2024%20Guidance%20Review/0.%20Consolidated%20factor%20workbook%20for%20website/CS%20GB%20Consolidated%20Factors%202025-01.xlsm" TargetMode="External"/><Relationship Id="rId2" Type="http://schemas.openxmlformats.org/officeDocument/2006/relationships/externalLinkPath" Target="https://tris42.sharepoint.com/sites/gad_wrkgrp_actuarial/pspsactuarialwork/Client%20Work/CS%20GB/Factors%20&amp;%20Guidance/2024%20Guidance%20Review/0.%20Consolidated%20factor%20workbook%20for%20website/CS%20GB%20Consolidated%20Factors%202025-01.xlsm" TargetMode="External"/><Relationship Id="rId1" Type="http://schemas.openxmlformats.org/officeDocument/2006/relationships/externalLinkPath" Target="/sites/gad_wrkgrp_actuarial/pspsactuarialwork/Client%20Work/CS%20GB/Factors%20&amp;%20Guidance/2024%20Guidance%20Review/0.%20Consolidated%20factor%20workbook%20for%20website/CS%20GB%20Consolidated%20Factors%202025-01.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ad-psps\psps\Fire_E\Factors\2018\Main%20Factor%20Review\Consolidation\Fire%20E%20Consolidated%20Factors%20-%20March%202019.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relativeUrl r:id="rId4"/>
    </xxl21:alternateUrls>
    <sheetNames>
      <sheetName val="Cover"/>
      <sheetName val="Purpose of spreadsheet"/>
      <sheetName val="Version Control"/>
      <sheetName val="Summary - Fire_E"/>
      <sheetName val="Factor List"/>
      <sheetName val="x-Series Number"/>
      <sheetName val="Assumptions"/>
      <sheetName val="x-201"/>
      <sheetName val="x-202"/>
      <sheetName val="x-203"/>
      <sheetName val="x-204"/>
      <sheetName val="x-205"/>
      <sheetName val="x-206"/>
      <sheetName val="x-207"/>
      <sheetName val="x-208"/>
      <sheetName val="x-209"/>
      <sheetName val="x-210"/>
      <sheetName val="x-211"/>
      <sheetName val="x-212"/>
      <sheetName val="x-213"/>
      <sheetName val="x-214"/>
      <sheetName val="x-215"/>
      <sheetName val="x-220"/>
      <sheetName val="x-221"/>
      <sheetName val="x-301"/>
      <sheetName val="x-302"/>
      <sheetName val="x-303"/>
      <sheetName val="x-304"/>
      <sheetName val="x-305"/>
      <sheetName val="x-306"/>
      <sheetName val="x-307"/>
      <sheetName val="x-308"/>
      <sheetName val="x-309"/>
      <sheetName val="x-310"/>
      <sheetName val="x-311"/>
      <sheetName val="x-312"/>
      <sheetName val="x-313"/>
      <sheetName val="x-314"/>
      <sheetName val="x-315"/>
      <sheetName val="x-316"/>
      <sheetName val="x-317"/>
      <sheetName val="x-318"/>
      <sheetName val="x-319"/>
      <sheetName val="x-320"/>
      <sheetName val="x-321"/>
      <sheetName val="x-322"/>
      <sheetName val="x-323"/>
      <sheetName val="x-324"/>
      <sheetName val="x-325"/>
      <sheetName val="x-326"/>
      <sheetName val="x-327"/>
      <sheetName val="x-328"/>
      <sheetName val="x-401"/>
      <sheetName val="x-402"/>
      <sheetName val="x-403"/>
      <sheetName val="x-404"/>
      <sheetName val="x-405"/>
      <sheetName val="x-406"/>
      <sheetName val="x-407"/>
      <sheetName val="x-501"/>
      <sheetName val="x-502"/>
      <sheetName val="x-503"/>
      <sheetName val="x-504"/>
      <sheetName val="x-505"/>
      <sheetName val="x-506"/>
      <sheetName val="x-603"/>
      <sheetName val="x-604"/>
      <sheetName val="x-605"/>
      <sheetName val="x-606"/>
      <sheetName val="x-607"/>
      <sheetName val="x-608"/>
      <sheetName val="x-609"/>
      <sheetName val="x-610"/>
      <sheetName val="x-611"/>
      <sheetName val="x-612"/>
      <sheetName val="x-613"/>
      <sheetName val="x-614"/>
      <sheetName val="x-615"/>
      <sheetName val="x-616"/>
      <sheetName val="x-617"/>
      <sheetName val="x-618"/>
      <sheetName val="x-619"/>
      <sheetName val="x-620"/>
      <sheetName val="x-621"/>
      <sheetName val="x-622"/>
      <sheetName val="x-623"/>
      <sheetName val="x-624"/>
      <sheetName val="x-625"/>
      <sheetName val="x-626"/>
      <sheetName val="x-627"/>
      <sheetName val="x-701"/>
      <sheetName val="x-702"/>
      <sheetName val="x-802"/>
      <sheetName val="AnnGenHiddenLists"/>
    </sheetNames>
    <sheetDataSet>
      <sheetData sheetId="0">
        <row r="2">
          <cell r="A2" t="str">
            <v>Fire England - Consolidated Factor Spreadsheet</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Cover"/>
      <sheetName val="Purpose of spreadsheet"/>
      <sheetName val="Version Control"/>
      <sheetName val="Summary - PCSPS_EW"/>
      <sheetName val="AnnGenHiddenLists"/>
      <sheetName val="x-Series Number"/>
      <sheetName val="Factor List"/>
      <sheetName val="Assumptions"/>
      <sheetName val="Club 2023 Table 2"/>
      <sheetName val="Club 2023 Table 3"/>
      <sheetName val="Club 2023 Table 4"/>
      <sheetName val="Club 2023 Table 5"/>
      <sheetName val="Club 2023 Table 6"/>
      <sheetName val="x-201"/>
      <sheetName val="x-202"/>
      <sheetName val="x-205"/>
      <sheetName val="x-203"/>
      <sheetName val="x-204"/>
      <sheetName val="x-207"/>
      <sheetName val="x-208"/>
      <sheetName val="x-209"/>
      <sheetName val="x-211"/>
      <sheetName val="x-212"/>
      <sheetName val="x-213"/>
      <sheetName val="x-214"/>
      <sheetName val="x-215"/>
      <sheetName val="x-216"/>
      <sheetName val="x-217"/>
      <sheetName val="x-218"/>
      <sheetName val="x-223"/>
      <sheetName val="x-301"/>
      <sheetName val="x-302"/>
      <sheetName val="x-303"/>
      <sheetName val="x-304"/>
      <sheetName val="x-305"/>
      <sheetName val="x-306"/>
      <sheetName val="x-307"/>
      <sheetName val="x-401"/>
      <sheetName val="x-402"/>
      <sheetName val="x-403"/>
      <sheetName val="x-404"/>
      <sheetName val="x-405"/>
      <sheetName val="x-406"/>
      <sheetName val="x-407"/>
      <sheetName val="x-408"/>
      <sheetName val="x-409"/>
      <sheetName val="x-410"/>
      <sheetName val="x-411"/>
      <sheetName val="x-412"/>
      <sheetName val="x-413"/>
      <sheetName val="x-414"/>
      <sheetName val="x-415"/>
      <sheetName val="x-416"/>
      <sheetName val="x-417"/>
      <sheetName val="x-418"/>
      <sheetName val="x-419"/>
      <sheetName val="x-420"/>
      <sheetName val="x-421"/>
      <sheetName val="x-501"/>
      <sheetName val="x-502"/>
      <sheetName val="x-503"/>
      <sheetName val="x-504"/>
      <sheetName val="x-601"/>
      <sheetName val="x-602"/>
      <sheetName val="x-603"/>
      <sheetName val="x-604"/>
      <sheetName val="x-605"/>
      <sheetName val="x-606"/>
      <sheetName val="x-607"/>
      <sheetName val="x-608"/>
      <sheetName val="x-609"/>
      <sheetName val="x-610"/>
      <sheetName val="x-611"/>
      <sheetName val="x-612"/>
      <sheetName val="x-613"/>
      <sheetName val="x-614"/>
      <sheetName val="x-615"/>
      <sheetName val="x-616"/>
      <sheetName val="x-617"/>
      <sheetName val="x-701"/>
      <sheetName val="x-702"/>
      <sheetName val="x-703"/>
      <sheetName val="x-704"/>
      <sheetName val="x-705"/>
      <sheetName val="x-706"/>
      <sheetName val="x-707"/>
      <sheetName val="x-708"/>
      <sheetName val="x-709"/>
      <sheetName val="x-710"/>
      <sheetName val="x-711"/>
      <sheetName val="x-712"/>
      <sheetName val="x-713"/>
      <sheetName val="x-714"/>
      <sheetName val="x-715"/>
      <sheetName val="x-716"/>
      <sheetName val="x-717"/>
      <sheetName val="x-718"/>
      <sheetName val="x-719"/>
      <sheetName val="x-720"/>
      <sheetName val="x-721"/>
      <sheetName val="x-725"/>
      <sheetName val="x-726"/>
      <sheetName val="x-727"/>
      <sheetName val="x-728"/>
      <sheetName val="x-729"/>
      <sheetName val="x-730"/>
      <sheetName val="x-731"/>
      <sheetName val="x-732"/>
      <sheetName val="x-733"/>
      <sheetName val="x-734"/>
      <sheetName val="x-735"/>
      <sheetName val="x-736"/>
      <sheetName val="x-801"/>
      <sheetName val="x-802"/>
      <sheetName val="x-803"/>
      <sheetName val="x-804"/>
      <sheetName val="x-805"/>
      <sheetName val="x-806"/>
      <sheetName val="x-807"/>
      <sheetName val="x-808"/>
      <sheetName val="x-810"/>
      <sheetName val="x-811"/>
      <sheetName val="x-812"/>
      <sheetName val="x-813"/>
      <sheetName val="x-814"/>
    </sheetNames>
    <sheetDataSet>
      <sheetData sheetId="0">
        <row r="2">
          <cell r="A2" t="str">
            <v>Civil Service Pension Schemes - Consolidated Factor Spreadsheet</v>
          </cell>
        </row>
      </sheetData>
      <sheetData sheetId="1"/>
      <sheetData sheetId="2"/>
      <sheetData sheetId="3"/>
      <sheetData sheetId="4"/>
      <sheetData sheetId="5">
        <row r="9">
          <cell r="B9" t="str">
            <v>Enter the factor type (which should be consistent with the series header types found on the summary sheet (eg early or late retirement)</v>
          </cell>
        </row>
        <row r="14">
          <cell r="B14" t="str">
            <v>Enter series number (this reflects the number in the relevant series eg if it’s the first ER/LR factor then it would be "401")</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Purpose of spreadsheet"/>
      <sheetName val="Version Control"/>
      <sheetName val="Summary - Fire_E"/>
      <sheetName val="Factor List"/>
      <sheetName val="x-Series Number"/>
      <sheetName val="x-201"/>
      <sheetName val="x-202"/>
      <sheetName val="x-203"/>
      <sheetName val="x-204"/>
      <sheetName val="x-205"/>
      <sheetName val="x-206"/>
      <sheetName val="x-207"/>
      <sheetName val="x-208"/>
      <sheetName val="x-209"/>
      <sheetName val="x-210"/>
      <sheetName val="x-211"/>
      <sheetName val="x-212"/>
      <sheetName val="x-213"/>
      <sheetName val="x-214"/>
      <sheetName val="x-215"/>
      <sheetName val="x-220"/>
      <sheetName val="x-221"/>
      <sheetName val="x-222"/>
      <sheetName val="x-302"/>
      <sheetName val="x-303"/>
      <sheetName val="x-304"/>
      <sheetName val="x-305"/>
      <sheetName val="x-306"/>
      <sheetName val="x-307"/>
      <sheetName val="x-308"/>
      <sheetName val="x-309"/>
      <sheetName val="x-310"/>
      <sheetName val="x-311"/>
      <sheetName val="x-312"/>
      <sheetName val="x-313"/>
      <sheetName val="x-314"/>
      <sheetName val="x-315"/>
      <sheetName val="x-316"/>
      <sheetName val="x-317"/>
      <sheetName val="x-318"/>
      <sheetName val="x-319"/>
      <sheetName val="x-320"/>
      <sheetName val="x-321"/>
      <sheetName val="x-322"/>
      <sheetName val="x-323"/>
      <sheetName val="x-324"/>
      <sheetName val="x-325"/>
      <sheetName val="x-326"/>
      <sheetName val="x-327"/>
      <sheetName val="x-328"/>
      <sheetName val="x-401"/>
      <sheetName val="x-402"/>
      <sheetName val="x-403"/>
      <sheetName val="x-404"/>
      <sheetName val="x-405"/>
      <sheetName val="x-406"/>
      <sheetName val="x-407"/>
      <sheetName val="x-501"/>
      <sheetName val="x-502"/>
      <sheetName val="x-503"/>
      <sheetName val="x-504"/>
      <sheetName val="x-505"/>
      <sheetName val="x-603"/>
      <sheetName val="x-604"/>
      <sheetName val="x-605"/>
      <sheetName val="x-606"/>
      <sheetName val="x-607"/>
      <sheetName val="x-608"/>
      <sheetName val="x-609"/>
      <sheetName val="x-610"/>
      <sheetName val="x-611"/>
      <sheetName val="x-612"/>
      <sheetName val="x-613"/>
      <sheetName val="x-614"/>
      <sheetName val="x-615"/>
      <sheetName val="x-616"/>
      <sheetName val="x-617"/>
      <sheetName val="x-618"/>
      <sheetName val="x-619"/>
      <sheetName val="x-620"/>
      <sheetName val="x-621"/>
      <sheetName val="x-622"/>
      <sheetName val="x-623"/>
      <sheetName val="x-624"/>
      <sheetName val="x-625"/>
      <sheetName val="x-626"/>
      <sheetName val="x-627"/>
      <sheetName val="x-701"/>
      <sheetName val="x-702"/>
      <sheetName val="x-703"/>
      <sheetName val="x-704"/>
      <sheetName val="x-801"/>
      <sheetName val="AnnGenHiddenLists"/>
    </sheetNames>
    <sheetDataSet>
      <sheetData sheetId="0">
        <row r="2">
          <cell r="A2" t="str">
            <v>Fire England - Consolidated Factor Spreadsheet</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ebextensions/_rels/taskpanes.xml.rels><?xml version="1.0" encoding="UTF-8" standalone="yes"?>
<Relationships xmlns="http://schemas.openxmlformats.org/package/2006/relationships"><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0" width="0" row="0">
    <wetp:webextensionref xmlns:r="http://schemas.openxmlformats.org/officeDocument/2006/relationships" r:id="rId1"/>
  </wetp:taskpane>
</wetp:taskpanes>
</file>

<file path=xl/webextensions/webextension1.xml><?xml version="1.0" encoding="utf-8"?>
<we:webextension xmlns:we="http://schemas.microsoft.com/office/webextensions/webextension/2010/11" id="{73753BE9-AC79-41E1-B41D-00313A6C7B6E}">
  <we:reference id="81ae7f57-2760-4043-a9cb-e0d36209e808" version="1.3.0.0" store="EXCatalog" storeType="EXCatalog"/>
  <we:alternateReferences>
    <we:reference id="WA200003696" version="1.3.0.0" store="" storeType="OMEX"/>
  </we:alternateReferences>
  <we:properties/>
  <we:bindings/>
  <we:snapshot xmlns:r="http://schemas.openxmlformats.org/officeDocument/2006/relationships"/>
  <we:extLst>
    <a:ext xmlns:a="http://schemas.openxmlformats.org/drawingml/2006/main" uri="{D87F86FE-615C-45B5-9D79-34F1136793EB}">
      <we:containsCustomFunctions/>
    </a:ext>
    <a:ext xmlns:a="http://schemas.openxmlformats.org/drawingml/2006/main" uri="{7C84B067-C214-45C3-A712-C9D94CD141B2}">
      <we:customFunctionIdList>
        <we:customFunctionIds>_xldudf_LABS_GENERATIVEAI</we:customFunctionIds>
      </we:customFunctionIdList>
    </a:ext>
  </we:extLst>
</we:webextension>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85.bin"/></Relationships>
</file>

<file path=xl/worksheets/_rels/sheet86.xml.rels><?xml version="1.0" encoding="UTF-8" standalone="yes"?>
<Relationships xmlns="http://schemas.openxmlformats.org/package/2006/relationships"><Relationship Id="rId1" Type="http://schemas.openxmlformats.org/officeDocument/2006/relationships/printerSettings" Target="../printerSettings/printerSettings86.bin"/></Relationships>
</file>

<file path=xl/worksheets/_rels/sheet87.xml.rels><?xml version="1.0" encoding="UTF-8" standalone="yes"?>
<Relationships xmlns="http://schemas.openxmlformats.org/package/2006/relationships"><Relationship Id="rId1" Type="http://schemas.openxmlformats.org/officeDocument/2006/relationships/printerSettings" Target="../printerSettings/printerSettings87.bin"/></Relationships>
</file>

<file path=xl/worksheets/_rels/sheet88.xml.rels><?xml version="1.0" encoding="UTF-8" standalone="yes"?>
<Relationships xmlns="http://schemas.openxmlformats.org/package/2006/relationships"><Relationship Id="rId1" Type="http://schemas.openxmlformats.org/officeDocument/2006/relationships/printerSettings" Target="../printerSettings/printerSettings88.bin"/></Relationships>
</file>

<file path=xl/worksheets/_rels/sheet89.xml.rels><?xml version="1.0" encoding="UTF-8" standalone="yes"?>
<Relationships xmlns="http://schemas.openxmlformats.org/package/2006/relationships"><Relationship Id="rId1" Type="http://schemas.openxmlformats.org/officeDocument/2006/relationships/printerSettings" Target="../printerSettings/printerSettings89.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90.xml.rels><?xml version="1.0" encoding="UTF-8" standalone="yes"?>
<Relationships xmlns="http://schemas.openxmlformats.org/package/2006/relationships"><Relationship Id="rId1" Type="http://schemas.openxmlformats.org/officeDocument/2006/relationships/printerSettings" Target="../printerSettings/printerSettings90.bin"/></Relationships>
</file>

<file path=xl/worksheets/_rels/sheet91.xml.rels><?xml version="1.0" encoding="UTF-8" standalone="yes"?>
<Relationships xmlns="http://schemas.openxmlformats.org/package/2006/relationships"><Relationship Id="rId1" Type="http://schemas.openxmlformats.org/officeDocument/2006/relationships/printerSettings" Target="../printerSettings/printerSettings91.bin"/></Relationships>
</file>

<file path=xl/worksheets/_rels/sheet92.xml.rels><?xml version="1.0" encoding="UTF-8" standalone="yes"?>
<Relationships xmlns="http://schemas.openxmlformats.org/package/2006/relationships"><Relationship Id="rId1" Type="http://schemas.openxmlformats.org/officeDocument/2006/relationships/printerSettings" Target="../printerSettings/printerSettings92.bin"/></Relationships>
</file>

<file path=xl/worksheets/_rels/sheet93.xml.rels><?xml version="1.0" encoding="UTF-8" standalone="yes"?>
<Relationships xmlns="http://schemas.openxmlformats.org/package/2006/relationships"><Relationship Id="rId1" Type="http://schemas.openxmlformats.org/officeDocument/2006/relationships/printerSettings" Target="../printerSettings/printerSettings9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dimension ref="A1:C190"/>
  <sheetViews>
    <sheetView workbookViewId="0">
      <selection activeCell="B19" sqref="B19"/>
    </sheetView>
  </sheetViews>
  <sheetFormatPr defaultRowHeight="12.5" x14ac:dyDescent="0.25"/>
  <sheetData>
    <row r="1" spans="1:3" x14ac:dyDescent="0.25">
      <c r="A1" t="s">
        <v>0</v>
      </c>
    </row>
    <row r="3" spans="1:3" x14ac:dyDescent="0.25">
      <c r="A3" t="s">
        <v>1</v>
      </c>
      <c r="C3" t="s">
        <v>2</v>
      </c>
    </row>
    <row r="4" spans="1:3" x14ac:dyDescent="0.25">
      <c r="A4" t="s">
        <v>3</v>
      </c>
      <c r="C4" t="s">
        <v>4</v>
      </c>
    </row>
    <row r="5" spans="1:3" x14ac:dyDescent="0.25">
      <c r="A5" t="s">
        <v>5</v>
      </c>
      <c r="C5" t="s">
        <v>6</v>
      </c>
    </row>
    <row r="6" spans="1:3" x14ac:dyDescent="0.25">
      <c r="A6" t="s">
        <v>7</v>
      </c>
      <c r="C6" t="s">
        <v>8</v>
      </c>
    </row>
    <row r="7" spans="1:3" x14ac:dyDescent="0.25">
      <c r="A7" t="s">
        <v>9</v>
      </c>
      <c r="C7" t="s">
        <v>10</v>
      </c>
    </row>
    <row r="8" spans="1:3" x14ac:dyDescent="0.25">
      <c r="A8" t="s">
        <v>11</v>
      </c>
      <c r="C8" t="s">
        <v>12</v>
      </c>
    </row>
    <row r="9" spans="1:3" x14ac:dyDescent="0.25">
      <c r="A9" t="s">
        <v>13</v>
      </c>
      <c r="C9" t="s">
        <v>14</v>
      </c>
    </row>
    <row r="10" spans="1:3" x14ac:dyDescent="0.25">
      <c r="A10" t="s">
        <v>15</v>
      </c>
      <c r="C10" t="s">
        <v>16</v>
      </c>
    </row>
    <row r="11" spans="1:3" x14ac:dyDescent="0.25">
      <c r="A11" t="s">
        <v>17</v>
      </c>
      <c r="C11" t="s">
        <v>18</v>
      </c>
    </row>
    <row r="12" spans="1:3" x14ac:dyDescent="0.25">
      <c r="A12" t="s">
        <v>19</v>
      </c>
      <c r="C12" t="s">
        <v>20</v>
      </c>
    </row>
    <row r="13" spans="1:3" x14ac:dyDescent="0.25">
      <c r="A13" t="s">
        <v>21</v>
      </c>
      <c r="C13" t="s">
        <v>9</v>
      </c>
    </row>
    <row r="14" spans="1:3" x14ac:dyDescent="0.25">
      <c r="A14" t="s">
        <v>22</v>
      </c>
      <c r="C14" t="s">
        <v>23</v>
      </c>
    </row>
    <row r="15" spans="1:3" x14ac:dyDescent="0.25">
      <c r="A15" t="s">
        <v>24</v>
      </c>
      <c r="C15" t="s">
        <v>17</v>
      </c>
    </row>
    <row r="16" spans="1:3" x14ac:dyDescent="0.25">
      <c r="A16" t="s">
        <v>25</v>
      </c>
      <c r="C16" t="s">
        <v>26</v>
      </c>
    </row>
    <row r="17" spans="1:3" x14ac:dyDescent="0.25">
      <c r="A17" t="s">
        <v>27</v>
      </c>
      <c r="C17" t="s">
        <v>28</v>
      </c>
    </row>
    <row r="18" spans="1:3" x14ac:dyDescent="0.25">
      <c r="A18" t="s">
        <v>29</v>
      </c>
      <c r="C18" t="s">
        <v>30</v>
      </c>
    </row>
    <row r="19" spans="1:3" x14ac:dyDescent="0.25">
      <c r="A19" t="s">
        <v>31</v>
      </c>
      <c r="B19" s="8"/>
      <c r="C19" t="s">
        <v>32</v>
      </c>
    </row>
    <row r="20" spans="1:3" x14ac:dyDescent="0.25">
      <c r="A20" t="s">
        <v>33</v>
      </c>
      <c r="C20" t="s">
        <v>34</v>
      </c>
    </row>
    <row r="21" spans="1:3" x14ac:dyDescent="0.25">
      <c r="A21" t="s">
        <v>35</v>
      </c>
      <c r="C21" t="s">
        <v>36</v>
      </c>
    </row>
    <row r="22" spans="1:3" x14ac:dyDescent="0.25">
      <c r="A22" t="s">
        <v>37</v>
      </c>
      <c r="C22" t="s">
        <v>38</v>
      </c>
    </row>
    <row r="23" spans="1:3" x14ac:dyDescent="0.25">
      <c r="A23" t="s">
        <v>39</v>
      </c>
      <c r="C23" t="s">
        <v>40</v>
      </c>
    </row>
    <row r="24" spans="1:3" x14ac:dyDescent="0.25">
      <c r="A24" t="s">
        <v>41</v>
      </c>
      <c r="C24" t="s">
        <v>42</v>
      </c>
    </row>
    <row r="25" spans="1:3" x14ac:dyDescent="0.25">
      <c r="A25" t="s">
        <v>43</v>
      </c>
      <c r="C25" t="s">
        <v>44</v>
      </c>
    </row>
    <row r="26" spans="1:3" x14ac:dyDescent="0.25">
      <c r="A26" t="s">
        <v>45</v>
      </c>
      <c r="C26" t="s">
        <v>46</v>
      </c>
    </row>
    <row r="27" spans="1:3" x14ac:dyDescent="0.25">
      <c r="A27" t="s">
        <v>47</v>
      </c>
      <c r="C27" t="s">
        <v>48</v>
      </c>
    </row>
    <row r="28" spans="1:3" x14ac:dyDescent="0.25">
      <c r="A28" t="s">
        <v>49</v>
      </c>
      <c r="C28" t="s">
        <v>50</v>
      </c>
    </row>
    <row r="29" spans="1:3" x14ac:dyDescent="0.25">
      <c r="A29" t="s">
        <v>51</v>
      </c>
      <c r="C29" t="s">
        <v>52</v>
      </c>
    </row>
    <row r="30" spans="1:3" x14ac:dyDescent="0.25">
      <c r="A30" t="s">
        <v>53</v>
      </c>
      <c r="C30" t="s">
        <v>54</v>
      </c>
    </row>
    <row r="31" spans="1:3" x14ac:dyDescent="0.25">
      <c r="A31" t="s">
        <v>55</v>
      </c>
      <c r="C31" t="s">
        <v>56</v>
      </c>
    </row>
    <row r="32" spans="1:3" x14ac:dyDescent="0.25">
      <c r="A32" t="s">
        <v>57</v>
      </c>
      <c r="C32" t="s">
        <v>58</v>
      </c>
    </row>
    <row r="33" spans="1:3" x14ac:dyDescent="0.25">
      <c r="A33" t="s">
        <v>59</v>
      </c>
      <c r="C33" t="s">
        <v>60</v>
      </c>
    </row>
    <row r="34" spans="1:3" x14ac:dyDescent="0.25">
      <c r="A34" t="s">
        <v>61</v>
      </c>
      <c r="C34" t="s">
        <v>62</v>
      </c>
    </row>
    <row r="35" spans="1:3" x14ac:dyDescent="0.25">
      <c r="A35" t="s">
        <v>63</v>
      </c>
      <c r="C35" t="s">
        <v>64</v>
      </c>
    </row>
    <row r="36" spans="1:3" x14ac:dyDescent="0.25">
      <c r="A36" t="s">
        <v>65</v>
      </c>
      <c r="C36" t="s">
        <v>66</v>
      </c>
    </row>
    <row r="37" spans="1:3" x14ac:dyDescent="0.25">
      <c r="A37" t="s">
        <v>67</v>
      </c>
      <c r="C37" t="s">
        <v>68</v>
      </c>
    </row>
    <row r="38" spans="1:3" x14ac:dyDescent="0.25">
      <c r="A38" t="s">
        <v>69</v>
      </c>
      <c r="C38" t="s">
        <v>70</v>
      </c>
    </row>
    <row r="39" spans="1:3" x14ac:dyDescent="0.25">
      <c r="A39" t="s">
        <v>71</v>
      </c>
      <c r="C39" t="s">
        <v>72</v>
      </c>
    </row>
    <row r="40" spans="1:3" x14ac:dyDescent="0.25">
      <c r="A40" t="s">
        <v>73</v>
      </c>
      <c r="C40" t="s">
        <v>74</v>
      </c>
    </row>
    <row r="41" spans="1:3" x14ac:dyDescent="0.25">
      <c r="A41" t="s">
        <v>75</v>
      </c>
      <c r="C41" t="s">
        <v>76</v>
      </c>
    </row>
    <row r="42" spans="1:3" x14ac:dyDescent="0.25">
      <c r="A42" t="s">
        <v>77</v>
      </c>
      <c r="C42" t="s">
        <v>78</v>
      </c>
    </row>
    <row r="43" spans="1:3" x14ac:dyDescent="0.25">
      <c r="A43" t="s">
        <v>79</v>
      </c>
    </row>
    <row r="44" spans="1:3" x14ac:dyDescent="0.25">
      <c r="A44" t="s">
        <v>80</v>
      </c>
    </row>
    <row r="45" spans="1:3" x14ac:dyDescent="0.25">
      <c r="A45" t="s">
        <v>81</v>
      </c>
    </row>
    <row r="46" spans="1:3" x14ac:dyDescent="0.25">
      <c r="A46" t="s">
        <v>82</v>
      </c>
    </row>
    <row r="47" spans="1:3" x14ac:dyDescent="0.25">
      <c r="A47" t="s">
        <v>83</v>
      </c>
    </row>
    <row r="48" spans="1:3" x14ac:dyDescent="0.25">
      <c r="A48" t="s">
        <v>84</v>
      </c>
    </row>
    <row r="49" spans="1:1" x14ac:dyDescent="0.25">
      <c r="A49" t="s">
        <v>85</v>
      </c>
    </row>
    <row r="50" spans="1:1" x14ac:dyDescent="0.25">
      <c r="A50" t="s">
        <v>86</v>
      </c>
    </row>
    <row r="51" spans="1:1" x14ac:dyDescent="0.25">
      <c r="A51" t="s">
        <v>87</v>
      </c>
    </row>
    <row r="52" spans="1:1" x14ac:dyDescent="0.25">
      <c r="A52" t="s">
        <v>88</v>
      </c>
    </row>
    <row r="53" spans="1:1" x14ac:dyDescent="0.25">
      <c r="A53" t="s">
        <v>89</v>
      </c>
    </row>
    <row r="54" spans="1:1" x14ac:dyDescent="0.25">
      <c r="A54" t="s">
        <v>90</v>
      </c>
    </row>
    <row r="55" spans="1:1" x14ac:dyDescent="0.25">
      <c r="A55" t="s">
        <v>91</v>
      </c>
    </row>
    <row r="56" spans="1:1" x14ac:dyDescent="0.25">
      <c r="A56" t="s">
        <v>92</v>
      </c>
    </row>
    <row r="57" spans="1:1" x14ac:dyDescent="0.25">
      <c r="A57" t="s">
        <v>93</v>
      </c>
    </row>
    <row r="58" spans="1:1" x14ac:dyDescent="0.25">
      <c r="A58" t="s">
        <v>94</v>
      </c>
    </row>
    <row r="59" spans="1:1" x14ac:dyDescent="0.25">
      <c r="A59" t="s">
        <v>95</v>
      </c>
    </row>
    <row r="60" spans="1:1" x14ac:dyDescent="0.25">
      <c r="A60" t="s">
        <v>96</v>
      </c>
    </row>
    <row r="61" spans="1:1" x14ac:dyDescent="0.25">
      <c r="A61" t="s">
        <v>97</v>
      </c>
    </row>
    <row r="62" spans="1:1" x14ac:dyDescent="0.25">
      <c r="A62" t="s">
        <v>98</v>
      </c>
    </row>
    <row r="63" spans="1:1" x14ac:dyDescent="0.25">
      <c r="A63" t="s">
        <v>99</v>
      </c>
    </row>
    <row r="64" spans="1:1" x14ac:dyDescent="0.25">
      <c r="A64" t="s">
        <v>100</v>
      </c>
    </row>
    <row r="65" spans="1:1" x14ac:dyDescent="0.25">
      <c r="A65" t="s">
        <v>101</v>
      </c>
    </row>
    <row r="66" spans="1:1" x14ac:dyDescent="0.25">
      <c r="A66" t="s">
        <v>102</v>
      </c>
    </row>
    <row r="67" spans="1:1" x14ac:dyDescent="0.25">
      <c r="A67" t="s">
        <v>103</v>
      </c>
    </row>
    <row r="68" spans="1:1" x14ac:dyDescent="0.25">
      <c r="A68" t="s">
        <v>104</v>
      </c>
    </row>
    <row r="69" spans="1:1" x14ac:dyDescent="0.25">
      <c r="A69" t="s">
        <v>105</v>
      </c>
    </row>
    <row r="70" spans="1:1" x14ac:dyDescent="0.25">
      <c r="A70" t="s">
        <v>106</v>
      </c>
    </row>
    <row r="71" spans="1:1" x14ac:dyDescent="0.25">
      <c r="A71" t="s">
        <v>107</v>
      </c>
    </row>
    <row r="72" spans="1:1" x14ac:dyDescent="0.25">
      <c r="A72" t="s">
        <v>108</v>
      </c>
    </row>
    <row r="73" spans="1:1" x14ac:dyDescent="0.25">
      <c r="A73" t="s">
        <v>109</v>
      </c>
    </row>
    <row r="74" spans="1:1" x14ac:dyDescent="0.25">
      <c r="A74" t="s">
        <v>110</v>
      </c>
    </row>
    <row r="75" spans="1:1" x14ac:dyDescent="0.25">
      <c r="A75" t="s">
        <v>111</v>
      </c>
    </row>
    <row r="76" spans="1:1" x14ac:dyDescent="0.25">
      <c r="A76" t="s">
        <v>112</v>
      </c>
    </row>
    <row r="77" spans="1:1" x14ac:dyDescent="0.25">
      <c r="A77" t="s">
        <v>113</v>
      </c>
    </row>
    <row r="78" spans="1:1" x14ac:dyDescent="0.25">
      <c r="A78" t="s">
        <v>114</v>
      </c>
    </row>
    <row r="79" spans="1:1" x14ac:dyDescent="0.25">
      <c r="A79" t="s">
        <v>115</v>
      </c>
    </row>
    <row r="80" spans="1:1" x14ac:dyDescent="0.25">
      <c r="A80" t="s">
        <v>116</v>
      </c>
    </row>
    <row r="81" spans="1:1" x14ac:dyDescent="0.25">
      <c r="A81" t="s">
        <v>117</v>
      </c>
    </row>
    <row r="82" spans="1:1" x14ac:dyDescent="0.25">
      <c r="A82" t="s">
        <v>118</v>
      </c>
    </row>
    <row r="83" spans="1:1" x14ac:dyDescent="0.25">
      <c r="A83" t="s">
        <v>119</v>
      </c>
    </row>
    <row r="84" spans="1:1" x14ac:dyDescent="0.25">
      <c r="A84" t="s">
        <v>120</v>
      </c>
    </row>
    <row r="85" spans="1:1" x14ac:dyDescent="0.25">
      <c r="A85" t="s">
        <v>121</v>
      </c>
    </row>
    <row r="86" spans="1:1" x14ac:dyDescent="0.25">
      <c r="A86" t="s">
        <v>122</v>
      </c>
    </row>
    <row r="87" spans="1:1" x14ac:dyDescent="0.25">
      <c r="A87" t="s">
        <v>123</v>
      </c>
    </row>
    <row r="88" spans="1:1" x14ac:dyDescent="0.25">
      <c r="A88" t="s">
        <v>124</v>
      </c>
    </row>
    <row r="89" spans="1:1" x14ac:dyDescent="0.25">
      <c r="A89" t="s">
        <v>125</v>
      </c>
    </row>
    <row r="90" spans="1:1" x14ac:dyDescent="0.25">
      <c r="A90" t="s">
        <v>126</v>
      </c>
    </row>
    <row r="91" spans="1:1" x14ac:dyDescent="0.25">
      <c r="A91" t="s">
        <v>127</v>
      </c>
    </row>
    <row r="92" spans="1:1" x14ac:dyDescent="0.25">
      <c r="A92" t="s">
        <v>128</v>
      </c>
    </row>
    <row r="93" spans="1:1" x14ac:dyDescent="0.25">
      <c r="A93" t="s">
        <v>129</v>
      </c>
    </row>
    <row r="94" spans="1:1" x14ac:dyDescent="0.25">
      <c r="A94" t="s">
        <v>130</v>
      </c>
    </row>
    <row r="95" spans="1:1" x14ac:dyDescent="0.25">
      <c r="A95" t="s">
        <v>131</v>
      </c>
    </row>
    <row r="96" spans="1:1" x14ac:dyDescent="0.25">
      <c r="A96" t="s">
        <v>132</v>
      </c>
    </row>
    <row r="97" spans="1:1" x14ac:dyDescent="0.25">
      <c r="A97" t="s">
        <v>133</v>
      </c>
    </row>
    <row r="98" spans="1:1" x14ac:dyDescent="0.25">
      <c r="A98" t="s">
        <v>134</v>
      </c>
    </row>
    <row r="99" spans="1:1" x14ac:dyDescent="0.25">
      <c r="A99" t="s">
        <v>135</v>
      </c>
    </row>
    <row r="100" spans="1:1" x14ac:dyDescent="0.25">
      <c r="A100" t="s">
        <v>136</v>
      </c>
    </row>
    <row r="101" spans="1:1" x14ac:dyDescent="0.25">
      <c r="A101" t="s">
        <v>137</v>
      </c>
    </row>
    <row r="102" spans="1:1" x14ac:dyDescent="0.25">
      <c r="A102" t="s">
        <v>138</v>
      </c>
    </row>
    <row r="103" spans="1:1" x14ac:dyDescent="0.25">
      <c r="A103" t="s">
        <v>139</v>
      </c>
    </row>
    <row r="104" spans="1:1" x14ac:dyDescent="0.25">
      <c r="A104" t="s">
        <v>140</v>
      </c>
    </row>
    <row r="105" spans="1:1" x14ac:dyDescent="0.25">
      <c r="A105" t="s">
        <v>141</v>
      </c>
    </row>
    <row r="106" spans="1:1" x14ac:dyDescent="0.25">
      <c r="A106" t="s">
        <v>142</v>
      </c>
    </row>
    <row r="107" spans="1:1" x14ac:dyDescent="0.25">
      <c r="A107" t="s">
        <v>143</v>
      </c>
    </row>
    <row r="108" spans="1:1" x14ac:dyDescent="0.25">
      <c r="A108" t="s">
        <v>144</v>
      </c>
    </row>
    <row r="109" spans="1:1" x14ac:dyDescent="0.25">
      <c r="A109" t="s">
        <v>145</v>
      </c>
    </row>
    <row r="110" spans="1:1" x14ac:dyDescent="0.25">
      <c r="A110" t="s">
        <v>146</v>
      </c>
    </row>
    <row r="111" spans="1:1" x14ac:dyDescent="0.25">
      <c r="A111" t="s">
        <v>147</v>
      </c>
    </row>
    <row r="112" spans="1:1" x14ac:dyDescent="0.25">
      <c r="A112" t="s">
        <v>148</v>
      </c>
    </row>
    <row r="113" spans="1:1" x14ac:dyDescent="0.25">
      <c r="A113" t="s">
        <v>149</v>
      </c>
    </row>
    <row r="114" spans="1:1" x14ac:dyDescent="0.25">
      <c r="A114" t="s">
        <v>150</v>
      </c>
    </row>
    <row r="115" spans="1:1" x14ac:dyDescent="0.25">
      <c r="A115" t="s">
        <v>151</v>
      </c>
    </row>
    <row r="116" spans="1:1" x14ac:dyDescent="0.25">
      <c r="A116" t="s">
        <v>152</v>
      </c>
    </row>
    <row r="117" spans="1:1" x14ac:dyDescent="0.25">
      <c r="A117" t="s">
        <v>153</v>
      </c>
    </row>
    <row r="118" spans="1:1" x14ac:dyDescent="0.25">
      <c r="A118" t="s">
        <v>154</v>
      </c>
    </row>
    <row r="119" spans="1:1" x14ac:dyDescent="0.25">
      <c r="A119" t="s">
        <v>155</v>
      </c>
    </row>
    <row r="120" spans="1:1" x14ac:dyDescent="0.25">
      <c r="A120" t="s">
        <v>156</v>
      </c>
    </row>
    <row r="121" spans="1:1" x14ac:dyDescent="0.25">
      <c r="A121" t="s">
        <v>157</v>
      </c>
    </row>
    <row r="122" spans="1:1" x14ac:dyDescent="0.25">
      <c r="A122" t="s">
        <v>158</v>
      </c>
    </row>
    <row r="123" spans="1:1" x14ac:dyDescent="0.25">
      <c r="A123" t="s">
        <v>159</v>
      </c>
    </row>
    <row r="124" spans="1:1" x14ac:dyDescent="0.25">
      <c r="A124" t="s">
        <v>160</v>
      </c>
    </row>
    <row r="125" spans="1:1" x14ac:dyDescent="0.25">
      <c r="A125" t="s">
        <v>161</v>
      </c>
    </row>
    <row r="126" spans="1:1" x14ac:dyDescent="0.25">
      <c r="A126" t="s">
        <v>162</v>
      </c>
    </row>
    <row r="127" spans="1:1" x14ac:dyDescent="0.25">
      <c r="A127" t="s">
        <v>163</v>
      </c>
    </row>
    <row r="128" spans="1:1" x14ac:dyDescent="0.25">
      <c r="A128" t="s">
        <v>164</v>
      </c>
    </row>
    <row r="129" spans="1:1" x14ac:dyDescent="0.25">
      <c r="A129" t="s">
        <v>165</v>
      </c>
    </row>
    <row r="130" spans="1:1" x14ac:dyDescent="0.25">
      <c r="A130" t="s">
        <v>166</v>
      </c>
    </row>
    <row r="131" spans="1:1" x14ac:dyDescent="0.25">
      <c r="A131" t="s">
        <v>167</v>
      </c>
    </row>
    <row r="132" spans="1:1" x14ac:dyDescent="0.25">
      <c r="A132" t="s">
        <v>168</v>
      </c>
    </row>
    <row r="133" spans="1:1" x14ac:dyDescent="0.25">
      <c r="A133" t="s">
        <v>169</v>
      </c>
    </row>
    <row r="134" spans="1:1" x14ac:dyDescent="0.25">
      <c r="A134" t="s">
        <v>170</v>
      </c>
    </row>
    <row r="135" spans="1:1" x14ac:dyDescent="0.25">
      <c r="A135" t="s">
        <v>171</v>
      </c>
    </row>
    <row r="136" spans="1:1" x14ac:dyDescent="0.25">
      <c r="A136" t="s">
        <v>172</v>
      </c>
    </row>
    <row r="137" spans="1:1" x14ac:dyDescent="0.25">
      <c r="A137" t="s">
        <v>173</v>
      </c>
    </row>
    <row r="138" spans="1:1" x14ac:dyDescent="0.25">
      <c r="A138" t="s">
        <v>174</v>
      </c>
    </row>
    <row r="139" spans="1:1" x14ac:dyDescent="0.25">
      <c r="A139" t="s">
        <v>175</v>
      </c>
    </row>
    <row r="140" spans="1:1" x14ac:dyDescent="0.25">
      <c r="A140" t="s">
        <v>176</v>
      </c>
    </row>
    <row r="141" spans="1:1" x14ac:dyDescent="0.25">
      <c r="A141" t="s">
        <v>177</v>
      </c>
    </row>
    <row r="142" spans="1:1" x14ac:dyDescent="0.25">
      <c r="A142" t="s">
        <v>178</v>
      </c>
    </row>
    <row r="143" spans="1:1" x14ac:dyDescent="0.25">
      <c r="A143" t="s">
        <v>179</v>
      </c>
    </row>
    <row r="144" spans="1:1" x14ac:dyDescent="0.25">
      <c r="A144" t="s">
        <v>180</v>
      </c>
    </row>
    <row r="145" spans="1:1" x14ac:dyDescent="0.25">
      <c r="A145" t="s">
        <v>181</v>
      </c>
    </row>
    <row r="146" spans="1:1" x14ac:dyDescent="0.25">
      <c r="A146" t="s">
        <v>182</v>
      </c>
    </row>
    <row r="147" spans="1:1" x14ac:dyDescent="0.25">
      <c r="A147" t="s">
        <v>183</v>
      </c>
    </row>
    <row r="148" spans="1:1" x14ac:dyDescent="0.25">
      <c r="A148" t="s">
        <v>184</v>
      </c>
    </row>
    <row r="149" spans="1:1" x14ac:dyDescent="0.25">
      <c r="A149" t="s">
        <v>185</v>
      </c>
    </row>
    <row r="150" spans="1:1" x14ac:dyDescent="0.25">
      <c r="A150" t="s">
        <v>186</v>
      </c>
    </row>
    <row r="151" spans="1:1" x14ac:dyDescent="0.25">
      <c r="A151" t="s">
        <v>187</v>
      </c>
    </row>
    <row r="152" spans="1:1" x14ac:dyDescent="0.25">
      <c r="A152" t="s">
        <v>188</v>
      </c>
    </row>
    <row r="153" spans="1:1" x14ac:dyDescent="0.25">
      <c r="A153" t="s">
        <v>189</v>
      </c>
    </row>
    <row r="154" spans="1:1" x14ac:dyDescent="0.25">
      <c r="A154" t="s">
        <v>190</v>
      </c>
    </row>
    <row r="155" spans="1:1" x14ac:dyDescent="0.25">
      <c r="A155" t="s">
        <v>191</v>
      </c>
    </row>
    <row r="156" spans="1:1" x14ac:dyDescent="0.25">
      <c r="A156" t="s">
        <v>192</v>
      </c>
    </row>
    <row r="157" spans="1:1" x14ac:dyDescent="0.25">
      <c r="A157" t="s">
        <v>193</v>
      </c>
    </row>
    <row r="158" spans="1:1" x14ac:dyDescent="0.25">
      <c r="A158" t="s">
        <v>194</v>
      </c>
    </row>
    <row r="159" spans="1:1" x14ac:dyDescent="0.25">
      <c r="A159" t="s">
        <v>195</v>
      </c>
    </row>
    <row r="160" spans="1:1" x14ac:dyDescent="0.25">
      <c r="A160" t="s">
        <v>196</v>
      </c>
    </row>
    <row r="161" spans="1:1" x14ac:dyDescent="0.25">
      <c r="A161" t="s">
        <v>197</v>
      </c>
    </row>
    <row r="162" spans="1:1" x14ac:dyDescent="0.25">
      <c r="A162" t="s">
        <v>198</v>
      </c>
    </row>
    <row r="163" spans="1:1" x14ac:dyDescent="0.25">
      <c r="A163" t="s">
        <v>199</v>
      </c>
    </row>
    <row r="164" spans="1:1" x14ac:dyDescent="0.25">
      <c r="A164" t="s">
        <v>200</v>
      </c>
    </row>
    <row r="165" spans="1:1" x14ac:dyDescent="0.25">
      <c r="A165" t="s">
        <v>201</v>
      </c>
    </row>
    <row r="166" spans="1:1" x14ac:dyDescent="0.25">
      <c r="A166" t="s">
        <v>202</v>
      </c>
    </row>
    <row r="167" spans="1:1" x14ac:dyDescent="0.25">
      <c r="A167" t="s">
        <v>203</v>
      </c>
    </row>
    <row r="168" spans="1:1" x14ac:dyDescent="0.25">
      <c r="A168" t="s">
        <v>204</v>
      </c>
    </row>
    <row r="169" spans="1:1" x14ac:dyDescent="0.25">
      <c r="A169" t="s">
        <v>205</v>
      </c>
    </row>
    <row r="170" spans="1:1" x14ac:dyDescent="0.25">
      <c r="A170" t="s">
        <v>206</v>
      </c>
    </row>
    <row r="171" spans="1:1" x14ac:dyDescent="0.25">
      <c r="A171" t="s">
        <v>207</v>
      </c>
    </row>
    <row r="172" spans="1:1" x14ac:dyDescent="0.25">
      <c r="A172" t="s">
        <v>208</v>
      </c>
    </row>
    <row r="173" spans="1:1" x14ac:dyDescent="0.25">
      <c r="A173" t="s">
        <v>209</v>
      </c>
    </row>
    <row r="174" spans="1:1" x14ac:dyDescent="0.25">
      <c r="A174" t="s">
        <v>210</v>
      </c>
    </row>
    <row r="175" spans="1:1" x14ac:dyDescent="0.25">
      <c r="A175" t="s">
        <v>211</v>
      </c>
    </row>
    <row r="176" spans="1:1" x14ac:dyDescent="0.25">
      <c r="A176" t="s">
        <v>212</v>
      </c>
    </row>
    <row r="177" spans="1:1" x14ac:dyDescent="0.25">
      <c r="A177" t="s">
        <v>213</v>
      </c>
    </row>
    <row r="178" spans="1:1" x14ac:dyDescent="0.25">
      <c r="A178" t="s">
        <v>214</v>
      </c>
    </row>
    <row r="179" spans="1:1" x14ac:dyDescent="0.25">
      <c r="A179" t="s">
        <v>215</v>
      </c>
    </row>
    <row r="180" spans="1:1" x14ac:dyDescent="0.25">
      <c r="A180" t="s">
        <v>216</v>
      </c>
    </row>
    <row r="181" spans="1:1" x14ac:dyDescent="0.25">
      <c r="A181" t="s">
        <v>217</v>
      </c>
    </row>
    <row r="182" spans="1:1" x14ac:dyDescent="0.25">
      <c r="A182" t="s">
        <v>218</v>
      </c>
    </row>
    <row r="183" spans="1:1" x14ac:dyDescent="0.25">
      <c r="A183" t="s">
        <v>219</v>
      </c>
    </row>
    <row r="184" spans="1:1" x14ac:dyDescent="0.25">
      <c r="A184" t="s">
        <v>220</v>
      </c>
    </row>
    <row r="185" spans="1:1" x14ac:dyDescent="0.25">
      <c r="A185" t="s">
        <v>221</v>
      </c>
    </row>
    <row r="186" spans="1:1" x14ac:dyDescent="0.25">
      <c r="A186" t="s">
        <v>222</v>
      </c>
    </row>
    <row r="187" spans="1:1" x14ac:dyDescent="0.25">
      <c r="A187" t="s">
        <v>223</v>
      </c>
    </row>
    <row r="188" spans="1:1" x14ac:dyDescent="0.25">
      <c r="A188" t="s">
        <v>224</v>
      </c>
    </row>
    <row r="189" spans="1:1" x14ac:dyDescent="0.25">
      <c r="A189" t="s">
        <v>225</v>
      </c>
    </row>
    <row r="190" spans="1:1" x14ac:dyDescent="0.25">
      <c r="A190" t="s">
        <v>226</v>
      </c>
    </row>
  </sheetData>
  <sheetProtection algorithmName="SHA-512" hashValue="l7sgAd/FOxSWS/LMHQH9tDi9s2OdpOiRTzS86MCJLG0WEofMlak6mWvafC09YvUzZtFvbUMka9tY3u85xRRU8A==" saltValue="OZq7woO9cz81xdLgt+wZyQ==" spinCount="100000" sheet="1" objects="1" scenarios="1"/>
  <pageMargins left="0.7" right="0.7" top="0.75" bottom="0.75" header="0.3" footer="0.3"/>
  <pageSetup paperSize="9" orientation="portrait" horizontalDpi="1200" verticalDpi="1200" r:id="rId1"/>
  <headerFooter>
    <oddHeader>&amp;L&amp;Z&amp;F  [&amp;A]</oddHeader>
    <oddFooter>&amp;LPage &amp;P of &amp;N&amp;R&amp;T &amp;D</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30"/>
  <dimension ref="A1:G68"/>
  <sheetViews>
    <sheetView showGridLines="0" zoomScale="85" zoomScaleNormal="85" workbookViewId="0">
      <selection activeCell="B18" sqref="B18"/>
    </sheetView>
  </sheetViews>
  <sheetFormatPr defaultColWidth="10" defaultRowHeight="12.5" x14ac:dyDescent="0.25"/>
  <cols>
    <col min="1" max="1" width="31.81640625" style="28" customWidth="1"/>
    <col min="2" max="4" width="22.81640625" style="28" customWidth="1"/>
    <col min="5" max="16384" width="10" style="28"/>
  </cols>
  <sheetData>
    <row r="1" spans="1:7" ht="20" x14ac:dyDescent="0.4">
      <c r="A1" s="40" t="s">
        <v>227</v>
      </c>
      <c r="B1" s="41"/>
      <c r="C1" s="41"/>
      <c r="D1" s="41"/>
      <c r="E1" s="41"/>
      <c r="F1" s="41"/>
      <c r="G1" s="41"/>
    </row>
    <row r="2" spans="1:7" ht="15.5" x14ac:dyDescent="0.35">
      <c r="A2" s="42" t="str">
        <f>IF(title="&gt; Enter workbook title here","Enter workbook title in Cover sheet",title)</f>
        <v>Fire Northern Ireland - Consolidated Factor Spreadsheet</v>
      </c>
      <c r="B2" s="43"/>
      <c r="C2" s="43"/>
      <c r="D2" s="43"/>
      <c r="E2" s="43"/>
      <c r="F2" s="43"/>
      <c r="G2" s="43"/>
    </row>
    <row r="3" spans="1:7" ht="15.5" x14ac:dyDescent="0.35">
      <c r="A3" s="44" t="str">
        <f>TABLE_FACTOR_TYPE_1&amp;" - x-"&amp;TABLE_SERIES_NUMBER_1</f>
        <v>CETV - x-202</v>
      </c>
      <c r="B3" s="43"/>
      <c r="C3" s="43"/>
      <c r="D3" s="43"/>
      <c r="E3" s="43"/>
      <c r="F3" s="43"/>
      <c r="G3" s="43"/>
    </row>
    <row r="4" spans="1:7" x14ac:dyDescent="0.25">
      <c r="A4" s="45"/>
    </row>
    <row r="6" spans="1:7" ht="13" x14ac:dyDescent="0.3">
      <c r="A6" s="155" t="s">
        <v>562</v>
      </c>
      <c r="B6" s="154" t="s">
        <v>563</v>
      </c>
      <c r="C6" s="154"/>
      <c r="D6" s="154"/>
    </row>
    <row r="7" spans="1:7" x14ac:dyDescent="0.25">
      <c r="A7" s="156" t="s">
        <v>305</v>
      </c>
      <c r="B7" s="154" t="s">
        <v>319</v>
      </c>
      <c r="C7" s="154"/>
      <c r="D7" s="154"/>
    </row>
    <row r="8" spans="1:7" x14ac:dyDescent="0.25">
      <c r="A8" s="156" t="s">
        <v>306</v>
      </c>
      <c r="B8" s="154" t="s">
        <v>320</v>
      </c>
      <c r="C8" s="154"/>
      <c r="D8" s="154"/>
    </row>
    <row r="9" spans="1:7" x14ac:dyDescent="0.25">
      <c r="A9" s="156" t="s">
        <v>307</v>
      </c>
      <c r="B9" s="154" t="s">
        <v>321</v>
      </c>
      <c r="C9" s="154"/>
      <c r="D9" s="154"/>
    </row>
    <row r="10" spans="1:7" x14ac:dyDescent="0.25">
      <c r="A10" s="156" t="s">
        <v>233</v>
      </c>
      <c r="B10" s="154" t="s">
        <v>322</v>
      </c>
      <c r="C10" s="154"/>
      <c r="D10" s="154"/>
    </row>
    <row r="11" spans="1:7" x14ac:dyDescent="0.25">
      <c r="A11" s="156" t="s">
        <v>308</v>
      </c>
      <c r="B11" s="154" t="s">
        <v>329</v>
      </c>
      <c r="C11" s="154"/>
      <c r="D11" s="154"/>
    </row>
    <row r="12" spans="1:7" x14ac:dyDescent="0.25">
      <c r="A12" s="156" t="s">
        <v>309</v>
      </c>
      <c r="B12" s="154" t="s">
        <v>324</v>
      </c>
      <c r="C12" s="154"/>
      <c r="D12" s="154"/>
    </row>
    <row r="13" spans="1:7" x14ac:dyDescent="0.25">
      <c r="A13" s="156" t="s">
        <v>570</v>
      </c>
      <c r="B13" s="154">
        <v>2</v>
      </c>
      <c r="C13" s="154"/>
      <c r="D13" s="154"/>
    </row>
    <row r="14" spans="1:7" x14ac:dyDescent="0.25">
      <c r="A14" s="156" t="s">
        <v>311</v>
      </c>
      <c r="B14" s="154">
        <v>202</v>
      </c>
      <c r="C14" s="154"/>
      <c r="D14" s="154"/>
    </row>
    <row r="15" spans="1:7" x14ac:dyDescent="0.25">
      <c r="A15" s="156" t="s">
        <v>573</v>
      </c>
      <c r="B15" s="154" t="s">
        <v>330</v>
      </c>
      <c r="C15" s="154"/>
      <c r="D15" s="154"/>
    </row>
    <row r="16" spans="1:7" x14ac:dyDescent="0.25">
      <c r="A16" s="156" t="s">
        <v>313</v>
      </c>
      <c r="B16" s="154" t="s">
        <v>331</v>
      </c>
      <c r="C16" s="154"/>
      <c r="D16" s="154"/>
    </row>
    <row r="17" spans="1:4" ht="67.400000000000006" customHeight="1" x14ac:dyDescent="0.25">
      <c r="A17" s="156" t="s">
        <v>642</v>
      </c>
      <c r="B17" s="154"/>
      <c r="C17" s="154"/>
      <c r="D17" s="154"/>
    </row>
    <row r="18" spans="1:4" x14ac:dyDescent="0.25">
      <c r="A18" s="156" t="s">
        <v>315</v>
      </c>
      <c r="B18" s="157">
        <v>45070</v>
      </c>
      <c r="C18" s="154"/>
      <c r="D18" s="154"/>
    </row>
    <row r="19" spans="1:4" x14ac:dyDescent="0.25">
      <c r="A19" s="156" t="s">
        <v>316</v>
      </c>
      <c r="B19" s="157">
        <v>45014</v>
      </c>
      <c r="C19" s="154"/>
      <c r="D19" s="154"/>
    </row>
    <row r="20" spans="1:4" x14ac:dyDescent="0.25">
      <c r="A20" s="156" t="s">
        <v>317</v>
      </c>
      <c r="B20" s="154" t="s">
        <v>327</v>
      </c>
      <c r="C20" s="154"/>
      <c r="D20" s="154"/>
    </row>
    <row r="21" spans="1:4" x14ac:dyDescent="0.25">
      <c r="A21" s="77" t="s">
        <v>318</v>
      </c>
      <c r="B21" s="154" t="s">
        <v>328</v>
      </c>
      <c r="C21" s="154"/>
      <c r="D21" s="154"/>
    </row>
    <row r="23" spans="1:4" x14ac:dyDescent="0.25">
      <c r="B23" s="91" t="str">
        <f>HYPERLINK("#'Factor List'!A1","Back to Factor List")</f>
        <v>Back to Factor List</v>
      </c>
    </row>
    <row r="24" spans="1:4" x14ac:dyDescent="0.25">
      <c r="B24" s="91" t="s">
        <v>240</v>
      </c>
    </row>
    <row r="25" spans="1:4" x14ac:dyDescent="0.25">
      <c r="B25" s="91"/>
    </row>
    <row r="26" spans="1:4" ht="26" x14ac:dyDescent="0.25">
      <c r="A26" s="87" t="s">
        <v>643</v>
      </c>
      <c r="B26" s="87" t="s">
        <v>644</v>
      </c>
      <c r="C26" s="87" t="s">
        <v>645</v>
      </c>
      <c r="D26" s="87" t="s">
        <v>647</v>
      </c>
    </row>
    <row r="27" spans="1:4" x14ac:dyDescent="0.25">
      <c r="A27" s="88">
        <v>18</v>
      </c>
      <c r="B27" s="89">
        <v>10.87</v>
      </c>
      <c r="C27" s="89">
        <v>2.37</v>
      </c>
      <c r="D27" s="89">
        <v>0</v>
      </c>
    </row>
    <row r="28" spans="1:4" x14ac:dyDescent="0.25">
      <c r="A28" s="88">
        <v>19</v>
      </c>
      <c r="B28" s="89">
        <v>11.02</v>
      </c>
      <c r="C28" s="89">
        <v>2.4700000000000002</v>
      </c>
      <c r="D28" s="89">
        <v>0</v>
      </c>
    </row>
    <row r="29" spans="1:4" x14ac:dyDescent="0.25">
      <c r="A29" s="88">
        <v>20</v>
      </c>
      <c r="B29" s="89">
        <v>11.18</v>
      </c>
      <c r="C29" s="89">
        <v>2.52</v>
      </c>
      <c r="D29" s="89">
        <v>0</v>
      </c>
    </row>
    <row r="30" spans="1:4" x14ac:dyDescent="0.25">
      <c r="A30" s="88">
        <v>21</v>
      </c>
      <c r="B30" s="89">
        <v>11.34</v>
      </c>
      <c r="C30" s="89">
        <v>2.56</v>
      </c>
      <c r="D30" s="89">
        <v>0</v>
      </c>
    </row>
    <row r="31" spans="1:4" x14ac:dyDescent="0.25">
      <c r="A31" s="88">
        <v>22</v>
      </c>
      <c r="B31" s="89">
        <v>11.51</v>
      </c>
      <c r="C31" s="89">
        <v>2.6</v>
      </c>
      <c r="D31" s="89">
        <v>0</v>
      </c>
    </row>
    <row r="32" spans="1:4" x14ac:dyDescent="0.25">
      <c r="A32" s="88">
        <v>23</v>
      </c>
      <c r="B32" s="89">
        <v>11.67</v>
      </c>
      <c r="C32" s="89">
        <v>2.64</v>
      </c>
      <c r="D32" s="89">
        <v>0</v>
      </c>
    </row>
    <row r="33" spans="1:4" x14ac:dyDescent="0.25">
      <c r="A33" s="88">
        <v>24</v>
      </c>
      <c r="B33" s="89">
        <v>11.84</v>
      </c>
      <c r="C33" s="89">
        <v>2.68</v>
      </c>
      <c r="D33" s="89">
        <v>0</v>
      </c>
    </row>
    <row r="34" spans="1:4" x14ac:dyDescent="0.25">
      <c r="A34" s="88">
        <v>25</v>
      </c>
      <c r="B34" s="89">
        <v>12.01</v>
      </c>
      <c r="C34" s="89">
        <v>2.73</v>
      </c>
      <c r="D34" s="89">
        <v>0</v>
      </c>
    </row>
    <row r="35" spans="1:4" x14ac:dyDescent="0.25">
      <c r="A35" s="88">
        <v>26</v>
      </c>
      <c r="B35" s="89">
        <v>12.19</v>
      </c>
      <c r="C35" s="89">
        <v>2.77</v>
      </c>
      <c r="D35" s="89">
        <v>0</v>
      </c>
    </row>
    <row r="36" spans="1:4" x14ac:dyDescent="0.25">
      <c r="A36" s="88">
        <v>27</v>
      </c>
      <c r="B36" s="89">
        <v>12.36</v>
      </c>
      <c r="C36" s="89">
        <v>2.81</v>
      </c>
      <c r="D36" s="89">
        <v>0</v>
      </c>
    </row>
    <row r="37" spans="1:4" x14ac:dyDescent="0.25">
      <c r="A37" s="88">
        <v>28</v>
      </c>
      <c r="B37" s="89">
        <v>12.54</v>
      </c>
      <c r="C37" s="89">
        <v>2.86</v>
      </c>
      <c r="D37" s="89">
        <v>0</v>
      </c>
    </row>
    <row r="38" spans="1:4" x14ac:dyDescent="0.25">
      <c r="A38" s="88">
        <v>29</v>
      </c>
      <c r="B38" s="89">
        <v>12.73</v>
      </c>
      <c r="C38" s="89">
        <v>2.9</v>
      </c>
      <c r="D38" s="89">
        <v>0</v>
      </c>
    </row>
    <row r="39" spans="1:4" x14ac:dyDescent="0.25">
      <c r="A39" s="88">
        <v>30</v>
      </c>
      <c r="B39" s="89">
        <v>12.91</v>
      </c>
      <c r="C39" s="89">
        <v>2.94</v>
      </c>
      <c r="D39" s="89">
        <v>0</v>
      </c>
    </row>
    <row r="40" spans="1:4" x14ac:dyDescent="0.25">
      <c r="A40" s="88">
        <v>31</v>
      </c>
      <c r="B40" s="89">
        <v>13.1</v>
      </c>
      <c r="C40" s="89">
        <v>2.99</v>
      </c>
      <c r="D40" s="89">
        <v>0</v>
      </c>
    </row>
    <row r="41" spans="1:4" x14ac:dyDescent="0.25">
      <c r="A41" s="88">
        <v>32</v>
      </c>
      <c r="B41" s="89">
        <v>13.3</v>
      </c>
      <c r="C41" s="89">
        <v>3.03</v>
      </c>
      <c r="D41" s="89">
        <v>0</v>
      </c>
    </row>
    <row r="42" spans="1:4" x14ac:dyDescent="0.25">
      <c r="A42" s="88">
        <v>33</v>
      </c>
      <c r="B42" s="89">
        <v>13.49</v>
      </c>
      <c r="C42" s="89">
        <v>3.07</v>
      </c>
      <c r="D42" s="89">
        <v>0</v>
      </c>
    </row>
    <row r="43" spans="1:4" x14ac:dyDescent="0.25">
      <c r="A43" s="88">
        <v>34</v>
      </c>
      <c r="B43" s="89">
        <v>13.69</v>
      </c>
      <c r="C43" s="89">
        <v>3.11</v>
      </c>
      <c r="D43" s="89">
        <v>0</v>
      </c>
    </row>
    <row r="44" spans="1:4" x14ac:dyDescent="0.25">
      <c r="A44" s="88">
        <v>35</v>
      </c>
      <c r="B44" s="89">
        <v>13.89</v>
      </c>
      <c r="C44" s="89">
        <v>3.15</v>
      </c>
      <c r="D44" s="89">
        <v>0</v>
      </c>
    </row>
    <row r="45" spans="1:4" x14ac:dyDescent="0.25">
      <c r="A45" s="88">
        <v>36</v>
      </c>
      <c r="B45" s="89">
        <v>14.1</v>
      </c>
      <c r="C45" s="89">
        <v>3.19</v>
      </c>
      <c r="D45" s="89">
        <v>0</v>
      </c>
    </row>
    <row r="46" spans="1:4" x14ac:dyDescent="0.25">
      <c r="A46" s="88">
        <v>37</v>
      </c>
      <c r="B46" s="89">
        <v>14.31</v>
      </c>
      <c r="C46" s="89">
        <v>3.23</v>
      </c>
      <c r="D46" s="89">
        <v>0</v>
      </c>
    </row>
    <row r="47" spans="1:4" x14ac:dyDescent="0.25">
      <c r="A47" s="88">
        <v>38</v>
      </c>
      <c r="B47" s="89">
        <v>14.53</v>
      </c>
      <c r="C47" s="89">
        <v>3.27</v>
      </c>
      <c r="D47" s="89">
        <v>0</v>
      </c>
    </row>
    <row r="48" spans="1:4" x14ac:dyDescent="0.25">
      <c r="A48" s="88">
        <v>39</v>
      </c>
      <c r="B48" s="89">
        <v>14.75</v>
      </c>
      <c r="C48" s="89">
        <v>3.31</v>
      </c>
      <c r="D48" s="89">
        <v>0</v>
      </c>
    </row>
    <row r="49" spans="1:4" x14ac:dyDescent="0.25">
      <c r="A49" s="88">
        <v>40</v>
      </c>
      <c r="B49" s="89">
        <v>14.97</v>
      </c>
      <c r="C49" s="89">
        <v>3.35</v>
      </c>
      <c r="D49" s="89">
        <v>0</v>
      </c>
    </row>
    <row r="50" spans="1:4" x14ac:dyDescent="0.25">
      <c r="A50" s="88">
        <v>41</v>
      </c>
      <c r="B50" s="89">
        <v>15.2</v>
      </c>
      <c r="C50" s="89">
        <v>3.39</v>
      </c>
      <c r="D50" s="89">
        <v>0</v>
      </c>
    </row>
    <row r="51" spans="1:4" x14ac:dyDescent="0.25">
      <c r="A51" s="88">
        <v>42</v>
      </c>
      <c r="B51" s="89">
        <v>15.43</v>
      </c>
      <c r="C51" s="89">
        <v>3.43</v>
      </c>
      <c r="D51" s="89">
        <v>0</v>
      </c>
    </row>
    <row r="52" spans="1:4" x14ac:dyDescent="0.25">
      <c r="A52" s="88">
        <v>43</v>
      </c>
      <c r="B52" s="89">
        <v>15.67</v>
      </c>
      <c r="C52" s="89">
        <v>3.46</v>
      </c>
      <c r="D52" s="89">
        <v>0</v>
      </c>
    </row>
    <row r="53" spans="1:4" x14ac:dyDescent="0.25">
      <c r="A53" s="88">
        <v>44</v>
      </c>
      <c r="B53" s="89">
        <v>15.91</v>
      </c>
      <c r="C53" s="89">
        <v>3.49</v>
      </c>
      <c r="D53" s="89">
        <v>0</v>
      </c>
    </row>
    <row r="54" spans="1:4" x14ac:dyDescent="0.25">
      <c r="A54" s="88">
        <v>45</v>
      </c>
      <c r="B54" s="89">
        <v>16.16</v>
      </c>
      <c r="C54" s="89">
        <v>3.53</v>
      </c>
      <c r="D54" s="89">
        <v>0</v>
      </c>
    </row>
    <row r="55" spans="1:4" x14ac:dyDescent="0.25">
      <c r="A55" s="88">
        <v>46</v>
      </c>
      <c r="B55" s="89">
        <v>16.420000000000002</v>
      </c>
      <c r="C55" s="89">
        <v>3.56</v>
      </c>
      <c r="D55" s="89">
        <v>0</v>
      </c>
    </row>
    <row r="56" spans="1:4" x14ac:dyDescent="0.25">
      <c r="A56" s="88">
        <v>47</v>
      </c>
      <c r="B56" s="89">
        <v>16.68</v>
      </c>
      <c r="C56" s="89">
        <v>3.59</v>
      </c>
      <c r="D56" s="89">
        <v>0</v>
      </c>
    </row>
    <row r="57" spans="1:4" x14ac:dyDescent="0.25">
      <c r="A57" s="88">
        <v>48</v>
      </c>
      <c r="B57" s="89">
        <v>16.940000000000001</v>
      </c>
      <c r="C57" s="89">
        <v>3.62</v>
      </c>
      <c r="D57" s="89">
        <v>0</v>
      </c>
    </row>
    <row r="58" spans="1:4" x14ac:dyDescent="0.25">
      <c r="A58" s="88">
        <v>49</v>
      </c>
      <c r="B58" s="89">
        <v>17.22</v>
      </c>
      <c r="C58" s="89">
        <v>3.64</v>
      </c>
      <c r="D58" s="89">
        <v>0</v>
      </c>
    </row>
    <row r="59" spans="1:4" x14ac:dyDescent="0.25">
      <c r="A59" s="88">
        <v>50</v>
      </c>
      <c r="B59" s="89">
        <v>17.5</v>
      </c>
      <c r="C59" s="89">
        <v>3.67</v>
      </c>
      <c r="D59" s="89">
        <v>0</v>
      </c>
    </row>
    <row r="60" spans="1:4" x14ac:dyDescent="0.25">
      <c r="A60" s="88">
        <v>51</v>
      </c>
      <c r="B60" s="89">
        <v>17.79</v>
      </c>
      <c r="C60" s="89">
        <v>3.69</v>
      </c>
      <c r="D60" s="89">
        <v>0</v>
      </c>
    </row>
    <row r="61" spans="1:4" x14ac:dyDescent="0.25">
      <c r="A61" s="88">
        <v>52</v>
      </c>
      <c r="B61" s="89">
        <v>18.09</v>
      </c>
      <c r="C61" s="89">
        <v>3.72</v>
      </c>
      <c r="D61" s="89">
        <v>0</v>
      </c>
    </row>
    <row r="62" spans="1:4" x14ac:dyDescent="0.25">
      <c r="A62" s="88">
        <v>53</v>
      </c>
      <c r="B62" s="89">
        <v>18.39</v>
      </c>
      <c r="C62" s="89">
        <v>3.74</v>
      </c>
      <c r="D62" s="89">
        <v>0</v>
      </c>
    </row>
    <row r="63" spans="1:4" x14ac:dyDescent="0.25">
      <c r="A63" s="88">
        <v>54</v>
      </c>
      <c r="B63" s="89">
        <v>18.71</v>
      </c>
      <c r="C63" s="89">
        <v>3.76</v>
      </c>
      <c r="D63" s="89">
        <v>0</v>
      </c>
    </row>
    <row r="64" spans="1:4" x14ac:dyDescent="0.25">
      <c r="A64" s="88">
        <v>55</v>
      </c>
      <c r="B64" s="89">
        <v>19.03</v>
      </c>
      <c r="C64" s="89">
        <v>3.78</v>
      </c>
      <c r="D64" s="89">
        <v>0</v>
      </c>
    </row>
    <row r="65" spans="1:4" x14ac:dyDescent="0.25">
      <c r="A65" s="88">
        <v>56</v>
      </c>
      <c r="B65" s="89">
        <v>19.36</v>
      </c>
      <c r="C65" s="89">
        <v>3.79</v>
      </c>
      <c r="D65" s="89">
        <v>0</v>
      </c>
    </row>
    <row r="66" spans="1:4" x14ac:dyDescent="0.25">
      <c r="A66" s="88">
        <v>57</v>
      </c>
      <c r="B66" s="89">
        <v>19.71</v>
      </c>
      <c r="C66" s="89">
        <v>3.81</v>
      </c>
      <c r="D66" s="89">
        <v>0</v>
      </c>
    </row>
    <row r="67" spans="1:4" x14ac:dyDescent="0.25">
      <c r="A67" s="88">
        <v>58</v>
      </c>
      <c r="B67" s="89">
        <v>20.07</v>
      </c>
      <c r="C67" s="89">
        <v>3.82</v>
      </c>
      <c r="D67" s="89">
        <v>0</v>
      </c>
    </row>
    <row r="68" spans="1:4" x14ac:dyDescent="0.25">
      <c r="A68" s="88">
        <v>59</v>
      </c>
      <c r="B68" s="89">
        <v>20.440000000000001</v>
      </c>
      <c r="C68" s="89">
        <v>3.83</v>
      </c>
      <c r="D68" s="89">
        <v>0</v>
      </c>
    </row>
  </sheetData>
  <sheetProtection algorithmName="SHA-512" hashValue="KLVoGCjOr9zyT+lEcRmyDYrozSJh0Cq0wW78MbsgBX/EkQ9isWcrCT3wWruCDcwKsyJpo13Ga2ge7GtLBj2cZQ==" saltValue="9mImK2i4vjlDDgoclyVA2A==" spinCount="100000" sheet="1" objects="1" scenarios="1"/>
  <conditionalFormatting sqref="A6:A16 A18:A20">
    <cfRule type="expression" dxfId="1607" priority="31" stopIfTrue="1">
      <formula>MOD(ROW(),2)=0</formula>
    </cfRule>
    <cfRule type="expression" dxfId="1606" priority="32" stopIfTrue="1">
      <formula>MOD(ROW(),2)&lt;&gt;0</formula>
    </cfRule>
  </conditionalFormatting>
  <conditionalFormatting sqref="B6:D21">
    <cfRule type="expression" dxfId="1605" priority="33" stopIfTrue="1">
      <formula>MOD(ROW(),2)=0</formula>
    </cfRule>
    <cfRule type="expression" dxfId="1604" priority="34" stopIfTrue="1">
      <formula>MOD(ROW(),2)&lt;&gt;0</formula>
    </cfRule>
  </conditionalFormatting>
  <conditionalFormatting sqref="B17">
    <cfRule type="expression" dxfId="1603" priority="23" stopIfTrue="1">
      <formula>MOD(ROW(),2)=0</formula>
    </cfRule>
    <cfRule type="expression" dxfId="1602" priority="24" stopIfTrue="1">
      <formula>MOD(ROW(),2)&lt;&gt;0</formula>
    </cfRule>
  </conditionalFormatting>
  <conditionalFormatting sqref="A17">
    <cfRule type="expression" dxfId="1601" priority="25" stopIfTrue="1">
      <formula>MOD(ROW(),2)=0</formula>
    </cfRule>
    <cfRule type="expression" dxfId="1600" priority="26" stopIfTrue="1">
      <formula>MOD(ROW(),2)&lt;&gt;0</formula>
    </cfRule>
  </conditionalFormatting>
  <conditionalFormatting sqref="A26:A68">
    <cfRule type="expression" dxfId="1599" priority="11" stopIfTrue="1">
      <formula>MOD(ROW(),2)=0</formula>
    </cfRule>
    <cfRule type="expression" dxfId="1598" priority="12" stopIfTrue="1">
      <formula>MOD(ROW(),2)&lt;&gt;0</formula>
    </cfRule>
  </conditionalFormatting>
  <conditionalFormatting sqref="B26:D68">
    <cfRule type="expression" dxfId="1597" priority="13" stopIfTrue="1">
      <formula>MOD(ROW(),2)=0</formula>
    </cfRule>
    <cfRule type="expression" dxfId="1596" priority="14" stopIfTrue="1">
      <formula>MOD(ROW(),2)&lt;&gt;0</formula>
    </cfRule>
  </conditionalFormatting>
  <conditionalFormatting sqref="B18:D19 B20">
    <cfRule type="expression" dxfId="1595" priority="9" stopIfTrue="1">
      <formula>MOD(ROW(),2)=0</formula>
    </cfRule>
    <cfRule type="expression" dxfId="1594" priority="10" stopIfTrue="1">
      <formula>MOD(ROW(),2)&lt;&gt;0</formula>
    </cfRule>
  </conditionalFormatting>
  <conditionalFormatting sqref="C17:D17">
    <cfRule type="expression" dxfId="1593" priority="7" stopIfTrue="1">
      <formula>MOD(ROW(),2)=0</formula>
    </cfRule>
    <cfRule type="expression" dxfId="1592" priority="8" stopIfTrue="1">
      <formula>MOD(ROW(),2)&lt;&gt;0</formula>
    </cfRule>
  </conditionalFormatting>
  <conditionalFormatting sqref="A21">
    <cfRule type="expression" dxfId="1591" priority="3" stopIfTrue="1">
      <formula>MOD(ROW(),2)=0</formula>
    </cfRule>
    <cfRule type="expression" dxfId="1590" priority="4" stopIfTrue="1">
      <formula>MOD(ROW(),2)&lt;&gt;0</formula>
    </cfRule>
  </conditionalFormatting>
  <conditionalFormatting sqref="B21">
    <cfRule type="expression" dxfId="1589" priority="1" stopIfTrue="1">
      <formula>MOD(ROW(),2)=0</formula>
    </cfRule>
    <cfRule type="expression" dxfId="1588" priority="2" stopIfTrue="1">
      <formula>MOD(ROW(),2)&lt;&gt;0</formula>
    </cfRule>
  </conditionalFormatting>
  <hyperlinks>
    <hyperlink ref="B24" location="Assumptions!A1" display="Assumptions" xr:uid="{697D86BB-DF1E-4022-925F-DF754A2A9E44}"/>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31"/>
  <dimension ref="A1:G73"/>
  <sheetViews>
    <sheetView showGridLines="0" zoomScale="85" zoomScaleNormal="85" workbookViewId="0">
      <selection activeCell="B18" sqref="B18"/>
    </sheetView>
  </sheetViews>
  <sheetFormatPr defaultColWidth="10" defaultRowHeight="12.5" x14ac:dyDescent="0.25"/>
  <cols>
    <col min="1" max="1" width="31.81640625" style="28" customWidth="1"/>
    <col min="2" max="3" width="22.81640625" style="28" customWidth="1"/>
    <col min="4" max="16384" width="10" style="28"/>
  </cols>
  <sheetData>
    <row r="1" spans="1:7" ht="20" x14ac:dyDescent="0.4">
      <c r="A1" s="40" t="s">
        <v>227</v>
      </c>
      <c r="B1" s="41"/>
      <c r="C1" s="41"/>
      <c r="D1" s="41"/>
      <c r="E1" s="41"/>
      <c r="F1" s="41"/>
      <c r="G1" s="41"/>
    </row>
    <row r="2" spans="1:7" ht="15.5" x14ac:dyDescent="0.35">
      <c r="A2" s="42" t="str">
        <f>IF(title="&gt; Enter workbook title here","Enter workbook title in Cover sheet",title)</f>
        <v>Fire Northern Ireland - Consolidated Factor Spreadsheet</v>
      </c>
      <c r="B2" s="43"/>
      <c r="C2" s="43"/>
      <c r="D2" s="43"/>
      <c r="E2" s="43"/>
      <c r="F2" s="43"/>
      <c r="G2" s="43"/>
    </row>
    <row r="3" spans="1:7" ht="15.5" x14ac:dyDescent="0.35">
      <c r="A3" s="44" t="str">
        <f>TABLE_FACTOR_TYPE_1&amp;" - x-"&amp;TABLE_SERIES_NUMBER_1</f>
        <v>CETV - x-203</v>
      </c>
      <c r="B3" s="43"/>
      <c r="C3" s="43"/>
      <c r="D3" s="43"/>
      <c r="E3" s="43"/>
      <c r="F3" s="43"/>
      <c r="G3" s="43"/>
    </row>
    <row r="4" spans="1:7" x14ac:dyDescent="0.25">
      <c r="A4" s="45"/>
    </row>
    <row r="6" spans="1:7" ht="13" x14ac:dyDescent="0.3">
      <c r="A6" s="155" t="s">
        <v>562</v>
      </c>
      <c r="B6" s="154" t="s">
        <v>563</v>
      </c>
      <c r="C6" s="154"/>
    </row>
    <row r="7" spans="1:7" x14ac:dyDescent="0.25">
      <c r="A7" s="156" t="s">
        <v>305</v>
      </c>
      <c r="B7" s="154" t="s">
        <v>319</v>
      </c>
      <c r="C7" s="154"/>
    </row>
    <row r="8" spans="1:7" x14ac:dyDescent="0.25">
      <c r="A8" s="156" t="s">
        <v>306</v>
      </c>
      <c r="B8" s="154" t="s">
        <v>332</v>
      </c>
      <c r="C8" s="154"/>
    </row>
    <row r="9" spans="1:7" x14ac:dyDescent="0.25">
      <c r="A9" s="156" t="s">
        <v>307</v>
      </c>
      <c r="B9" s="154" t="s">
        <v>321</v>
      </c>
      <c r="C9" s="154"/>
    </row>
    <row r="10" spans="1:7" x14ac:dyDescent="0.25">
      <c r="A10" s="156" t="s">
        <v>233</v>
      </c>
      <c r="B10" s="154" t="s">
        <v>333</v>
      </c>
      <c r="C10" s="154"/>
    </row>
    <row r="11" spans="1:7" x14ac:dyDescent="0.25">
      <c r="A11" s="156" t="s">
        <v>308</v>
      </c>
      <c r="B11" s="154" t="s">
        <v>323</v>
      </c>
      <c r="C11" s="154"/>
    </row>
    <row r="12" spans="1:7" x14ac:dyDescent="0.25">
      <c r="A12" s="156" t="s">
        <v>309</v>
      </c>
      <c r="B12" s="154" t="s">
        <v>324</v>
      </c>
      <c r="C12" s="154"/>
    </row>
    <row r="13" spans="1:7" x14ac:dyDescent="0.25">
      <c r="A13" s="156" t="s">
        <v>570</v>
      </c>
      <c r="B13" s="154">
        <v>1</v>
      </c>
      <c r="C13" s="154"/>
    </row>
    <row r="14" spans="1:7" x14ac:dyDescent="0.25">
      <c r="A14" s="156" t="s">
        <v>311</v>
      </c>
      <c r="B14" s="154">
        <v>203</v>
      </c>
      <c r="C14" s="154"/>
    </row>
    <row r="15" spans="1:7" x14ac:dyDescent="0.25">
      <c r="A15" s="156" t="s">
        <v>573</v>
      </c>
      <c r="B15" s="154" t="s">
        <v>334</v>
      </c>
      <c r="C15" s="154"/>
    </row>
    <row r="16" spans="1:7" x14ac:dyDescent="0.25">
      <c r="A16" s="156" t="s">
        <v>313</v>
      </c>
      <c r="B16" s="154" t="s">
        <v>326</v>
      </c>
      <c r="C16" s="154"/>
    </row>
    <row r="17" spans="1:4" ht="81.650000000000006" customHeight="1" x14ac:dyDescent="0.25">
      <c r="A17" s="156" t="s">
        <v>642</v>
      </c>
      <c r="B17" s="154"/>
      <c r="C17" s="154"/>
      <c r="D17" s="73"/>
    </row>
    <row r="18" spans="1:4" x14ac:dyDescent="0.25">
      <c r="A18" s="156" t="s">
        <v>315</v>
      </c>
      <c r="B18" s="157">
        <v>45070</v>
      </c>
      <c r="C18" s="154"/>
    </row>
    <row r="19" spans="1:4" x14ac:dyDescent="0.25">
      <c r="A19" s="156" t="s">
        <v>316</v>
      </c>
      <c r="B19" s="157">
        <v>45014</v>
      </c>
      <c r="C19" s="154"/>
    </row>
    <row r="20" spans="1:4" x14ac:dyDescent="0.25">
      <c r="A20" s="156" t="s">
        <v>317</v>
      </c>
      <c r="B20" s="154" t="s">
        <v>327</v>
      </c>
      <c r="C20" s="154"/>
    </row>
    <row r="21" spans="1:4" x14ac:dyDescent="0.25">
      <c r="A21" s="77" t="s">
        <v>318</v>
      </c>
      <c r="B21" s="154" t="s">
        <v>328</v>
      </c>
      <c r="C21" s="154"/>
    </row>
    <row r="23" spans="1:4" x14ac:dyDescent="0.25">
      <c r="B23" s="91" t="str">
        <f>HYPERLINK("#'Factor List'!A1","Back to Factor List")</f>
        <v>Back to Factor List</v>
      </c>
    </row>
    <row r="24" spans="1:4" x14ac:dyDescent="0.25">
      <c r="B24" s="91" t="s">
        <v>240</v>
      </c>
    </row>
    <row r="25" spans="1:4" x14ac:dyDescent="0.25">
      <c r="B25" s="91"/>
    </row>
    <row r="26" spans="1:4" ht="26" x14ac:dyDescent="0.25">
      <c r="A26" s="87" t="s">
        <v>643</v>
      </c>
      <c r="B26" s="87" t="s">
        <v>644</v>
      </c>
      <c r="C26" s="87" t="s">
        <v>648</v>
      </c>
    </row>
    <row r="27" spans="1:4" x14ac:dyDescent="0.25">
      <c r="A27" s="88">
        <v>18</v>
      </c>
      <c r="B27" s="89">
        <v>8.64</v>
      </c>
      <c r="C27" s="89">
        <v>2.56</v>
      </c>
    </row>
    <row r="28" spans="1:4" x14ac:dyDescent="0.25">
      <c r="A28" s="88">
        <v>19</v>
      </c>
      <c r="B28" s="89">
        <v>8.76</v>
      </c>
      <c r="C28" s="89">
        <v>2.68</v>
      </c>
    </row>
    <row r="29" spans="1:4" x14ac:dyDescent="0.25">
      <c r="A29" s="88">
        <v>20</v>
      </c>
      <c r="B29" s="89">
        <v>8.8800000000000008</v>
      </c>
      <c r="C29" s="89">
        <v>2.72</v>
      </c>
    </row>
    <row r="30" spans="1:4" x14ac:dyDescent="0.25">
      <c r="A30" s="88">
        <v>21</v>
      </c>
      <c r="B30" s="89">
        <v>9</v>
      </c>
      <c r="C30" s="89">
        <v>2.77</v>
      </c>
    </row>
    <row r="31" spans="1:4" x14ac:dyDescent="0.25">
      <c r="A31" s="88">
        <v>22</v>
      </c>
      <c r="B31" s="89">
        <v>9.1300000000000008</v>
      </c>
      <c r="C31" s="89">
        <v>2.81</v>
      </c>
    </row>
    <row r="32" spans="1:4" x14ac:dyDescent="0.25">
      <c r="A32" s="88">
        <v>23</v>
      </c>
      <c r="B32" s="89">
        <v>9.25</v>
      </c>
      <c r="C32" s="89">
        <v>2.86</v>
      </c>
    </row>
    <row r="33" spans="1:3" x14ac:dyDescent="0.25">
      <c r="A33" s="88">
        <v>24</v>
      </c>
      <c r="B33" s="89">
        <v>9.3800000000000008</v>
      </c>
      <c r="C33" s="89">
        <v>2.91</v>
      </c>
    </row>
    <row r="34" spans="1:3" x14ac:dyDescent="0.25">
      <c r="A34" s="88">
        <v>25</v>
      </c>
      <c r="B34" s="89">
        <v>9.51</v>
      </c>
      <c r="C34" s="89">
        <v>2.95</v>
      </c>
    </row>
    <row r="35" spans="1:3" x14ac:dyDescent="0.25">
      <c r="A35" s="88">
        <v>26</v>
      </c>
      <c r="B35" s="89">
        <v>9.65</v>
      </c>
      <c r="C35" s="89">
        <v>3</v>
      </c>
    </row>
    <row r="36" spans="1:3" x14ac:dyDescent="0.25">
      <c r="A36" s="88">
        <v>27</v>
      </c>
      <c r="B36" s="89">
        <v>9.7799999999999994</v>
      </c>
      <c r="C36" s="89">
        <v>3.05</v>
      </c>
    </row>
    <row r="37" spans="1:3" x14ac:dyDescent="0.25">
      <c r="A37" s="88">
        <v>28</v>
      </c>
      <c r="B37" s="89">
        <v>9.92</v>
      </c>
      <c r="C37" s="89">
        <v>3.1</v>
      </c>
    </row>
    <row r="38" spans="1:3" x14ac:dyDescent="0.25">
      <c r="A38" s="88">
        <v>29</v>
      </c>
      <c r="B38" s="89">
        <v>10.050000000000001</v>
      </c>
      <c r="C38" s="89">
        <v>3.14</v>
      </c>
    </row>
    <row r="39" spans="1:3" x14ac:dyDescent="0.25">
      <c r="A39" s="88">
        <v>30</v>
      </c>
      <c r="B39" s="89">
        <v>10.199999999999999</v>
      </c>
      <c r="C39" s="89">
        <v>3.19</v>
      </c>
    </row>
    <row r="40" spans="1:3" x14ac:dyDescent="0.25">
      <c r="A40" s="88">
        <v>31</v>
      </c>
      <c r="B40" s="89">
        <v>10.34</v>
      </c>
      <c r="C40" s="89">
        <v>3.24</v>
      </c>
    </row>
    <row r="41" spans="1:3" x14ac:dyDescent="0.25">
      <c r="A41" s="88">
        <v>32</v>
      </c>
      <c r="B41" s="89">
        <v>10.49</v>
      </c>
      <c r="C41" s="89">
        <v>3.28</v>
      </c>
    </row>
    <row r="42" spans="1:3" x14ac:dyDescent="0.25">
      <c r="A42" s="88">
        <v>33</v>
      </c>
      <c r="B42" s="89">
        <v>10.63</v>
      </c>
      <c r="C42" s="89">
        <v>3.33</v>
      </c>
    </row>
    <row r="43" spans="1:3" x14ac:dyDescent="0.25">
      <c r="A43" s="88">
        <v>34</v>
      </c>
      <c r="B43" s="89">
        <v>10.78</v>
      </c>
      <c r="C43" s="89">
        <v>3.38</v>
      </c>
    </row>
    <row r="44" spans="1:3" x14ac:dyDescent="0.25">
      <c r="A44" s="88">
        <v>35</v>
      </c>
      <c r="B44" s="89">
        <v>10.94</v>
      </c>
      <c r="C44" s="89">
        <v>3.42</v>
      </c>
    </row>
    <row r="45" spans="1:3" x14ac:dyDescent="0.25">
      <c r="A45" s="88">
        <v>36</v>
      </c>
      <c r="B45" s="89">
        <v>11.09</v>
      </c>
      <c r="C45" s="89">
        <v>3.47</v>
      </c>
    </row>
    <row r="46" spans="1:3" x14ac:dyDescent="0.25">
      <c r="A46" s="88">
        <v>37</v>
      </c>
      <c r="B46" s="89">
        <v>11.25</v>
      </c>
      <c r="C46" s="89">
        <v>3.51</v>
      </c>
    </row>
    <row r="47" spans="1:3" x14ac:dyDescent="0.25">
      <c r="A47" s="88">
        <v>38</v>
      </c>
      <c r="B47" s="89">
        <v>11.42</v>
      </c>
      <c r="C47" s="89">
        <v>3.55</v>
      </c>
    </row>
    <row r="48" spans="1:3" x14ac:dyDescent="0.25">
      <c r="A48" s="88">
        <v>39</v>
      </c>
      <c r="B48" s="89">
        <v>11.58</v>
      </c>
      <c r="C48" s="89">
        <v>3.6</v>
      </c>
    </row>
    <row r="49" spans="1:3" x14ac:dyDescent="0.25">
      <c r="A49" s="88">
        <v>40</v>
      </c>
      <c r="B49" s="89">
        <v>11.75</v>
      </c>
      <c r="C49" s="89">
        <v>3.64</v>
      </c>
    </row>
    <row r="50" spans="1:3" x14ac:dyDescent="0.25">
      <c r="A50" s="88">
        <v>41</v>
      </c>
      <c r="B50" s="89">
        <v>11.92</v>
      </c>
      <c r="C50" s="89">
        <v>3.68</v>
      </c>
    </row>
    <row r="51" spans="1:3" x14ac:dyDescent="0.25">
      <c r="A51" s="88">
        <v>42</v>
      </c>
      <c r="B51" s="89">
        <v>12.09</v>
      </c>
      <c r="C51" s="89">
        <v>3.72</v>
      </c>
    </row>
    <row r="52" spans="1:3" x14ac:dyDescent="0.25">
      <c r="A52" s="88">
        <v>43</v>
      </c>
      <c r="B52" s="89">
        <v>12.27</v>
      </c>
      <c r="C52" s="89">
        <v>3.76</v>
      </c>
    </row>
    <row r="53" spans="1:3" x14ac:dyDescent="0.25">
      <c r="A53" s="88">
        <v>44</v>
      </c>
      <c r="B53" s="89">
        <v>12.46</v>
      </c>
      <c r="C53" s="89">
        <v>3.8</v>
      </c>
    </row>
    <row r="54" spans="1:3" x14ac:dyDescent="0.25">
      <c r="A54" s="88">
        <v>45</v>
      </c>
      <c r="B54" s="89">
        <v>12.64</v>
      </c>
      <c r="C54" s="89">
        <v>3.84</v>
      </c>
    </row>
    <row r="55" spans="1:3" x14ac:dyDescent="0.25">
      <c r="A55" s="88">
        <v>46</v>
      </c>
      <c r="B55" s="89">
        <v>12.83</v>
      </c>
      <c r="C55" s="89">
        <v>3.87</v>
      </c>
    </row>
    <row r="56" spans="1:3" x14ac:dyDescent="0.25">
      <c r="A56" s="88">
        <v>47</v>
      </c>
      <c r="B56" s="89">
        <v>13.03</v>
      </c>
      <c r="C56" s="89">
        <v>3.9</v>
      </c>
    </row>
    <row r="57" spans="1:3" x14ac:dyDescent="0.25">
      <c r="A57" s="88">
        <v>48</v>
      </c>
      <c r="B57" s="89">
        <v>13.23</v>
      </c>
      <c r="C57" s="89">
        <v>3.94</v>
      </c>
    </row>
    <row r="58" spans="1:3" x14ac:dyDescent="0.25">
      <c r="A58" s="88">
        <v>49</v>
      </c>
      <c r="B58" s="89">
        <v>13.44</v>
      </c>
      <c r="C58" s="89">
        <v>3.97</v>
      </c>
    </row>
    <row r="59" spans="1:3" x14ac:dyDescent="0.25">
      <c r="A59" s="88">
        <v>50</v>
      </c>
      <c r="B59" s="89">
        <v>13.65</v>
      </c>
      <c r="C59" s="89">
        <v>4</v>
      </c>
    </row>
    <row r="60" spans="1:3" x14ac:dyDescent="0.25">
      <c r="A60" s="88">
        <v>51</v>
      </c>
      <c r="B60" s="89">
        <v>13.86</v>
      </c>
      <c r="C60" s="89">
        <v>4.0199999999999996</v>
      </c>
    </row>
    <row r="61" spans="1:3" x14ac:dyDescent="0.25">
      <c r="A61" s="88">
        <v>52</v>
      </c>
      <c r="B61" s="89">
        <v>14.08</v>
      </c>
      <c r="C61" s="89">
        <v>4.05</v>
      </c>
    </row>
    <row r="62" spans="1:3" x14ac:dyDescent="0.25">
      <c r="A62" s="88">
        <v>53</v>
      </c>
      <c r="B62" s="89">
        <v>14.31</v>
      </c>
      <c r="C62" s="89">
        <v>4.07</v>
      </c>
    </row>
    <row r="63" spans="1:3" x14ac:dyDescent="0.25">
      <c r="A63" s="88">
        <v>54</v>
      </c>
      <c r="B63" s="89">
        <v>14.55</v>
      </c>
      <c r="C63" s="89">
        <v>4.0999999999999996</v>
      </c>
    </row>
    <row r="64" spans="1:3" x14ac:dyDescent="0.25">
      <c r="A64" s="88">
        <v>55</v>
      </c>
      <c r="B64" s="89">
        <v>14.79</v>
      </c>
      <c r="C64" s="89">
        <v>4.12</v>
      </c>
    </row>
    <row r="65" spans="1:3" x14ac:dyDescent="0.25">
      <c r="A65" s="88">
        <v>56</v>
      </c>
      <c r="B65" s="89">
        <v>15.04</v>
      </c>
      <c r="C65" s="89">
        <v>4.13</v>
      </c>
    </row>
    <row r="66" spans="1:3" x14ac:dyDescent="0.25">
      <c r="A66" s="88">
        <v>57</v>
      </c>
      <c r="B66" s="89">
        <v>15.3</v>
      </c>
      <c r="C66" s="89">
        <v>4.1500000000000004</v>
      </c>
    </row>
    <row r="67" spans="1:3" x14ac:dyDescent="0.25">
      <c r="A67" s="88">
        <v>58</v>
      </c>
      <c r="B67" s="89">
        <v>15.56</v>
      </c>
      <c r="C67" s="89">
        <v>4.16</v>
      </c>
    </row>
    <row r="68" spans="1:3" x14ac:dyDescent="0.25">
      <c r="A68" s="88">
        <v>59</v>
      </c>
      <c r="B68" s="89">
        <v>15.84</v>
      </c>
      <c r="C68" s="89">
        <v>4.17</v>
      </c>
    </row>
    <row r="69" spans="1:3" x14ac:dyDescent="0.25">
      <c r="A69" s="88">
        <v>60</v>
      </c>
      <c r="B69" s="89">
        <v>16.13</v>
      </c>
      <c r="C69" s="89">
        <v>4.18</v>
      </c>
    </row>
    <row r="70" spans="1:3" x14ac:dyDescent="0.25">
      <c r="A70" s="88">
        <v>61</v>
      </c>
      <c r="B70" s="89">
        <v>16.43</v>
      </c>
      <c r="C70" s="89">
        <v>4.18</v>
      </c>
    </row>
    <row r="71" spans="1:3" x14ac:dyDescent="0.25">
      <c r="A71" s="88">
        <v>62</v>
      </c>
      <c r="B71" s="89">
        <v>16.75</v>
      </c>
      <c r="C71" s="89">
        <v>4.18</v>
      </c>
    </row>
    <row r="72" spans="1:3" x14ac:dyDescent="0.25">
      <c r="A72" s="88">
        <v>63</v>
      </c>
      <c r="B72" s="89">
        <v>17.079999999999998</v>
      </c>
      <c r="C72" s="89">
        <v>4.17</v>
      </c>
    </row>
    <row r="73" spans="1:3" x14ac:dyDescent="0.25">
      <c r="A73" s="88">
        <v>64</v>
      </c>
      <c r="B73" s="89">
        <v>17.43</v>
      </c>
      <c r="C73" s="89">
        <v>4.16</v>
      </c>
    </row>
  </sheetData>
  <sheetProtection algorithmName="SHA-512" hashValue="EKTj9OayFLE95cwOML3OuQcCG0WL9jhoQ3+pIY7vp6S8t7gCJLd7aesSZX2R9xs70703Q8HglISQyNNsSNFCog==" saltValue="Fe6qEF8TkrfnHc0eRyjhEQ==" spinCount="100000" sheet="1" objects="1" scenarios="1"/>
  <conditionalFormatting sqref="A6:A16 A18:A20">
    <cfRule type="expression" dxfId="1587" priority="25" stopIfTrue="1">
      <formula>MOD(ROW(),2)=0</formula>
    </cfRule>
    <cfRule type="expression" dxfId="1586" priority="26" stopIfTrue="1">
      <formula>MOD(ROW(),2)&lt;&gt;0</formula>
    </cfRule>
  </conditionalFormatting>
  <conditionalFormatting sqref="B6:C21">
    <cfRule type="expression" dxfId="1585" priority="27" stopIfTrue="1">
      <formula>MOD(ROW(),2)=0</formula>
    </cfRule>
    <cfRule type="expression" dxfId="1584" priority="28" stopIfTrue="1">
      <formula>MOD(ROW(),2)&lt;&gt;0</formula>
    </cfRule>
  </conditionalFormatting>
  <conditionalFormatting sqref="B17">
    <cfRule type="expression" dxfId="1583" priority="17" stopIfTrue="1">
      <formula>MOD(ROW(),2)=0</formula>
    </cfRule>
    <cfRule type="expression" dxfId="1582" priority="18" stopIfTrue="1">
      <formula>MOD(ROW(),2)&lt;&gt;0</formula>
    </cfRule>
  </conditionalFormatting>
  <conditionalFormatting sqref="A17">
    <cfRule type="expression" dxfId="1581" priority="19" stopIfTrue="1">
      <formula>MOD(ROW(),2)=0</formula>
    </cfRule>
    <cfRule type="expression" dxfId="1580" priority="20" stopIfTrue="1">
      <formula>MOD(ROW(),2)&lt;&gt;0</formula>
    </cfRule>
  </conditionalFormatting>
  <conditionalFormatting sqref="B18">
    <cfRule type="expression" dxfId="1579" priority="15" stopIfTrue="1">
      <formula>MOD(ROW(),2)=0</formula>
    </cfRule>
    <cfRule type="expression" dxfId="1578" priority="16" stopIfTrue="1">
      <formula>MOD(ROW(),2)&lt;&gt;0</formula>
    </cfRule>
  </conditionalFormatting>
  <conditionalFormatting sqref="B19">
    <cfRule type="expression" dxfId="1577" priority="11" stopIfTrue="1">
      <formula>MOD(ROW(),2)=0</formula>
    </cfRule>
    <cfRule type="expression" dxfId="1576" priority="12" stopIfTrue="1">
      <formula>MOD(ROW(),2)&lt;&gt;0</formula>
    </cfRule>
  </conditionalFormatting>
  <conditionalFormatting sqref="A26:A73">
    <cfRule type="expression" dxfId="1575" priority="7" stopIfTrue="1">
      <formula>MOD(ROW(),2)=0</formula>
    </cfRule>
    <cfRule type="expression" dxfId="1574" priority="8" stopIfTrue="1">
      <formula>MOD(ROW(),2)&lt;&gt;0</formula>
    </cfRule>
  </conditionalFormatting>
  <conditionalFormatting sqref="B26:C73">
    <cfRule type="expression" dxfId="1573" priority="9" stopIfTrue="1">
      <formula>MOD(ROW(),2)=0</formula>
    </cfRule>
    <cfRule type="expression" dxfId="1572" priority="10" stopIfTrue="1">
      <formula>MOD(ROW(),2)&lt;&gt;0</formula>
    </cfRule>
  </conditionalFormatting>
  <conditionalFormatting sqref="C17">
    <cfRule type="expression" dxfId="1571" priority="5" stopIfTrue="1">
      <formula>MOD(ROW(),2)=0</formula>
    </cfRule>
    <cfRule type="expression" dxfId="1570" priority="6" stopIfTrue="1">
      <formula>MOD(ROW(),2)&lt;&gt;0</formula>
    </cfRule>
  </conditionalFormatting>
  <conditionalFormatting sqref="A21">
    <cfRule type="expression" dxfId="1569" priority="1" stopIfTrue="1">
      <formula>MOD(ROW(),2)=0</formula>
    </cfRule>
    <cfRule type="expression" dxfId="1568" priority="2" stopIfTrue="1">
      <formula>MOD(ROW(),2)&lt;&gt;0</formula>
    </cfRule>
  </conditionalFormatting>
  <hyperlinks>
    <hyperlink ref="B24" location="Assumptions!A1" display="Assumptions" xr:uid="{0683938A-7E61-4EC4-A874-7DFD313E6E9B}"/>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32"/>
  <dimension ref="A1:G68"/>
  <sheetViews>
    <sheetView showGridLines="0" zoomScale="85" zoomScaleNormal="85" workbookViewId="0">
      <selection activeCell="B18" sqref="B18"/>
    </sheetView>
  </sheetViews>
  <sheetFormatPr defaultColWidth="10" defaultRowHeight="12.5" x14ac:dyDescent="0.25"/>
  <cols>
    <col min="1" max="1" width="31.81640625" style="28" customWidth="1"/>
    <col min="2" max="2" width="24.1796875" style="28" customWidth="1"/>
    <col min="3" max="3" width="23.453125" style="28" customWidth="1"/>
    <col min="4" max="16384" width="10" style="28"/>
  </cols>
  <sheetData>
    <row r="1" spans="1:7" ht="20" x14ac:dyDescent="0.4">
      <c r="A1" s="40" t="s">
        <v>227</v>
      </c>
      <c r="B1" s="41"/>
      <c r="C1" s="41"/>
      <c r="D1" s="41"/>
      <c r="E1" s="41"/>
      <c r="F1" s="41"/>
      <c r="G1" s="41"/>
    </row>
    <row r="2" spans="1:7" ht="15.5" x14ac:dyDescent="0.35">
      <c r="A2" s="42" t="str">
        <f>IF(title="&gt; Enter workbook title here","Enter workbook title in Cover sheet",title)</f>
        <v>Fire Northern Ireland - Consolidated Factor Spreadsheet</v>
      </c>
      <c r="B2" s="43"/>
      <c r="C2" s="43"/>
      <c r="D2" s="43"/>
      <c r="E2" s="43"/>
      <c r="F2" s="43"/>
      <c r="G2" s="43"/>
    </row>
    <row r="3" spans="1:7" ht="15.5" x14ac:dyDescent="0.35">
      <c r="A3" s="44" t="str">
        <f>TABLE_FACTOR_TYPE_1&amp;" - x-"&amp;TABLE_SERIES_NUMBER_1</f>
        <v>CETV - x-204</v>
      </c>
      <c r="B3" s="43"/>
      <c r="C3" s="43"/>
      <c r="D3" s="43"/>
      <c r="E3" s="43"/>
      <c r="F3" s="43"/>
      <c r="G3" s="43"/>
    </row>
    <row r="4" spans="1:7" x14ac:dyDescent="0.25">
      <c r="A4" s="45"/>
    </row>
    <row r="6" spans="1:7" ht="13" x14ac:dyDescent="0.3">
      <c r="A6" s="155" t="s">
        <v>562</v>
      </c>
      <c r="B6" s="154" t="s">
        <v>563</v>
      </c>
      <c r="C6" s="154"/>
    </row>
    <row r="7" spans="1:7" x14ac:dyDescent="0.25">
      <c r="A7" s="156" t="s">
        <v>305</v>
      </c>
      <c r="B7" s="154" t="s">
        <v>319</v>
      </c>
      <c r="C7" s="154"/>
    </row>
    <row r="8" spans="1:7" x14ac:dyDescent="0.25">
      <c r="A8" s="156" t="s">
        <v>306</v>
      </c>
      <c r="B8" s="154" t="s">
        <v>332</v>
      </c>
      <c r="C8" s="154"/>
    </row>
    <row r="9" spans="1:7" x14ac:dyDescent="0.25">
      <c r="A9" s="156" t="s">
        <v>307</v>
      </c>
      <c r="B9" s="154" t="s">
        <v>321</v>
      </c>
      <c r="C9" s="154"/>
    </row>
    <row r="10" spans="1:7" x14ac:dyDescent="0.25">
      <c r="A10" s="156" t="s">
        <v>233</v>
      </c>
      <c r="B10" s="154" t="s">
        <v>333</v>
      </c>
      <c r="C10" s="154"/>
    </row>
    <row r="11" spans="1:7" x14ac:dyDescent="0.25">
      <c r="A11" s="156" t="s">
        <v>308</v>
      </c>
      <c r="B11" s="154" t="s">
        <v>329</v>
      </c>
      <c r="C11" s="154"/>
    </row>
    <row r="12" spans="1:7" x14ac:dyDescent="0.25">
      <c r="A12" s="156" t="s">
        <v>309</v>
      </c>
      <c r="B12" s="154" t="s">
        <v>324</v>
      </c>
      <c r="C12" s="154"/>
    </row>
    <row r="13" spans="1:7" x14ac:dyDescent="0.25">
      <c r="A13" s="156" t="s">
        <v>570</v>
      </c>
      <c r="B13" s="154">
        <v>1</v>
      </c>
      <c r="C13" s="154"/>
    </row>
    <row r="14" spans="1:7" x14ac:dyDescent="0.25">
      <c r="A14" s="156" t="s">
        <v>311</v>
      </c>
      <c r="B14" s="154">
        <v>204</v>
      </c>
      <c r="C14" s="154"/>
    </row>
    <row r="15" spans="1:7" x14ac:dyDescent="0.25">
      <c r="A15" s="156" t="s">
        <v>573</v>
      </c>
      <c r="B15" s="154" t="s">
        <v>335</v>
      </c>
      <c r="C15" s="154"/>
    </row>
    <row r="16" spans="1:7" x14ac:dyDescent="0.25">
      <c r="A16" s="156" t="s">
        <v>313</v>
      </c>
      <c r="B16" s="154" t="s">
        <v>331</v>
      </c>
      <c r="C16" s="154"/>
    </row>
    <row r="17" spans="1:3" ht="87" customHeight="1" x14ac:dyDescent="0.25">
      <c r="A17" s="156" t="s">
        <v>642</v>
      </c>
      <c r="B17" s="154"/>
      <c r="C17" s="154"/>
    </row>
    <row r="18" spans="1:3" x14ac:dyDescent="0.25">
      <c r="A18" s="156" t="s">
        <v>315</v>
      </c>
      <c r="B18" s="157">
        <v>45070</v>
      </c>
      <c r="C18" s="154"/>
    </row>
    <row r="19" spans="1:3" x14ac:dyDescent="0.25">
      <c r="A19" s="156" t="s">
        <v>316</v>
      </c>
      <c r="B19" s="157">
        <v>45014</v>
      </c>
      <c r="C19" s="154"/>
    </row>
    <row r="20" spans="1:3" x14ac:dyDescent="0.25">
      <c r="A20" s="156" t="s">
        <v>317</v>
      </c>
      <c r="B20" s="154" t="s">
        <v>327</v>
      </c>
      <c r="C20" s="154"/>
    </row>
    <row r="21" spans="1:3" x14ac:dyDescent="0.25">
      <c r="A21" s="77" t="s">
        <v>318</v>
      </c>
      <c r="B21" s="154" t="s">
        <v>328</v>
      </c>
      <c r="C21" s="154"/>
    </row>
    <row r="23" spans="1:3" x14ac:dyDescent="0.25">
      <c r="B23" s="91" t="str">
        <f>HYPERLINK("#'Factor List'!A1","Back to Factor List")</f>
        <v>Back to Factor List</v>
      </c>
    </row>
    <row r="24" spans="1:3" x14ac:dyDescent="0.25">
      <c r="B24" s="91" t="s">
        <v>240</v>
      </c>
    </row>
    <row r="25" spans="1:3" x14ac:dyDescent="0.25">
      <c r="B25" s="91"/>
    </row>
    <row r="26" spans="1:3" ht="26" x14ac:dyDescent="0.25">
      <c r="A26" s="87" t="s">
        <v>643</v>
      </c>
      <c r="B26" s="87" t="s">
        <v>644</v>
      </c>
      <c r="C26" s="87" t="s">
        <v>648</v>
      </c>
    </row>
    <row r="27" spans="1:3" x14ac:dyDescent="0.25">
      <c r="A27" s="88">
        <v>18</v>
      </c>
      <c r="B27" s="89">
        <v>8.64</v>
      </c>
      <c r="C27" s="89">
        <v>2.56</v>
      </c>
    </row>
    <row r="28" spans="1:3" x14ac:dyDescent="0.25">
      <c r="A28" s="88">
        <v>19</v>
      </c>
      <c r="B28" s="89">
        <v>8.76</v>
      </c>
      <c r="C28" s="89">
        <v>2.68</v>
      </c>
    </row>
    <row r="29" spans="1:3" x14ac:dyDescent="0.25">
      <c r="A29" s="88">
        <v>20</v>
      </c>
      <c r="B29" s="89">
        <v>8.8800000000000008</v>
      </c>
      <c r="C29" s="89">
        <v>2.72</v>
      </c>
    </row>
    <row r="30" spans="1:3" x14ac:dyDescent="0.25">
      <c r="A30" s="88">
        <v>21</v>
      </c>
      <c r="B30" s="89">
        <v>9</v>
      </c>
      <c r="C30" s="89">
        <v>2.77</v>
      </c>
    </row>
    <row r="31" spans="1:3" x14ac:dyDescent="0.25">
      <c r="A31" s="88">
        <v>22</v>
      </c>
      <c r="B31" s="89">
        <v>9.1300000000000008</v>
      </c>
      <c r="C31" s="89">
        <v>2.81</v>
      </c>
    </row>
    <row r="32" spans="1:3" x14ac:dyDescent="0.25">
      <c r="A32" s="88">
        <v>23</v>
      </c>
      <c r="B32" s="89">
        <v>9.25</v>
      </c>
      <c r="C32" s="89">
        <v>2.86</v>
      </c>
    </row>
    <row r="33" spans="1:3" x14ac:dyDescent="0.25">
      <c r="A33" s="88">
        <v>24</v>
      </c>
      <c r="B33" s="89">
        <v>9.3800000000000008</v>
      </c>
      <c r="C33" s="89">
        <v>2.91</v>
      </c>
    </row>
    <row r="34" spans="1:3" x14ac:dyDescent="0.25">
      <c r="A34" s="88">
        <v>25</v>
      </c>
      <c r="B34" s="89">
        <v>9.51</v>
      </c>
      <c r="C34" s="89">
        <v>2.95</v>
      </c>
    </row>
    <row r="35" spans="1:3" x14ac:dyDescent="0.25">
      <c r="A35" s="88">
        <v>26</v>
      </c>
      <c r="B35" s="89">
        <v>9.65</v>
      </c>
      <c r="C35" s="89">
        <v>3</v>
      </c>
    </row>
    <row r="36" spans="1:3" x14ac:dyDescent="0.25">
      <c r="A36" s="88">
        <v>27</v>
      </c>
      <c r="B36" s="89">
        <v>9.7799999999999994</v>
      </c>
      <c r="C36" s="89">
        <v>3.05</v>
      </c>
    </row>
    <row r="37" spans="1:3" x14ac:dyDescent="0.25">
      <c r="A37" s="88">
        <v>28</v>
      </c>
      <c r="B37" s="89">
        <v>9.92</v>
      </c>
      <c r="C37" s="89">
        <v>3.1</v>
      </c>
    </row>
    <row r="38" spans="1:3" x14ac:dyDescent="0.25">
      <c r="A38" s="88">
        <v>29</v>
      </c>
      <c r="B38" s="89">
        <v>10.050000000000001</v>
      </c>
      <c r="C38" s="89">
        <v>3.14</v>
      </c>
    </row>
    <row r="39" spans="1:3" x14ac:dyDescent="0.25">
      <c r="A39" s="88">
        <v>30</v>
      </c>
      <c r="B39" s="89">
        <v>10.199999999999999</v>
      </c>
      <c r="C39" s="89">
        <v>3.19</v>
      </c>
    </row>
    <row r="40" spans="1:3" x14ac:dyDescent="0.25">
      <c r="A40" s="88">
        <v>31</v>
      </c>
      <c r="B40" s="89">
        <v>10.34</v>
      </c>
      <c r="C40" s="89">
        <v>3.24</v>
      </c>
    </row>
    <row r="41" spans="1:3" x14ac:dyDescent="0.25">
      <c r="A41" s="88">
        <v>32</v>
      </c>
      <c r="B41" s="89">
        <v>10.49</v>
      </c>
      <c r="C41" s="89">
        <v>3.28</v>
      </c>
    </row>
    <row r="42" spans="1:3" x14ac:dyDescent="0.25">
      <c r="A42" s="88">
        <v>33</v>
      </c>
      <c r="B42" s="89">
        <v>10.63</v>
      </c>
      <c r="C42" s="89">
        <v>3.33</v>
      </c>
    </row>
    <row r="43" spans="1:3" x14ac:dyDescent="0.25">
      <c r="A43" s="88">
        <v>34</v>
      </c>
      <c r="B43" s="89">
        <v>10.78</v>
      </c>
      <c r="C43" s="89">
        <v>3.38</v>
      </c>
    </row>
    <row r="44" spans="1:3" x14ac:dyDescent="0.25">
      <c r="A44" s="88">
        <v>35</v>
      </c>
      <c r="B44" s="89">
        <v>10.94</v>
      </c>
      <c r="C44" s="89">
        <v>3.42</v>
      </c>
    </row>
    <row r="45" spans="1:3" x14ac:dyDescent="0.25">
      <c r="A45" s="88">
        <v>36</v>
      </c>
      <c r="B45" s="89">
        <v>11.09</v>
      </c>
      <c r="C45" s="89">
        <v>3.47</v>
      </c>
    </row>
    <row r="46" spans="1:3" x14ac:dyDescent="0.25">
      <c r="A46" s="88">
        <v>37</v>
      </c>
      <c r="B46" s="89">
        <v>11.25</v>
      </c>
      <c r="C46" s="89">
        <v>3.51</v>
      </c>
    </row>
    <row r="47" spans="1:3" x14ac:dyDescent="0.25">
      <c r="A47" s="88">
        <v>38</v>
      </c>
      <c r="B47" s="89">
        <v>11.42</v>
      </c>
      <c r="C47" s="89">
        <v>3.55</v>
      </c>
    </row>
    <row r="48" spans="1:3" x14ac:dyDescent="0.25">
      <c r="A48" s="88">
        <v>39</v>
      </c>
      <c r="B48" s="89">
        <v>11.58</v>
      </c>
      <c r="C48" s="89">
        <v>3.6</v>
      </c>
    </row>
    <row r="49" spans="1:3" x14ac:dyDescent="0.25">
      <c r="A49" s="88">
        <v>40</v>
      </c>
      <c r="B49" s="89">
        <v>11.75</v>
      </c>
      <c r="C49" s="89">
        <v>3.64</v>
      </c>
    </row>
    <row r="50" spans="1:3" x14ac:dyDescent="0.25">
      <c r="A50" s="88">
        <v>41</v>
      </c>
      <c r="B50" s="89">
        <v>11.92</v>
      </c>
      <c r="C50" s="89">
        <v>3.68</v>
      </c>
    </row>
    <row r="51" spans="1:3" x14ac:dyDescent="0.25">
      <c r="A51" s="88">
        <v>42</v>
      </c>
      <c r="B51" s="89">
        <v>12.09</v>
      </c>
      <c r="C51" s="89">
        <v>3.72</v>
      </c>
    </row>
    <row r="52" spans="1:3" x14ac:dyDescent="0.25">
      <c r="A52" s="88">
        <v>43</v>
      </c>
      <c r="B52" s="89">
        <v>12.27</v>
      </c>
      <c r="C52" s="89">
        <v>3.76</v>
      </c>
    </row>
    <row r="53" spans="1:3" x14ac:dyDescent="0.25">
      <c r="A53" s="88">
        <v>44</v>
      </c>
      <c r="B53" s="89">
        <v>12.46</v>
      </c>
      <c r="C53" s="89">
        <v>3.8</v>
      </c>
    </row>
    <row r="54" spans="1:3" x14ac:dyDescent="0.25">
      <c r="A54" s="88">
        <v>45</v>
      </c>
      <c r="B54" s="89">
        <v>12.64</v>
      </c>
      <c r="C54" s="89">
        <v>3.84</v>
      </c>
    </row>
    <row r="55" spans="1:3" x14ac:dyDescent="0.25">
      <c r="A55" s="88">
        <v>46</v>
      </c>
      <c r="B55" s="89">
        <v>12.83</v>
      </c>
      <c r="C55" s="89">
        <v>3.87</v>
      </c>
    </row>
    <row r="56" spans="1:3" x14ac:dyDescent="0.25">
      <c r="A56" s="88">
        <v>47</v>
      </c>
      <c r="B56" s="89">
        <v>13.03</v>
      </c>
      <c r="C56" s="89">
        <v>3.9</v>
      </c>
    </row>
    <row r="57" spans="1:3" x14ac:dyDescent="0.25">
      <c r="A57" s="88">
        <v>48</v>
      </c>
      <c r="B57" s="89">
        <v>13.23</v>
      </c>
      <c r="C57" s="89">
        <v>3.94</v>
      </c>
    </row>
    <row r="58" spans="1:3" x14ac:dyDescent="0.25">
      <c r="A58" s="88">
        <v>49</v>
      </c>
      <c r="B58" s="89">
        <v>13.44</v>
      </c>
      <c r="C58" s="89">
        <v>3.97</v>
      </c>
    </row>
    <row r="59" spans="1:3" x14ac:dyDescent="0.25">
      <c r="A59" s="88">
        <v>50</v>
      </c>
      <c r="B59" s="89">
        <v>13.65</v>
      </c>
      <c r="C59" s="89">
        <v>4</v>
      </c>
    </row>
    <row r="60" spans="1:3" x14ac:dyDescent="0.25">
      <c r="A60" s="88">
        <v>51</v>
      </c>
      <c r="B60" s="89">
        <v>13.86</v>
      </c>
      <c r="C60" s="89">
        <v>4.0199999999999996</v>
      </c>
    </row>
    <row r="61" spans="1:3" x14ac:dyDescent="0.25">
      <c r="A61" s="88">
        <v>52</v>
      </c>
      <c r="B61" s="89">
        <v>14.08</v>
      </c>
      <c r="C61" s="89">
        <v>4.05</v>
      </c>
    </row>
    <row r="62" spans="1:3" x14ac:dyDescent="0.25">
      <c r="A62" s="88">
        <v>53</v>
      </c>
      <c r="B62" s="89">
        <v>14.31</v>
      </c>
      <c r="C62" s="89">
        <v>4.07</v>
      </c>
    </row>
    <row r="63" spans="1:3" x14ac:dyDescent="0.25">
      <c r="A63" s="88">
        <v>54</v>
      </c>
      <c r="B63" s="89">
        <v>14.55</v>
      </c>
      <c r="C63" s="89">
        <v>4.0999999999999996</v>
      </c>
    </row>
    <row r="64" spans="1:3" x14ac:dyDescent="0.25">
      <c r="A64" s="88">
        <v>55</v>
      </c>
      <c r="B64" s="89">
        <v>14.79</v>
      </c>
      <c r="C64" s="89">
        <v>4.12</v>
      </c>
    </row>
    <row r="65" spans="1:3" x14ac:dyDescent="0.25">
      <c r="A65" s="88">
        <v>56</v>
      </c>
      <c r="B65" s="89">
        <v>15.04</v>
      </c>
      <c r="C65" s="89">
        <v>4.13</v>
      </c>
    </row>
    <row r="66" spans="1:3" x14ac:dyDescent="0.25">
      <c r="A66" s="88">
        <v>57</v>
      </c>
      <c r="B66" s="89">
        <v>15.3</v>
      </c>
      <c r="C66" s="89">
        <v>4.1500000000000004</v>
      </c>
    </row>
    <row r="67" spans="1:3" x14ac:dyDescent="0.25">
      <c r="A67" s="88">
        <v>58</v>
      </c>
      <c r="B67" s="89">
        <v>15.56</v>
      </c>
      <c r="C67" s="89">
        <v>4.16</v>
      </c>
    </row>
    <row r="68" spans="1:3" x14ac:dyDescent="0.25">
      <c r="A68" s="88">
        <v>59</v>
      </c>
      <c r="B68" s="89">
        <v>15.84</v>
      </c>
      <c r="C68" s="89">
        <v>4.17</v>
      </c>
    </row>
  </sheetData>
  <sheetProtection algorithmName="SHA-512" hashValue="lYM0hcM2fiaY6S8QsfYD6zp43lQc+cr6wHiS3Pj2sVlAMx/tFk2icY80wlG5msvfgIh+F+V71cmeriflpL1Pzg==" saltValue="HJWA0/x7UKAGTsea8GWFyg==" spinCount="100000" sheet="1" objects="1" scenarios="1"/>
  <conditionalFormatting sqref="A6:A16 A18:A20">
    <cfRule type="expression" dxfId="1567" priority="25" stopIfTrue="1">
      <formula>MOD(ROW(),2)=0</formula>
    </cfRule>
    <cfRule type="expression" dxfId="1566" priority="26" stopIfTrue="1">
      <formula>MOD(ROW(),2)&lt;&gt;0</formula>
    </cfRule>
  </conditionalFormatting>
  <conditionalFormatting sqref="B6:C21">
    <cfRule type="expression" dxfId="1565" priority="27" stopIfTrue="1">
      <formula>MOD(ROW(),2)=0</formula>
    </cfRule>
    <cfRule type="expression" dxfId="1564" priority="28" stopIfTrue="1">
      <formula>MOD(ROW(),2)&lt;&gt;0</formula>
    </cfRule>
  </conditionalFormatting>
  <conditionalFormatting sqref="B17">
    <cfRule type="expression" dxfId="1563" priority="17" stopIfTrue="1">
      <formula>MOD(ROW(),2)=0</formula>
    </cfRule>
    <cfRule type="expression" dxfId="1562" priority="18" stopIfTrue="1">
      <formula>MOD(ROW(),2)&lt;&gt;0</formula>
    </cfRule>
  </conditionalFormatting>
  <conditionalFormatting sqref="A17">
    <cfRule type="expression" dxfId="1561" priority="19" stopIfTrue="1">
      <formula>MOD(ROW(),2)=0</formula>
    </cfRule>
    <cfRule type="expression" dxfId="1560" priority="20" stopIfTrue="1">
      <formula>MOD(ROW(),2)&lt;&gt;0</formula>
    </cfRule>
  </conditionalFormatting>
  <conditionalFormatting sqref="B18">
    <cfRule type="expression" dxfId="1559" priority="15" stopIfTrue="1">
      <formula>MOD(ROW(),2)=0</formula>
    </cfRule>
    <cfRule type="expression" dxfId="1558" priority="16" stopIfTrue="1">
      <formula>MOD(ROW(),2)&lt;&gt;0</formula>
    </cfRule>
  </conditionalFormatting>
  <conditionalFormatting sqref="B19">
    <cfRule type="expression" dxfId="1557" priority="11" stopIfTrue="1">
      <formula>MOD(ROW(),2)=0</formula>
    </cfRule>
    <cfRule type="expression" dxfId="1556" priority="12" stopIfTrue="1">
      <formula>MOD(ROW(),2)&lt;&gt;0</formula>
    </cfRule>
  </conditionalFormatting>
  <conditionalFormatting sqref="A26:A68">
    <cfRule type="expression" dxfId="1555" priority="7" stopIfTrue="1">
      <formula>MOD(ROW(),2)=0</formula>
    </cfRule>
    <cfRule type="expression" dxfId="1554" priority="8" stopIfTrue="1">
      <formula>MOD(ROW(),2)&lt;&gt;0</formula>
    </cfRule>
  </conditionalFormatting>
  <conditionalFormatting sqref="B26:C68">
    <cfRule type="expression" dxfId="1553" priority="9" stopIfTrue="1">
      <formula>MOD(ROW(),2)=0</formula>
    </cfRule>
    <cfRule type="expression" dxfId="1552" priority="10" stopIfTrue="1">
      <formula>MOD(ROW(),2)&lt;&gt;0</formula>
    </cfRule>
  </conditionalFormatting>
  <conditionalFormatting sqref="C17">
    <cfRule type="expression" dxfId="1551" priority="5" stopIfTrue="1">
      <formula>MOD(ROW(),2)=0</formula>
    </cfRule>
    <cfRule type="expression" dxfId="1550" priority="6" stopIfTrue="1">
      <formula>MOD(ROW(),2)&lt;&gt;0</formula>
    </cfRule>
  </conditionalFormatting>
  <conditionalFormatting sqref="A21">
    <cfRule type="expression" dxfId="1549" priority="1" stopIfTrue="1">
      <formula>MOD(ROW(),2)=0</formula>
    </cfRule>
    <cfRule type="expression" dxfId="1548" priority="2" stopIfTrue="1">
      <formula>MOD(ROW(),2)&lt;&gt;0</formula>
    </cfRule>
  </conditionalFormatting>
  <hyperlinks>
    <hyperlink ref="B24" location="Assumptions!A1" display="Assumptions" xr:uid="{8157AAA9-9D84-41F4-94E7-0F8DB1DA0D4A}"/>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33"/>
  <dimension ref="A1:F65"/>
  <sheetViews>
    <sheetView showGridLines="0" zoomScale="85" zoomScaleNormal="85" workbookViewId="0">
      <selection activeCell="B18" sqref="B18"/>
    </sheetView>
  </sheetViews>
  <sheetFormatPr defaultColWidth="10" defaultRowHeight="12.5" x14ac:dyDescent="0.25"/>
  <cols>
    <col min="1" max="1" width="31.81640625" style="28" customWidth="1"/>
    <col min="2" max="3" width="22.81640625" style="28" customWidth="1"/>
    <col min="4" max="16384" width="10" style="28"/>
  </cols>
  <sheetData>
    <row r="1" spans="1:6" ht="20" x14ac:dyDescent="0.4">
      <c r="A1" s="40" t="s">
        <v>227</v>
      </c>
      <c r="B1" s="41"/>
      <c r="C1" s="41"/>
      <c r="D1" s="41"/>
      <c r="E1" s="41"/>
      <c r="F1" s="41"/>
    </row>
    <row r="2" spans="1:6" ht="15.5" x14ac:dyDescent="0.35">
      <c r="A2" s="42" t="str">
        <f>IF(title="&gt; Enter workbook title here","Enter workbook title in Cover sheet",title)</f>
        <v>Fire Northern Ireland - Consolidated Factor Spreadsheet</v>
      </c>
      <c r="B2" s="43"/>
      <c r="C2" s="43"/>
      <c r="D2" s="43"/>
      <c r="E2" s="43"/>
      <c r="F2" s="43"/>
    </row>
    <row r="3" spans="1:6" ht="15.5" x14ac:dyDescent="0.35">
      <c r="A3" s="44" t="str">
        <f>TABLE_FACTOR_TYPE_1&amp;" - x-"&amp;TABLE_SERIES_NUMBER_1</f>
        <v>CETV - x-205</v>
      </c>
      <c r="B3" s="43"/>
      <c r="C3" s="43"/>
      <c r="D3" s="43"/>
      <c r="E3" s="43"/>
      <c r="F3" s="43"/>
    </row>
    <row r="4" spans="1:6" x14ac:dyDescent="0.25">
      <c r="A4" s="45"/>
    </row>
    <row r="6" spans="1:6" ht="13" x14ac:dyDescent="0.3">
      <c r="A6" s="155" t="s">
        <v>562</v>
      </c>
      <c r="B6" s="154" t="s">
        <v>563</v>
      </c>
      <c r="C6" s="154"/>
    </row>
    <row r="7" spans="1:6" x14ac:dyDescent="0.25">
      <c r="A7" s="156" t="s">
        <v>305</v>
      </c>
      <c r="B7" s="154" t="s">
        <v>319</v>
      </c>
      <c r="C7" s="154"/>
    </row>
    <row r="8" spans="1:6" x14ac:dyDescent="0.25">
      <c r="A8" s="156" t="s">
        <v>306</v>
      </c>
      <c r="B8" s="154" t="s">
        <v>332</v>
      </c>
      <c r="C8" s="154"/>
    </row>
    <row r="9" spans="1:6" x14ac:dyDescent="0.25">
      <c r="A9" s="156" t="s">
        <v>307</v>
      </c>
      <c r="B9" s="154" t="s">
        <v>321</v>
      </c>
      <c r="C9" s="154"/>
    </row>
    <row r="10" spans="1:6" x14ac:dyDescent="0.25">
      <c r="A10" s="156" t="s">
        <v>233</v>
      </c>
      <c r="B10" s="154" t="s">
        <v>336</v>
      </c>
      <c r="C10" s="154"/>
    </row>
    <row r="11" spans="1:6" x14ac:dyDescent="0.25">
      <c r="A11" s="156" t="s">
        <v>308</v>
      </c>
      <c r="B11" s="154" t="s">
        <v>329</v>
      </c>
      <c r="C11" s="154"/>
    </row>
    <row r="12" spans="1:6" x14ac:dyDescent="0.25">
      <c r="A12" s="156" t="s">
        <v>309</v>
      </c>
      <c r="B12" s="154" t="s">
        <v>324</v>
      </c>
      <c r="C12" s="154"/>
    </row>
    <row r="13" spans="1:6" x14ac:dyDescent="0.25">
      <c r="A13" s="156" t="s">
        <v>570</v>
      </c>
      <c r="B13" s="154">
        <v>1</v>
      </c>
      <c r="C13" s="154"/>
    </row>
    <row r="14" spans="1:6" x14ac:dyDescent="0.25">
      <c r="A14" s="156" t="s">
        <v>311</v>
      </c>
      <c r="B14" s="154">
        <v>205</v>
      </c>
      <c r="C14" s="154"/>
    </row>
    <row r="15" spans="1:6" x14ac:dyDescent="0.25">
      <c r="A15" s="156" t="s">
        <v>573</v>
      </c>
      <c r="B15" s="154" t="s">
        <v>337</v>
      </c>
      <c r="C15" s="154"/>
    </row>
    <row r="16" spans="1:6" x14ac:dyDescent="0.25">
      <c r="A16" s="156" t="s">
        <v>313</v>
      </c>
      <c r="B16" s="154" t="s">
        <v>338</v>
      </c>
      <c r="C16" s="154"/>
    </row>
    <row r="17" spans="1:3" ht="82.4" customHeight="1" x14ac:dyDescent="0.25">
      <c r="A17" s="156" t="s">
        <v>642</v>
      </c>
      <c r="B17" s="154"/>
      <c r="C17" s="154"/>
    </row>
    <row r="18" spans="1:3" x14ac:dyDescent="0.25">
      <c r="A18" s="156" t="s">
        <v>315</v>
      </c>
      <c r="B18" s="157">
        <v>45070</v>
      </c>
      <c r="C18" s="154"/>
    </row>
    <row r="19" spans="1:3" x14ac:dyDescent="0.25">
      <c r="A19" s="156" t="s">
        <v>316</v>
      </c>
      <c r="B19" s="157">
        <v>45014</v>
      </c>
      <c r="C19" s="154"/>
    </row>
    <row r="20" spans="1:3" x14ac:dyDescent="0.25">
      <c r="A20" s="156" t="s">
        <v>317</v>
      </c>
      <c r="B20" s="154" t="s">
        <v>327</v>
      </c>
      <c r="C20" s="154"/>
    </row>
    <row r="21" spans="1:3" x14ac:dyDescent="0.25">
      <c r="A21" s="77" t="s">
        <v>318</v>
      </c>
      <c r="B21" s="154" t="s">
        <v>328</v>
      </c>
      <c r="C21" s="154"/>
    </row>
    <row r="23" spans="1:3" x14ac:dyDescent="0.25">
      <c r="B23" s="91" t="str">
        <f>HYPERLINK("#'Factor List'!A1","Back to Factor List")</f>
        <v>Back to Factor List</v>
      </c>
    </row>
    <row r="24" spans="1:3" x14ac:dyDescent="0.25">
      <c r="B24" s="91" t="s">
        <v>240</v>
      </c>
    </row>
    <row r="25" spans="1:3" x14ac:dyDescent="0.25">
      <c r="B25" s="91"/>
    </row>
    <row r="26" spans="1:3" ht="26" x14ac:dyDescent="0.25">
      <c r="A26" s="87" t="s">
        <v>643</v>
      </c>
      <c r="B26" s="87" t="s">
        <v>644</v>
      </c>
      <c r="C26" s="87" t="s">
        <v>649</v>
      </c>
    </row>
    <row r="27" spans="1:3" x14ac:dyDescent="0.25">
      <c r="A27" s="88">
        <v>60</v>
      </c>
      <c r="B27" s="89">
        <v>16.13</v>
      </c>
      <c r="C27" s="89">
        <v>4.18</v>
      </c>
    </row>
    <row r="28" spans="1:3" x14ac:dyDescent="0.25">
      <c r="A28" s="88">
        <v>61</v>
      </c>
      <c r="B28" s="89">
        <v>16.43</v>
      </c>
      <c r="C28" s="89">
        <v>4.18</v>
      </c>
    </row>
    <row r="29" spans="1:3" x14ac:dyDescent="0.25">
      <c r="A29" s="88">
        <v>62</v>
      </c>
      <c r="B29" s="89">
        <v>16.75</v>
      </c>
      <c r="C29" s="89">
        <v>4.18</v>
      </c>
    </row>
    <row r="30" spans="1:3" x14ac:dyDescent="0.25">
      <c r="A30" s="88">
        <v>63</v>
      </c>
      <c r="B30" s="89">
        <v>17.079999999999998</v>
      </c>
      <c r="C30" s="89">
        <v>4.17</v>
      </c>
    </row>
    <row r="31" spans="1:3" x14ac:dyDescent="0.25">
      <c r="A31" s="88">
        <v>64</v>
      </c>
      <c r="B31" s="89">
        <v>17.43</v>
      </c>
      <c r="C31" s="89">
        <v>4.16</v>
      </c>
    </row>
    <row r="32" spans="1:3" x14ac:dyDescent="0.25">
      <c r="A32"/>
      <c r="B32"/>
    </row>
    <row r="33" spans="1:2" x14ac:dyDescent="0.25">
      <c r="A33"/>
      <c r="B33"/>
    </row>
    <row r="34" spans="1:2" x14ac:dyDescent="0.25">
      <c r="A34"/>
      <c r="B34"/>
    </row>
    <row r="35" spans="1:2" x14ac:dyDescent="0.25">
      <c r="A35"/>
      <c r="B35"/>
    </row>
    <row r="36" spans="1:2" x14ac:dyDescent="0.25">
      <c r="A36"/>
      <c r="B36"/>
    </row>
    <row r="37" spans="1:2" x14ac:dyDescent="0.25">
      <c r="A37"/>
      <c r="B37"/>
    </row>
    <row r="38" spans="1:2" x14ac:dyDescent="0.25">
      <c r="A38"/>
      <c r="B38"/>
    </row>
    <row r="39" spans="1:2" x14ac:dyDescent="0.25">
      <c r="A39"/>
      <c r="B39"/>
    </row>
    <row r="40" spans="1:2" x14ac:dyDescent="0.25">
      <c r="A40"/>
      <c r="B40"/>
    </row>
    <row r="41" spans="1:2" x14ac:dyDescent="0.25">
      <c r="A41"/>
      <c r="B41"/>
    </row>
    <row r="42" spans="1:2" x14ac:dyDescent="0.25">
      <c r="A42"/>
      <c r="B42"/>
    </row>
    <row r="43" spans="1:2" x14ac:dyDescent="0.25">
      <c r="A43"/>
      <c r="B43"/>
    </row>
    <row r="44" spans="1:2" ht="39.65" customHeight="1" x14ac:dyDescent="0.25">
      <c r="A44"/>
      <c r="B44"/>
    </row>
    <row r="45" spans="1:2" x14ac:dyDescent="0.25">
      <c r="A45"/>
      <c r="B45"/>
    </row>
    <row r="46" spans="1:2" ht="27.65" customHeight="1" x14ac:dyDescent="0.25">
      <c r="A46"/>
      <c r="B46"/>
    </row>
    <row r="47" spans="1:2" x14ac:dyDescent="0.25">
      <c r="A47"/>
      <c r="B47"/>
    </row>
    <row r="48" spans="1:2" x14ac:dyDescent="0.25">
      <c r="A48"/>
      <c r="B48"/>
    </row>
    <row r="49" spans="1:2" x14ac:dyDescent="0.25">
      <c r="A49"/>
      <c r="B49"/>
    </row>
    <row r="50" spans="1:2" x14ac:dyDescent="0.25">
      <c r="A50"/>
      <c r="B50"/>
    </row>
    <row r="51" spans="1:2" x14ac:dyDescent="0.25">
      <c r="A51"/>
      <c r="B51"/>
    </row>
    <row r="52" spans="1:2" x14ac:dyDescent="0.25">
      <c r="A52"/>
      <c r="B52"/>
    </row>
    <row r="53" spans="1:2" x14ac:dyDescent="0.25">
      <c r="A53"/>
      <c r="B53"/>
    </row>
    <row r="54" spans="1:2" x14ac:dyDescent="0.25">
      <c r="A54"/>
      <c r="B54"/>
    </row>
    <row r="55" spans="1:2" x14ac:dyDescent="0.25">
      <c r="A55"/>
      <c r="B55"/>
    </row>
    <row r="56" spans="1:2" x14ac:dyDescent="0.25">
      <c r="A56"/>
      <c r="B56"/>
    </row>
    <row r="57" spans="1:2" x14ac:dyDescent="0.25">
      <c r="A57"/>
      <c r="B57"/>
    </row>
    <row r="58" spans="1:2" x14ac:dyDescent="0.25">
      <c r="A58"/>
      <c r="B58"/>
    </row>
    <row r="59" spans="1:2" x14ac:dyDescent="0.25">
      <c r="A59"/>
      <c r="B59"/>
    </row>
    <row r="60" spans="1:2" x14ac:dyDescent="0.25">
      <c r="A60"/>
      <c r="B60"/>
    </row>
    <row r="61" spans="1:2" x14ac:dyDescent="0.25">
      <c r="A61"/>
      <c r="B61"/>
    </row>
    <row r="62" spans="1:2" x14ac:dyDescent="0.25">
      <c r="A62"/>
      <c r="B62"/>
    </row>
    <row r="63" spans="1:2" x14ac:dyDescent="0.25">
      <c r="A63"/>
      <c r="B63"/>
    </row>
    <row r="64" spans="1:2" x14ac:dyDescent="0.25">
      <c r="A64"/>
      <c r="B64"/>
    </row>
    <row r="65" spans="1:2" x14ac:dyDescent="0.25">
      <c r="A65"/>
      <c r="B65"/>
    </row>
  </sheetData>
  <sheetProtection algorithmName="SHA-512" hashValue="A9wVxbI+PZAcTfmsIse5xpElLgGvDU+54LnThGPrkStqJph/S2vEwRjJy3bhhhkcdi1CyArRmQEOtQ7MquETkw==" saltValue="O8dxUsLsqc8R/mAaCDh79w==" spinCount="100000" sheet="1" objects="1" scenarios="1"/>
  <conditionalFormatting sqref="A6:A16 A18:A20">
    <cfRule type="expression" dxfId="1547" priority="25" stopIfTrue="1">
      <formula>MOD(ROW(),2)=0</formula>
    </cfRule>
    <cfRule type="expression" dxfId="1546" priority="26" stopIfTrue="1">
      <formula>MOD(ROW(),2)&lt;&gt;0</formula>
    </cfRule>
  </conditionalFormatting>
  <conditionalFormatting sqref="B6:C21">
    <cfRule type="expression" dxfId="1545" priority="27" stopIfTrue="1">
      <formula>MOD(ROW(),2)=0</formula>
    </cfRule>
    <cfRule type="expression" dxfId="1544" priority="28" stopIfTrue="1">
      <formula>MOD(ROW(),2)&lt;&gt;0</formula>
    </cfRule>
  </conditionalFormatting>
  <conditionalFormatting sqref="B17">
    <cfRule type="expression" dxfId="1543" priority="17" stopIfTrue="1">
      <formula>MOD(ROW(),2)=0</formula>
    </cfRule>
    <cfRule type="expression" dxfId="1542" priority="18" stopIfTrue="1">
      <formula>MOD(ROW(),2)&lt;&gt;0</formula>
    </cfRule>
  </conditionalFormatting>
  <conditionalFormatting sqref="A17">
    <cfRule type="expression" dxfId="1541" priority="19" stopIfTrue="1">
      <formula>MOD(ROW(),2)=0</formula>
    </cfRule>
    <cfRule type="expression" dxfId="1540" priority="20" stopIfTrue="1">
      <formula>MOD(ROW(),2)&lt;&gt;0</formula>
    </cfRule>
  </conditionalFormatting>
  <conditionalFormatting sqref="B18">
    <cfRule type="expression" dxfId="1539" priority="15" stopIfTrue="1">
      <formula>MOD(ROW(),2)=0</formula>
    </cfRule>
    <cfRule type="expression" dxfId="1538" priority="16" stopIfTrue="1">
      <formula>MOD(ROW(),2)&lt;&gt;0</formula>
    </cfRule>
  </conditionalFormatting>
  <conditionalFormatting sqref="B19">
    <cfRule type="expression" dxfId="1537" priority="11" stopIfTrue="1">
      <formula>MOD(ROW(),2)=0</formula>
    </cfRule>
    <cfRule type="expression" dxfId="1536" priority="12" stopIfTrue="1">
      <formula>MOD(ROW(),2)&lt;&gt;0</formula>
    </cfRule>
  </conditionalFormatting>
  <conditionalFormatting sqref="A26:A31">
    <cfRule type="expression" dxfId="1535" priority="7" stopIfTrue="1">
      <formula>MOD(ROW(),2)=0</formula>
    </cfRule>
    <cfRule type="expression" dxfId="1534" priority="8" stopIfTrue="1">
      <formula>MOD(ROW(),2)&lt;&gt;0</formula>
    </cfRule>
  </conditionalFormatting>
  <conditionalFormatting sqref="B26:C31">
    <cfRule type="expression" dxfId="1533" priority="9" stopIfTrue="1">
      <formula>MOD(ROW(),2)=0</formula>
    </cfRule>
    <cfRule type="expression" dxfId="1532" priority="10" stopIfTrue="1">
      <formula>MOD(ROW(),2)&lt;&gt;0</formula>
    </cfRule>
  </conditionalFormatting>
  <conditionalFormatting sqref="C17">
    <cfRule type="expression" dxfId="1531" priority="5" stopIfTrue="1">
      <formula>MOD(ROW(),2)=0</formula>
    </cfRule>
    <cfRule type="expression" dxfId="1530" priority="6" stopIfTrue="1">
      <formula>MOD(ROW(),2)&lt;&gt;0</formula>
    </cfRule>
  </conditionalFormatting>
  <conditionalFormatting sqref="A21">
    <cfRule type="expression" dxfId="1529" priority="1" stopIfTrue="1">
      <formula>MOD(ROW(),2)=0</formula>
    </cfRule>
    <cfRule type="expression" dxfId="1528" priority="2" stopIfTrue="1">
      <formula>MOD(ROW(),2)&lt;&gt;0</formula>
    </cfRule>
  </conditionalFormatting>
  <hyperlinks>
    <hyperlink ref="B24" location="Assumptions!A1" display="Assumptions" xr:uid="{AFB7F048-85FD-4011-B76F-8842B32ACC13}"/>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34"/>
  <dimension ref="A1:G68"/>
  <sheetViews>
    <sheetView showGridLines="0" zoomScale="85" zoomScaleNormal="85" workbookViewId="0">
      <selection activeCell="B18" sqref="B18"/>
    </sheetView>
  </sheetViews>
  <sheetFormatPr defaultColWidth="10" defaultRowHeight="12.5" x14ac:dyDescent="0.25"/>
  <cols>
    <col min="1" max="1" width="31.81640625" style="28" customWidth="1"/>
    <col min="2" max="4" width="22.81640625" style="28" customWidth="1"/>
    <col min="5" max="16384" width="10" style="28"/>
  </cols>
  <sheetData>
    <row r="1" spans="1:7" ht="20" x14ac:dyDescent="0.4">
      <c r="A1" s="40" t="s">
        <v>227</v>
      </c>
      <c r="B1" s="41"/>
      <c r="C1" s="41"/>
      <c r="D1" s="41"/>
      <c r="E1" s="41"/>
      <c r="F1" s="41"/>
      <c r="G1" s="41"/>
    </row>
    <row r="2" spans="1:7" ht="15.5" x14ac:dyDescent="0.35">
      <c r="A2" s="42" t="str">
        <f>IF(title="&gt; Enter workbook title here","Enter workbook title in Cover sheet",title)</f>
        <v>Fire Northern Ireland - Consolidated Factor Spreadsheet</v>
      </c>
      <c r="B2" s="43"/>
      <c r="C2" s="43"/>
      <c r="D2" s="43"/>
      <c r="E2" s="43"/>
      <c r="F2" s="43"/>
      <c r="G2" s="43"/>
    </row>
    <row r="3" spans="1:7" ht="15.5" x14ac:dyDescent="0.35">
      <c r="A3" s="44" t="str">
        <f>TABLE_FACTOR_TYPE_1&amp;" - x-"&amp;TABLE_SERIES_NUMBER_1</f>
        <v>CETV - x-206</v>
      </c>
      <c r="B3" s="43"/>
      <c r="C3" s="43"/>
      <c r="D3" s="43"/>
      <c r="E3" s="43"/>
      <c r="F3" s="43"/>
      <c r="G3" s="43"/>
    </row>
    <row r="4" spans="1:7" x14ac:dyDescent="0.25">
      <c r="A4" s="45"/>
    </row>
    <row r="6" spans="1:7" ht="13" x14ac:dyDescent="0.3">
      <c r="A6" s="155" t="s">
        <v>562</v>
      </c>
      <c r="B6" s="154" t="s">
        <v>563</v>
      </c>
      <c r="C6" s="154"/>
      <c r="D6" s="154"/>
    </row>
    <row r="7" spans="1:7" x14ac:dyDescent="0.25">
      <c r="A7" s="156" t="s">
        <v>305</v>
      </c>
      <c r="B7" s="154" t="s">
        <v>319</v>
      </c>
      <c r="C7" s="154"/>
      <c r="D7" s="154"/>
    </row>
    <row r="8" spans="1:7" x14ac:dyDescent="0.25">
      <c r="A8" s="156" t="s">
        <v>306</v>
      </c>
      <c r="B8" s="154" t="s">
        <v>332</v>
      </c>
      <c r="C8" s="154"/>
      <c r="D8" s="154"/>
    </row>
    <row r="9" spans="1:7" x14ac:dyDescent="0.25">
      <c r="A9" s="156" t="s">
        <v>307</v>
      </c>
      <c r="B9" s="154" t="s">
        <v>321</v>
      </c>
      <c r="C9" s="154"/>
      <c r="D9" s="154"/>
    </row>
    <row r="10" spans="1:7" x14ac:dyDescent="0.25">
      <c r="A10" s="156" t="s">
        <v>233</v>
      </c>
      <c r="B10" s="154" t="s">
        <v>322</v>
      </c>
      <c r="C10" s="154"/>
      <c r="D10" s="154"/>
    </row>
    <row r="11" spans="1:7" x14ac:dyDescent="0.25">
      <c r="A11" s="156" t="s">
        <v>308</v>
      </c>
      <c r="B11" s="154" t="s">
        <v>323</v>
      </c>
      <c r="C11" s="154"/>
      <c r="D11" s="154"/>
    </row>
    <row r="12" spans="1:7" x14ac:dyDescent="0.25">
      <c r="A12" s="156" t="s">
        <v>309</v>
      </c>
      <c r="B12" s="154" t="s">
        <v>324</v>
      </c>
      <c r="C12" s="154"/>
      <c r="D12" s="154"/>
    </row>
    <row r="13" spans="1:7" x14ac:dyDescent="0.25">
      <c r="A13" s="156" t="s">
        <v>570</v>
      </c>
      <c r="B13" s="154">
        <v>1</v>
      </c>
      <c r="C13" s="154"/>
      <c r="D13" s="154"/>
    </row>
    <row r="14" spans="1:7" x14ac:dyDescent="0.25">
      <c r="A14" s="156" t="s">
        <v>311</v>
      </c>
      <c r="B14" s="154">
        <v>206</v>
      </c>
      <c r="C14" s="154"/>
      <c r="D14" s="154"/>
    </row>
    <row r="15" spans="1:7" x14ac:dyDescent="0.25">
      <c r="A15" s="156" t="s">
        <v>573</v>
      </c>
      <c r="B15" s="154" t="s">
        <v>339</v>
      </c>
      <c r="C15" s="154"/>
      <c r="D15" s="154"/>
    </row>
    <row r="16" spans="1:7" x14ac:dyDescent="0.25">
      <c r="A16" s="156" t="s">
        <v>313</v>
      </c>
      <c r="B16" s="154" t="s">
        <v>340</v>
      </c>
      <c r="C16" s="154"/>
      <c r="D16" s="154"/>
    </row>
    <row r="17" spans="1:4" ht="70.5" customHeight="1" x14ac:dyDescent="0.25">
      <c r="A17" s="156" t="s">
        <v>642</v>
      </c>
      <c r="B17" s="154"/>
      <c r="C17" s="154"/>
      <c r="D17" s="154"/>
    </row>
    <row r="18" spans="1:4" x14ac:dyDescent="0.25">
      <c r="A18" s="156" t="s">
        <v>315</v>
      </c>
      <c r="B18" s="157">
        <v>45070</v>
      </c>
      <c r="C18" s="154"/>
      <c r="D18" s="154"/>
    </row>
    <row r="19" spans="1:4" x14ac:dyDescent="0.25">
      <c r="A19" s="156" t="s">
        <v>316</v>
      </c>
      <c r="B19" s="157">
        <v>45014</v>
      </c>
      <c r="C19" s="154"/>
      <c r="D19" s="154"/>
    </row>
    <row r="20" spans="1:4" x14ac:dyDescent="0.25">
      <c r="A20" s="156" t="s">
        <v>317</v>
      </c>
      <c r="B20" s="154" t="s">
        <v>327</v>
      </c>
      <c r="C20" s="154"/>
      <c r="D20" s="154"/>
    </row>
    <row r="21" spans="1:4" x14ac:dyDescent="0.25">
      <c r="A21" s="77" t="s">
        <v>318</v>
      </c>
      <c r="B21" s="154" t="s">
        <v>328</v>
      </c>
      <c r="C21" s="154"/>
      <c r="D21" s="154"/>
    </row>
    <row r="23" spans="1:4" x14ac:dyDescent="0.25">
      <c r="B23" s="91" t="str">
        <f>HYPERLINK("#'Factor List'!A1","Back to Factor List")</f>
        <v>Back to Factor List</v>
      </c>
    </row>
    <row r="24" spans="1:4" x14ac:dyDescent="0.25">
      <c r="B24" s="91" t="s">
        <v>240</v>
      </c>
    </row>
    <row r="25" spans="1:4" x14ac:dyDescent="0.25">
      <c r="B25" s="91"/>
    </row>
    <row r="26" spans="1:4" ht="26" x14ac:dyDescent="0.25">
      <c r="A26" s="87" t="s">
        <v>643</v>
      </c>
      <c r="B26" s="87" t="s">
        <v>644</v>
      </c>
      <c r="C26" s="87" t="s">
        <v>649</v>
      </c>
      <c r="D26" s="87" t="s">
        <v>647</v>
      </c>
    </row>
    <row r="27" spans="1:4" x14ac:dyDescent="0.25">
      <c r="A27" s="88">
        <v>18</v>
      </c>
      <c r="B27" s="89">
        <v>10.88</v>
      </c>
      <c r="C27" s="89">
        <v>2.52</v>
      </c>
      <c r="D27" s="89">
        <v>0</v>
      </c>
    </row>
    <row r="28" spans="1:4" x14ac:dyDescent="0.25">
      <c r="A28" s="88">
        <v>19</v>
      </c>
      <c r="B28" s="89">
        <v>11.04</v>
      </c>
      <c r="C28" s="89">
        <v>2.64</v>
      </c>
      <c r="D28" s="89">
        <v>0</v>
      </c>
    </row>
    <row r="29" spans="1:4" x14ac:dyDescent="0.25">
      <c r="A29" s="88">
        <v>20</v>
      </c>
      <c r="B29" s="89">
        <v>11.2</v>
      </c>
      <c r="C29" s="89">
        <v>2.68</v>
      </c>
      <c r="D29" s="89">
        <v>0</v>
      </c>
    </row>
    <row r="30" spans="1:4" x14ac:dyDescent="0.25">
      <c r="A30" s="88">
        <v>21</v>
      </c>
      <c r="B30" s="89">
        <v>11.36</v>
      </c>
      <c r="C30" s="89">
        <v>2.73</v>
      </c>
      <c r="D30" s="89">
        <v>0</v>
      </c>
    </row>
    <row r="31" spans="1:4" x14ac:dyDescent="0.25">
      <c r="A31" s="88">
        <v>22</v>
      </c>
      <c r="B31" s="89">
        <v>11.53</v>
      </c>
      <c r="C31" s="89">
        <v>2.77</v>
      </c>
      <c r="D31" s="89">
        <v>0</v>
      </c>
    </row>
    <row r="32" spans="1:4" x14ac:dyDescent="0.25">
      <c r="A32" s="88">
        <v>23</v>
      </c>
      <c r="B32" s="89">
        <v>11.69</v>
      </c>
      <c r="C32" s="89">
        <v>2.82</v>
      </c>
      <c r="D32" s="89">
        <v>0</v>
      </c>
    </row>
    <row r="33" spans="1:4" x14ac:dyDescent="0.25">
      <c r="A33" s="88">
        <v>24</v>
      </c>
      <c r="B33" s="89">
        <v>11.86</v>
      </c>
      <c r="C33" s="89">
        <v>2.86</v>
      </c>
      <c r="D33" s="89">
        <v>0</v>
      </c>
    </row>
    <row r="34" spans="1:4" x14ac:dyDescent="0.25">
      <c r="A34" s="88">
        <v>25</v>
      </c>
      <c r="B34" s="89">
        <v>12.04</v>
      </c>
      <c r="C34" s="89">
        <v>2.91</v>
      </c>
      <c r="D34" s="89">
        <v>0</v>
      </c>
    </row>
    <row r="35" spans="1:4" x14ac:dyDescent="0.25">
      <c r="A35" s="88">
        <v>26</v>
      </c>
      <c r="B35" s="89">
        <v>12.21</v>
      </c>
      <c r="C35" s="89">
        <v>2.96</v>
      </c>
      <c r="D35" s="89">
        <v>0</v>
      </c>
    </row>
    <row r="36" spans="1:4" x14ac:dyDescent="0.25">
      <c r="A36" s="88">
        <v>27</v>
      </c>
      <c r="B36" s="89">
        <v>12.39</v>
      </c>
      <c r="C36" s="89">
        <v>3</v>
      </c>
      <c r="D36" s="89">
        <v>0</v>
      </c>
    </row>
    <row r="37" spans="1:4" x14ac:dyDescent="0.25">
      <c r="A37" s="88">
        <v>28</v>
      </c>
      <c r="B37" s="89">
        <v>12.57</v>
      </c>
      <c r="C37" s="89">
        <v>3.05</v>
      </c>
      <c r="D37" s="89">
        <v>0</v>
      </c>
    </row>
    <row r="38" spans="1:4" x14ac:dyDescent="0.25">
      <c r="A38" s="88">
        <v>29</v>
      </c>
      <c r="B38" s="89">
        <v>12.75</v>
      </c>
      <c r="C38" s="89">
        <v>3.09</v>
      </c>
      <c r="D38" s="89">
        <v>0</v>
      </c>
    </row>
    <row r="39" spans="1:4" x14ac:dyDescent="0.25">
      <c r="A39" s="88">
        <v>30</v>
      </c>
      <c r="B39" s="89">
        <v>12.94</v>
      </c>
      <c r="C39" s="89">
        <v>3.14</v>
      </c>
      <c r="D39" s="89">
        <v>0</v>
      </c>
    </row>
    <row r="40" spans="1:4" x14ac:dyDescent="0.25">
      <c r="A40" s="88">
        <v>31</v>
      </c>
      <c r="B40" s="89">
        <v>13.13</v>
      </c>
      <c r="C40" s="89">
        <v>3.19</v>
      </c>
      <c r="D40" s="89">
        <v>0</v>
      </c>
    </row>
    <row r="41" spans="1:4" x14ac:dyDescent="0.25">
      <c r="A41" s="88">
        <v>32</v>
      </c>
      <c r="B41" s="89">
        <v>13.32</v>
      </c>
      <c r="C41" s="89">
        <v>3.23</v>
      </c>
      <c r="D41" s="89">
        <v>0</v>
      </c>
    </row>
    <row r="42" spans="1:4" x14ac:dyDescent="0.25">
      <c r="A42" s="88">
        <v>33</v>
      </c>
      <c r="B42" s="89">
        <v>13.52</v>
      </c>
      <c r="C42" s="89">
        <v>3.27</v>
      </c>
      <c r="D42" s="89">
        <v>0</v>
      </c>
    </row>
    <row r="43" spans="1:4" x14ac:dyDescent="0.25">
      <c r="A43" s="88">
        <v>34</v>
      </c>
      <c r="B43" s="89">
        <v>13.72</v>
      </c>
      <c r="C43" s="89">
        <v>3.32</v>
      </c>
      <c r="D43" s="89">
        <v>0</v>
      </c>
    </row>
    <row r="44" spans="1:4" x14ac:dyDescent="0.25">
      <c r="A44" s="88">
        <v>35</v>
      </c>
      <c r="B44" s="89">
        <v>13.92</v>
      </c>
      <c r="C44" s="89">
        <v>3.36</v>
      </c>
      <c r="D44" s="89">
        <v>0</v>
      </c>
    </row>
    <row r="45" spans="1:4" x14ac:dyDescent="0.25">
      <c r="A45" s="88">
        <v>36</v>
      </c>
      <c r="B45" s="89">
        <v>14.13</v>
      </c>
      <c r="C45" s="89">
        <v>3.41</v>
      </c>
      <c r="D45" s="89">
        <v>0</v>
      </c>
    </row>
    <row r="46" spans="1:4" x14ac:dyDescent="0.25">
      <c r="A46" s="88">
        <v>37</v>
      </c>
      <c r="B46" s="89">
        <v>14.34</v>
      </c>
      <c r="C46" s="89">
        <v>3.45</v>
      </c>
      <c r="D46" s="89">
        <v>0</v>
      </c>
    </row>
    <row r="47" spans="1:4" x14ac:dyDescent="0.25">
      <c r="A47" s="88">
        <v>38</v>
      </c>
      <c r="B47" s="89">
        <v>14.56</v>
      </c>
      <c r="C47" s="89">
        <v>3.49</v>
      </c>
      <c r="D47" s="89">
        <v>0</v>
      </c>
    </row>
    <row r="48" spans="1:4" x14ac:dyDescent="0.25">
      <c r="A48" s="88">
        <v>39</v>
      </c>
      <c r="B48" s="89">
        <v>14.78</v>
      </c>
      <c r="C48" s="89">
        <v>3.53</v>
      </c>
      <c r="D48" s="89">
        <v>0</v>
      </c>
    </row>
    <row r="49" spans="1:4" x14ac:dyDescent="0.25">
      <c r="A49" s="88">
        <v>40</v>
      </c>
      <c r="B49" s="89">
        <v>15</v>
      </c>
      <c r="C49" s="89">
        <v>3.57</v>
      </c>
      <c r="D49" s="89">
        <v>0</v>
      </c>
    </row>
    <row r="50" spans="1:4" x14ac:dyDescent="0.25">
      <c r="A50" s="88">
        <v>41</v>
      </c>
      <c r="B50" s="89">
        <v>15.23</v>
      </c>
      <c r="C50" s="89">
        <v>3.61</v>
      </c>
      <c r="D50" s="89">
        <v>0</v>
      </c>
    </row>
    <row r="51" spans="1:4" x14ac:dyDescent="0.25">
      <c r="A51" s="88">
        <v>42</v>
      </c>
      <c r="B51" s="89">
        <v>15.47</v>
      </c>
      <c r="C51" s="89">
        <v>3.65</v>
      </c>
      <c r="D51" s="89">
        <v>0</v>
      </c>
    </row>
    <row r="52" spans="1:4" x14ac:dyDescent="0.25">
      <c r="A52" s="88">
        <v>43</v>
      </c>
      <c r="B52" s="89">
        <v>15.71</v>
      </c>
      <c r="C52" s="89">
        <v>3.69</v>
      </c>
      <c r="D52" s="89">
        <v>0</v>
      </c>
    </row>
    <row r="53" spans="1:4" x14ac:dyDescent="0.25">
      <c r="A53" s="88">
        <v>44</v>
      </c>
      <c r="B53" s="89">
        <v>15.95</v>
      </c>
      <c r="C53" s="89">
        <v>3.73</v>
      </c>
      <c r="D53" s="89">
        <v>0</v>
      </c>
    </row>
    <row r="54" spans="1:4" x14ac:dyDescent="0.25">
      <c r="A54" s="88">
        <v>45</v>
      </c>
      <c r="B54" s="89">
        <v>16.2</v>
      </c>
      <c r="C54" s="89">
        <v>3.76</v>
      </c>
      <c r="D54" s="89">
        <v>0</v>
      </c>
    </row>
    <row r="55" spans="1:4" x14ac:dyDescent="0.25">
      <c r="A55" s="88">
        <v>46</v>
      </c>
      <c r="B55" s="89">
        <v>16.46</v>
      </c>
      <c r="C55" s="89">
        <v>3.8</v>
      </c>
      <c r="D55" s="89">
        <v>0</v>
      </c>
    </row>
    <row r="56" spans="1:4" x14ac:dyDescent="0.25">
      <c r="A56" s="88">
        <v>47</v>
      </c>
      <c r="B56" s="89">
        <v>16.72</v>
      </c>
      <c r="C56" s="89">
        <v>3.83</v>
      </c>
      <c r="D56" s="89">
        <v>0</v>
      </c>
    </row>
    <row r="57" spans="1:4" x14ac:dyDescent="0.25">
      <c r="A57" s="88">
        <v>48</v>
      </c>
      <c r="B57" s="89">
        <v>16.989999999999998</v>
      </c>
      <c r="C57" s="89">
        <v>3.86</v>
      </c>
      <c r="D57" s="89">
        <v>0</v>
      </c>
    </row>
    <row r="58" spans="1:4" x14ac:dyDescent="0.25">
      <c r="A58" s="88">
        <v>49</v>
      </c>
      <c r="B58" s="89">
        <v>17.260000000000002</v>
      </c>
      <c r="C58" s="89">
        <v>3.89</v>
      </c>
      <c r="D58" s="89">
        <v>0</v>
      </c>
    </row>
    <row r="59" spans="1:4" x14ac:dyDescent="0.25">
      <c r="A59" s="88">
        <v>50</v>
      </c>
      <c r="B59" s="89">
        <v>17.55</v>
      </c>
      <c r="C59" s="89">
        <v>3.91</v>
      </c>
      <c r="D59" s="89">
        <v>0</v>
      </c>
    </row>
    <row r="60" spans="1:4" x14ac:dyDescent="0.25">
      <c r="A60" s="88">
        <v>51</v>
      </c>
      <c r="B60" s="89">
        <v>17.84</v>
      </c>
      <c r="C60" s="89">
        <v>3.94</v>
      </c>
      <c r="D60" s="89">
        <v>0</v>
      </c>
    </row>
    <row r="61" spans="1:4" x14ac:dyDescent="0.25">
      <c r="A61" s="88">
        <v>52</v>
      </c>
      <c r="B61" s="89">
        <v>18.14</v>
      </c>
      <c r="C61" s="89">
        <v>3.97</v>
      </c>
      <c r="D61" s="89">
        <v>0</v>
      </c>
    </row>
    <row r="62" spans="1:4" x14ac:dyDescent="0.25">
      <c r="A62" s="88">
        <v>53</v>
      </c>
      <c r="B62" s="89">
        <v>18.440000000000001</v>
      </c>
      <c r="C62" s="89">
        <v>3.99</v>
      </c>
      <c r="D62" s="89">
        <v>0</v>
      </c>
    </row>
    <row r="63" spans="1:4" x14ac:dyDescent="0.25">
      <c r="A63" s="88">
        <v>54</v>
      </c>
      <c r="B63" s="89">
        <v>18.760000000000002</v>
      </c>
      <c r="C63" s="89">
        <v>4.01</v>
      </c>
      <c r="D63" s="89">
        <v>0</v>
      </c>
    </row>
    <row r="64" spans="1:4" x14ac:dyDescent="0.25">
      <c r="A64" s="88">
        <v>55</v>
      </c>
      <c r="B64" s="89">
        <v>19.079999999999998</v>
      </c>
      <c r="C64" s="89">
        <v>4.03</v>
      </c>
      <c r="D64" s="89">
        <v>0</v>
      </c>
    </row>
    <row r="65" spans="1:4" x14ac:dyDescent="0.25">
      <c r="A65" s="88">
        <v>56</v>
      </c>
      <c r="B65" s="89">
        <v>19.420000000000002</v>
      </c>
      <c r="C65" s="89">
        <v>4.05</v>
      </c>
      <c r="D65" s="89">
        <v>0</v>
      </c>
    </row>
    <row r="66" spans="1:4" x14ac:dyDescent="0.25">
      <c r="A66" s="88">
        <v>57</v>
      </c>
      <c r="B66" s="89">
        <v>19.77</v>
      </c>
      <c r="C66" s="89">
        <v>4.0599999999999996</v>
      </c>
      <c r="D66" s="89">
        <v>0</v>
      </c>
    </row>
    <row r="67" spans="1:4" x14ac:dyDescent="0.25">
      <c r="A67" s="88">
        <v>58</v>
      </c>
      <c r="B67" s="89">
        <v>20.13</v>
      </c>
      <c r="C67" s="89">
        <v>4.07</v>
      </c>
      <c r="D67" s="89">
        <v>0</v>
      </c>
    </row>
    <row r="68" spans="1:4" x14ac:dyDescent="0.25">
      <c r="A68" s="88">
        <v>59</v>
      </c>
      <c r="B68" s="89">
        <v>20.5</v>
      </c>
      <c r="C68" s="89">
        <v>4.08</v>
      </c>
      <c r="D68" s="89">
        <v>0</v>
      </c>
    </row>
  </sheetData>
  <sheetProtection algorithmName="SHA-512" hashValue="r40gmHyMQH2RqnnOznVTYAhGbDq0RZj9RCh4AZuzb5P5rrshAwku1cxUE23J1w9Co2hWGoUXim0gi8GeBsMFeA==" saltValue="iFzNa2xd7zB/bRvW0WQvww==" spinCount="100000" sheet="1" objects="1" scenarios="1"/>
  <conditionalFormatting sqref="A6:A16 A18:A20">
    <cfRule type="expression" dxfId="1527" priority="25" stopIfTrue="1">
      <formula>MOD(ROW(),2)=0</formula>
    </cfRule>
    <cfRule type="expression" dxfId="1526" priority="26" stopIfTrue="1">
      <formula>MOD(ROW(),2)&lt;&gt;0</formula>
    </cfRule>
  </conditionalFormatting>
  <conditionalFormatting sqref="B6:D21">
    <cfRule type="expression" dxfId="1525" priority="27" stopIfTrue="1">
      <formula>MOD(ROW(),2)=0</formula>
    </cfRule>
    <cfRule type="expression" dxfId="1524" priority="28" stopIfTrue="1">
      <formula>MOD(ROW(),2)&lt;&gt;0</formula>
    </cfRule>
  </conditionalFormatting>
  <conditionalFormatting sqref="B17">
    <cfRule type="expression" dxfId="1523" priority="17" stopIfTrue="1">
      <formula>MOD(ROW(),2)=0</formula>
    </cfRule>
    <cfRule type="expression" dxfId="1522" priority="18" stopIfTrue="1">
      <formula>MOD(ROW(),2)&lt;&gt;0</formula>
    </cfRule>
  </conditionalFormatting>
  <conditionalFormatting sqref="A17">
    <cfRule type="expression" dxfId="1521" priority="19" stopIfTrue="1">
      <formula>MOD(ROW(),2)=0</formula>
    </cfRule>
    <cfRule type="expression" dxfId="1520" priority="20" stopIfTrue="1">
      <formula>MOD(ROW(),2)&lt;&gt;0</formula>
    </cfRule>
  </conditionalFormatting>
  <conditionalFormatting sqref="B18">
    <cfRule type="expression" dxfId="1519" priority="15" stopIfTrue="1">
      <formula>MOD(ROW(),2)=0</formula>
    </cfRule>
    <cfRule type="expression" dxfId="1518" priority="16" stopIfTrue="1">
      <formula>MOD(ROW(),2)&lt;&gt;0</formula>
    </cfRule>
  </conditionalFormatting>
  <conditionalFormatting sqref="B19">
    <cfRule type="expression" dxfId="1517" priority="11" stopIfTrue="1">
      <formula>MOD(ROW(),2)=0</formula>
    </cfRule>
    <cfRule type="expression" dxfId="1516" priority="12" stopIfTrue="1">
      <formula>MOD(ROW(),2)&lt;&gt;0</formula>
    </cfRule>
  </conditionalFormatting>
  <conditionalFormatting sqref="A26:A68">
    <cfRule type="expression" dxfId="1515" priority="7" stopIfTrue="1">
      <formula>MOD(ROW(),2)=0</formula>
    </cfRule>
    <cfRule type="expression" dxfId="1514" priority="8" stopIfTrue="1">
      <formula>MOD(ROW(),2)&lt;&gt;0</formula>
    </cfRule>
  </conditionalFormatting>
  <conditionalFormatting sqref="B26:D68">
    <cfRule type="expression" dxfId="1513" priority="9" stopIfTrue="1">
      <formula>MOD(ROW(),2)=0</formula>
    </cfRule>
    <cfRule type="expression" dxfId="1512" priority="10" stopIfTrue="1">
      <formula>MOD(ROW(),2)&lt;&gt;0</formula>
    </cfRule>
  </conditionalFormatting>
  <conditionalFormatting sqref="C17:D17">
    <cfRule type="expression" dxfId="1511" priority="5" stopIfTrue="1">
      <formula>MOD(ROW(),2)=0</formula>
    </cfRule>
    <cfRule type="expression" dxfId="1510" priority="6" stopIfTrue="1">
      <formula>MOD(ROW(),2)&lt;&gt;0</formula>
    </cfRule>
  </conditionalFormatting>
  <conditionalFormatting sqref="A21">
    <cfRule type="expression" dxfId="1509" priority="1" stopIfTrue="1">
      <formula>MOD(ROW(),2)=0</formula>
    </cfRule>
    <cfRule type="expression" dxfId="1508" priority="2" stopIfTrue="1">
      <formula>MOD(ROW(),2)&lt;&gt;0</formula>
    </cfRule>
  </conditionalFormatting>
  <hyperlinks>
    <hyperlink ref="B24" location="Assumptions!A1" display="Assumptions" xr:uid="{D35FBBCE-5628-4CB0-A9C2-1DEA40FF2A55}"/>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35"/>
  <dimension ref="A1:G68"/>
  <sheetViews>
    <sheetView showGridLines="0" zoomScale="85" zoomScaleNormal="85" workbookViewId="0">
      <selection activeCell="B18" sqref="B18"/>
    </sheetView>
  </sheetViews>
  <sheetFormatPr defaultColWidth="10" defaultRowHeight="12.5" x14ac:dyDescent="0.25"/>
  <cols>
    <col min="1" max="1" width="31.81640625" style="28" customWidth="1"/>
    <col min="2" max="4" width="22.81640625" style="28" customWidth="1"/>
    <col min="5" max="16384" width="10" style="28"/>
  </cols>
  <sheetData>
    <row r="1" spans="1:7" ht="20" x14ac:dyDescent="0.4">
      <c r="A1" s="40" t="s">
        <v>227</v>
      </c>
      <c r="B1" s="41"/>
      <c r="C1" s="41"/>
      <c r="D1" s="41"/>
      <c r="E1" s="41"/>
      <c r="F1" s="41"/>
      <c r="G1" s="41"/>
    </row>
    <row r="2" spans="1:7" ht="15.5" x14ac:dyDescent="0.35">
      <c r="A2" s="42" t="str">
        <f>IF(title="&gt; Enter workbook title here","Enter workbook title in Cover sheet",title)</f>
        <v>Fire Northern Ireland - Consolidated Factor Spreadsheet</v>
      </c>
      <c r="B2" s="43"/>
      <c r="C2" s="43"/>
      <c r="D2" s="43"/>
      <c r="E2" s="43"/>
      <c r="F2" s="43"/>
      <c r="G2" s="43"/>
    </row>
    <row r="3" spans="1:7" ht="15.5" x14ac:dyDescent="0.35">
      <c r="A3" s="44" t="str">
        <f>TABLE_FACTOR_TYPE_1&amp;" - x-"&amp;TABLE_SERIES_NUMBER_1</f>
        <v>CETV - x-207</v>
      </c>
      <c r="B3" s="43"/>
      <c r="C3" s="43"/>
      <c r="D3" s="43"/>
      <c r="E3" s="43"/>
      <c r="F3" s="43"/>
      <c r="G3" s="43"/>
    </row>
    <row r="4" spans="1:7" x14ac:dyDescent="0.25">
      <c r="A4" s="45"/>
    </row>
    <row r="6" spans="1:7" ht="13" x14ac:dyDescent="0.3">
      <c r="A6" s="155" t="s">
        <v>562</v>
      </c>
      <c r="B6" s="154" t="s">
        <v>563</v>
      </c>
      <c r="C6" s="154"/>
      <c r="D6" s="154"/>
    </row>
    <row r="7" spans="1:7" x14ac:dyDescent="0.25">
      <c r="A7" s="156" t="s">
        <v>305</v>
      </c>
      <c r="B7" s="154" t="s">
        <v>319</v>
      </c>
      <c r="C7" s="154"/>
      <c r="D7" s="154"/>
    </row>
    <row r="8" spans="1:7" x14ac:dyDescent="0.25">
      <c r="A8" s="156" t="s">
        <v>306</v>
      </c>
      <c r="B8" s="154" t="s">
        <v>332</v>
      </c>
      <c r="C8" s="154"/>
      <c r="D8" s="154"/>
    </row>
    <row r="9" spans="1:7" x14ac:dyDescent="0.25">
      <c r="A9" s="156" t="s">
        <v>307</v>
      </c>
      <c r="B9" s="154" t="s">
        <v>321</v>
      </c>
      <c r="C9" s="154"/>
      <c r="D9" s="154"/>
    </row>
    <row r="10" spans="1:7" x14ac:dyDescent="0.25">
      <c r="A10" s="156" t="s">
        <v>233</v>
      </c>
      <c r="B10" s="154" t="s">
        <v>322</v>
      </c>
      <c r="C10" s="154"/>
      <c r="D10" s="154"/>
    </row>
    <row r="11" spans="1:7" x14ac:dyDescent="0.25">
      <c r="A11" s="156" t="s">
        <v>308</v>
      </c>
      <c r="B11" s="154" t="s">
        <v>329</v>
      </c>
      <c r="C11" s="154"/>
      <c r="D11" s="154"/>
    </row>
    <row r="12" spans="1:7" x14ac:dyDescent="0.25">
      <c r="A12" s="156" t="s">
        <v>309</v>
      </c>
      <c r="B12" s="154" t="s">
        <v>324</v>
      </c>
      <c r="C12" s="154"/>
      <c r="D12" s="154"/>
    </row>
    <row r="13" spans="1:7" x14ac:dyDescent="0.25">
      <c r="A13" s="156" t="s">
        <v>570</v>
      </c>
      <c r="B13" s="154">
        <v>1</v>
      </c>
      <c r="C13" s="154"/>
      <c r="D13" s="154"/>
    </row>
    <row r="14" spans="1:7" x14ac:dyDescent="0.25">
      <c r="A14" s="156" t="s">
        <v>311</v>
      </c>
      <c r="B14" s="154">
        <v>207</v>
      </c>
      <c r="C14" s="154"/>
      <c r="D14" s="154"/>
    </row>
    <row r="15" spans="1:7" x14ac:dyDescent="0.25">
      <c r="A15" s="156" t="s">
        <v>573</v>
      </c>
      <c r="B15" s="154" t="s">
        <v>341</v>
      </c>
      <c r="C15" s="154"/>
      <c r="D15" s="154"/>
    </row>
    <row r="16" spans="1:7" ht="12.75" customHeight="1" x14ac:dyDescent="0.25">
      <c r="A16" s="156" t="s">
        <v>313</v>
      </c>
      <c r="B16" s="154" t="s">
        <v>342</v>
      </c>
      <c r="C16" s="154"/>
      <c r="D16" s="154"/>
    </row>
    <row r="17" spans="1:4" ht="69.650000000000006" customHeight="1" x14ac:dyDescent="0.25">
      <c r="A17" s="156" t="s">
        <v>642</v>
      </c>
      <c r="B17" s="154"/>
      <c r="C17" s="154"/>
      <c r="D17" s="154"/>
    </row>
    <row r="18" spans="1:4" x14ac:dyDescent="0.25">
      <c r="A18" s="156" t="s">
        <v>315</v>
      </c>
      <c r="B18" s="157">
        <v>45070</v>
      </c>
      <c r="C18" s="154"/>
      <c r="D18" s="154"/>
    </row>
    <row r="19" spans="1:4" x14ac:dyDescent="0.25">
      <c r="A19" s="156" t="s">
        <v>316</v>
      </c>
      <c r="B19" s="157">
        <v>45014</v>
      </c>
      <c r="C19" s="154"/>
      <c r="D19" s="154"/>
    </row>
    <row r="20" spans="1:4" x14ac:dyDescent="0.25">
      <c r="A20" s="156" t="s">
        <v>317</v>
      </c>
      <c r="B20" s="154" t="s">
        <v>327</v>
      </c>
      <c r="C20" s="154"/>
      <c r="D20" s="154"/>
    </row>
    <row r="21" spans="1:4" x14ac:dyDescent="0.25">
      <c r="A21" s="77" t="s">
        <v>318</v>
      </c>
      <c r="B21" s="154" t="s">
        <v>328</v>
      </c>
      <c r="C21" s="154"/>
      <c r="D21" s="154"/>
    </row>
    <row r="23" spans="1:4" x14ac:dyDescent="0.25">
      <c r="B23" s="91" t="str">
        <f>HYPERLINK("#'Factor List'!A1","Back to Factor List")</f>
        <v>Back to Factor List</v>
      </c>
    </row>
    <row r="24" spans="1:4" x14ac:dyDescent="0.25">
      <c r="B24" s="91" t="s">
        <v>240</v>
      </c>
    </row>
    <row r="25" spans="1:4" x14ac:dyDescent="0.25">
      <c r="B25" s="91"/>
    </row>
    <row r="26" spans="1:4" ht="26" x14ac:dyDescent="0.25">
      <c r="A26" s="87" t="s">
        <v>643</v>
      </c>
      <c r="B26" s="87" t="s">
        <v>644</v>
      </c>
      <c r="C26" s="87" t="s">
        <v>649</v>
      </c>
      <c r="D26" s="87" t="s">
        <v>647</v>
      </c>
    </row>
    <row r="27" spans="1:4" x14ac:dyDescent="0.25">
      <c r="A27" s="88">
        <v>18</v>
      </c>
      <c r="B27" s="89">
        <v>10.88</v>
      </c>
      <c r="C27" s="89">
        <v>2.52</v>
      </c>
      <c r="D27" s="89">
        <v>0</v>
      </c>
    </row>
    <row r="28" spans="1:4" x14ac:dyDescent="0.25">
      <c r="A28" s="88">
        <v>19</v>
      </c>
      <c r="B28" s="89">
        <v>11.04</v>
      </c>
      <c r="C28" s="89">
        <v>2.64</v>
      </c>
      <c r="D28" s="89">
        <v>0</v>
      </c>
    </row>
    <row r="29" spans="1:4" x14ac:dyDescent="0.25">
      <c r="A29" s="88">
        <v>20</v>
      </c>
      <c r="B29" s="89">
        <v>11.2</v>
      </c>
      <c r="C29" s="89">
        <v>2.68</v>
      </c>
      <c r="D29" s="89">
        <v>0</v>
      </c>
    </row>
    <row r="30" spans="1:4" x14ac:dyDescent="0.25">
      <c r="A30" s="88">
        <v>21</v>
      </c>
      <c r="B30" s="89">
        <v>11.36</v>
      </c>
      <c r="C30" s="89">
        <v>2.73</v>
      </c>
      <c r="D30" s="89">
        <v>0</v>
      </c>
    </row>
    <row r="31" spans="1:4" x14ac:dyDescent="0.25">
      <c r="A31" s="88">
        <v>22</v>
      </c>
      <c r="B31" s="89">
        <v>11.53</v>
      </c>
      <c r="C31" s="89">
        <v>2.77</v>
      </c>
      <c r="D31" s="89">
        <v>0</v>
      </c>
    </row>
    <row r="32" spans="1:4" x14ac:dyDescent="0.25">
      <c r="A32" s="88">
        <v>23</v>
      </c>
      <c r="B32" s="89">
        <v>11.69</v>
      </c>
      <c r="C32" s="89">
        <v>2.82</v>
      </c>
      <c r="D32" s="89">
        <v>0</v>
      </c>
    </row>
    <row r="33" spans="1:4" x14ac:dyDescent="0.25">
      <c r="A33" s="88">
        <v>24</v>
      </c>
      <c r="B33" s="89">
        <v>11.86</v>
      </c>
      <c r="C33" s="89">
        <v>2.86</v>
      </c>
      <c r="D33" s="89">
        <v>0</v>
      </c>
    </row>
    <row r="34" spans="1:4" x14ac:dyDescent="0.25">
      <c r="A34" s="88">
        <v>25</v>
      </c>
      <c r="B34" s="89">
        <v>12.04</v>
      </c>
      <c r="C34" s="89">
        <v>2.91</v>
      </c>
      <c r="D34" s="89">
        <v>0</v>
      </c>
    </row>
    <row r="35" spans="1:4" x14ac:dyDescent="0.25">
      <c r="A35" s="88">
        <v>26</v>
      </c>
      <c r="B35" s="89">
        <v>12.21</v>
      </c>
      <c r="C35" s="89">
        <v>2.96</v>
      </c>
      <c r="D35" s="89">
        <v>0</v>
      </c>
    </row>
    <row r="36" spans="1:4" x14ac:dyDescent="0.25">
      <c r="A36" s="88">
        <v>27</v>
      </c>
      <c r="B36" s="89">
        <v>12.39</v>
      </c>
      <c r="C36" s="89">
        <v>3</v>
      </c>
      <c r="D36" s="89">
        <v>0</v>
      </c>
    </row>
    <row r="37" spans="1:4" x14ac:dyDescent="0.25">
      <c r="A37" s="88">
        <v>28</v>
      </c>
      <c r="B37" s="89">
        <v>12.57</v>
      </c>
      <c r="C37" s="89">
        <v>3.05</v>
      </c>
      <c r="D37" s="89">
        <v>0</v>
      </c>
    </row>
    <row r="38" spans="1:4" x14ac:dyDescent="0.25">
      <c r="A38" s="88">
        <v>29</v>
      </c>
      <c r="B38" s="89">
        <v>12.75</v>
      </c>
      <c r="C38" s="89">
        <v>3.09</v>
      </c>
      <c r="D38" s="89">
        <v>0</v>
      </c>
    </row>
    <row r="39" spans="1:4" x14ac:dyDescent="0.25">
      <c r="A39" s="88">
        <v>30</v>
      </c>
      <c r="B39" s="89">
        <v>12.94</v>
      </c>
      <c r="C39" s="89">
        <v>3.14</v>
      </c>
      <c r="D39" s="89">
        <v>0</v>
      </c>
    </row>
    <row r="40" spans="1:4" x14ac:dyDescent="0.25">
      <c r="A40" s="88">
        <v>31</v>
      </c>
      <c r="B40" s="89">
        <v>13.13</v>
      </c>
      <c r="C40" s="89">
        <v>3.19</v>
      </c>
      <c r="D40" s="89">
        <v>0</v>
      </c>
    </row>
    <row r="41" spans="1:4" x14ac:dyDescent="0.25">
      <c r="A41" s="88">
        <v>32</v>
      </c>
      <c r="B41" s="89">
        <v>13.32</v>
      </c>
      <c r="C41" s="89">
        <v>3.23</v>
      </c>
      <c r="D41" s="89">
        <v>0</v>
      </c>
    </row>
    <row r="42" spans="1:4" x14ac:dyDescent="0.25">
      <c r="A42" s="88">
        <v>33</v>
      </c>
      <c r="B42" s="89">
        <v>13.52</v>
      </c>
      <c r="C42" s="89">
        <v>3.27</v>
      </c>
      <c r="D42" s="89">
        <v>0</v>
      </c>
    </row>
    <row r="43" spans="1:4" x14ac:dyDescent="0.25">
      <c r="A43" s="88">
        <v>34</v>
      </c>
      <c r="B43" s="89">
        <v>13.72</v>
      </c>
      <c r="C43" s="89">
        <v>3.32</v>
      </c>
      <c r="D43" s="89">
        <v>0</v>
      </c>
    </row>
    <row r="44" spans="1:4" x14ac:dyDescent="0.25">
      <c r="A44" s="88">
        <v>35</v>
      </c>
      <c r="B44" s="89">
        <v>13.92</v>
      </c>
      <c r="C44" s="89">
        <v>3.36</v>
      </c>
      <c r="D44" s="89">
        <v>0</v>
      </c>
    </row>
    <row r="45" spans="1:4" x14ac:dyDescent="0.25">
      <c r="A45" s="88">
        <v>36</v>
      </c>
      <c r="B45" s="89">
        <v>14.13</v>
      </c>
      <c r="C45" s="89">
        <v>3.41</v>
      </c>
      <c r="D45" s="89">
        <v>0</v>
      </c>
    </row>
    <row r="46" spans="1:4" x14ac:dyDescent="0.25">
      <c r="A46" s="88">
        <v>37</v>
      </c>
      <c r="B46" s="89">
        <v>14.34</v>
      </c>
      <c r="C46" s="89">
        <v>3.45</v>
      </c>
      <c r="D46" s="89">
        <v>0</v>
      </c>
    </row>
    <row r="47" spans="1:4" x14ac:dyDescent="0.25">
      <c r="A47" s="88">
        <v>38</v>
      </c>
      <c r="B47" s="89">
        <v>14.56</v>
      </c>
      <c r="C47" s="89">
        <v>3.49</v>
      </c>
      <c r="D47" s="89">
        <v>0</v>
      </c>
    </row>
    <row r="48" spans="1:4" x14ac:dyDescent="0.25">
      <c r="A48" s="88">
        <v>39</v>
      </c>
      <c r="B48" s="89">
        <v>14.78</v>
      </c>
      <c r="C48" s="89">
        <v>3.53</v>
      </c>
      <c r="D48" s="89">
        <v>0</v>
      </c>
    </row>
    <row r="49" spans="1:4" x14ac:dyDescent="0.25">
      <c r="A49" s="88">
        <v>40</v>
      </c>
      <c r="B49" s="89">
        <v>15</v>
      </c>
      <c r="C49" s="89">
        <v>3.57</v>
      </c>
      <c r="D49" s="89">
        <v>0</v>
      </c>
    </row>
    <row r="50" spans="1:4" x14ac:dyDescent="0.25">
      <c r="A50" s="88">
        <v>41</v>
      </c>
      <c r="B50" s="89">
        <v>15.23</v>
      </c>
      <c r="C50" s="89">
        <v>3.61</v>
      </c>
      <c r="D50" s="89">
        <v>0</v>
      </c>
    </row>
    <row r="51" spans="1:4" x14ac:dyDescent="0.25">
      <c r="A51" s="88">
        <v>42</v>
      </c>
      <c r="B51" s="89">
        <v>15.47</v>
      </c>
      <c r="C51" s="89">
        <v>3.65</v>
      </c>
      <c r="D51" s="89">
        <v>0</v>
      </c>
    </row>
    <row r="52" spans="1:4" x14ac:dyDescent="0.25">
      <c r="A52" s="88">
        <v>43</v>
      </c>
      <c r="B52" s="89">
        <v>15.71</v>
      </c>
      <c r="C52" s="89">
        <v>3.69</v>
      </c>
      <c r="D52" s="89">
        <v>0</v>
      </c>
    </row>
    <row r="53" spans="1:4" x14ac:dyDescent="0.25">
      <c r="A53" s="88">
        <v>44</v>
      </c>
      <c r="B53" s="89">
        <v>15.95</v>
      </c>
      <c r="C53" s="89">
        <v>3.73</v>
      </c>
      <c r="D53" s="89">
        <v>0</v>
      </c>
    </row>
    <row r="54" spans="1:4" x14ac:dyDescent="0.25">
      <c r="A54" s="88">
        <v>45</v>
      </c>
      <c r="B54" s="89">
        <v>16.2</v>
      </c>
      <c r="C54" s="89">
        <v>3.76</v>
      </c>
      <c r="D54" s="89">
        <v>0</v>
      </c>
    </row>
    <row r="55" spans="1:4" x14ac:dyDescent="0.25">
      <c r="A55" s="88">
        <v>46</v>
      </c>
      <c r="B55" s="89">
        <v>16.46</v>
      </c>
      <c r="C55" s="89">
        <v>3.8</v>
      </c>
      <c r="D55" s="89">
        <v>0</v>
      </c>
    </row>
    <row r="56" spans="1:4" x14ac:dyDescent="0.25">
      <c r="A56" s="88">
        <v>47</v>
      </c>
      <c r="B56" s="89">
        <v>16.72</v>
      </c>
      <c r="C56" s="89">
        <v>3.83</v>
      </c>
      <c r="D56" s="89">
        <v>0</v>
      </c>
    </row>
    <row r="57" spans="1:4" x14ac:dyDescent="0.25">
      <c r="A57" s="88">
        <v>48</v>
      </c>
      <c r="B57" s="89">
        <v>16.989999999999998</v>
      </c>
      <c r="C57" s="89">
        <v>3.86</v>
      </c>
      <c r="D57" s="89">
        <v>0</v>
      </c>
    </row>
    <row r="58" spans="1:4" x14ac:dyDescent="0.25">
      <c r="A58" s="88">
        <v>49</v>
      </c>
      <c r="B58" s="89">
        <v>17.260000000000002</v>
      </c>
      <c r="C58" s="89">
        <v>3.89</v>
      </c>
      <c r="D58" s="89">
        <v>0</v>
      </c>
    </row>
    <row r="59" spans="1:4" x14ac:dyDescent="0.25">
      <c r="A59" s="88">
        <v>50</v>
      </c>
      <c r="B59" s="89">
        <v>17.55</v>
      </c>
      <c r="C59" s="89">
        <v>3.91</v>
      </c>
      <c r="D59" s="89">
        <v>0</v>
      </c>
    </row>
    <row r="60" spans="1:4" x14ac:dyDescent="0.25">
      <c r="A60" s="88">
        <v>51</v>
      </c>
      <c r="B60" s="89">
        <v>17.84</v>
      </c>
      <c r="C60" s="89">
        <v>3.94</v>
      </c>
      <c r="D60" s="89">
        <v>0</v>
      </c>
    </row>
    <row r="61" spans="1:4" x14ac:dyDescent="0.25">
      <c r="A61" s="88">
        <v>52</v>
      </c>
      <c r="B61" s="89">
        <v>18.14</v>
      </c>
      <c r="C61" s="89">
        <v>3.97</v>
      </c>
      <c r="D61" s="89">
        <v>0</v>
      </c>
    </row>
    <row r="62" spans="1:4" x14ac:dyDescent="0.25">
      <c r="A62" s="88">
        <v>53</v>
      </c>
      <c r="B62" s="89">
        <v>18.440000000000001</v>
      </c>
      <c r="C62" s="89">
        <v>3.99</v>
      </c>
      <c r="D62" s="89">
        <v>0</v>
      </c>
    </row>
    <row r="63" spans="1:4" x14ac:dyDescent="0.25">
      <c r="A63" s="88">
        <v>54</v>
      </c>
      <c r="B63" s="89">
        <v>18.760000000000002</v>
      </c>
      <c r="C63" s="89">
        <v>4.01</v>
      </c>
      <c r="D63" s="89">
        <v>0</v>
      </c>
    </row>
    <row r="64" spans="1:4" x14ac:dyDescent="0.25">
      <c r="A64" s="88">
        <v>55</v>
      </c>
      <c r="B64" s="89">
        <v>19.079999999999998</v>
      </c>
      <c r="C64" s="89">
        <v>4.03</v>
      </c>
      <c r="D64" s="89">
        <v>0</v>
      </c>
    </row>
    <row r="65" spans="1:4" x14ac:dyDescent="0.25">
      <c r="A65" s="88">
        <v>56</v>
      </c>
      <c r="B65" s="89">
        <v>19.420000000000002</v>
      </c>
      <c r="C65" s="89">
        <v>4.05</v>
      </c>
      <c r="D65" s="89">
        <v>0</v>
      </c>
    </row>
    <row r="66" spans="1:4" x14ac:dyDescent="0.25">
      <c r="A66" s="88">
        <v>57</v>
      </c>
      <c r="B66" s="89">
        <v>19.77</v>
      </c>
      <c r="C66" s="89">
        <v>4.0599999999999996</v>
      </c>
      <c r="D66" s="89">
        <v>0</v>
      </c>
    </row>
    <row r="67" spans="1:4" x14ac:dyDescent="0.25">
      <c r="A67" s="88">
        <v>58</v>
      </c>
      <c r="B67" s="89">
        <v>20.13</v>
      </c>
      <c r="C67" s="89">
        <v>4.07</v>
      </c>
      <c r="D67" s="89">
        <v>0</v>
      </c>
    </row>
    <row r="68" spans="1:4" x14ac:dyDescent="0.25">
      <c r="A68" s="88">
        <v>59</v>
      </c>
      <c r="B68" s="89">
        <v>20.5</v>
      </c>
      <c r="C68" s="89">
        <v>4.08</v>
      </c>
      <c r="D68" s="89">
        <v>0</v>
      </c>
    </row>
  </sheetData>
  <sheetProtection algorithmName="SHA-512" hashValue="YVg+NaTr41AUuKgU9UqOEUgF3SHsk0HeSUb9XJxJPhr5JsBAbGIYRskKIXvx2A+0Y/Or6ygQoK9JihAp+GYR2Q==" saltValue="9yRl0uSqjFpinLKtrFre7g==" spinCount="100000" sheet="1" objects="1" scenarios="1"/>
  <conditionalFormatting sqref="A6:A16 A18:A20">
    <cfRule type="expression" dxfId="1507" priority="27" stopIfTrue="1">
      <formula>MOD(ROW(),2)=0</formula>
    </cfRule>
    <cfRule type="expression" dxfId="1506" priority="28" stopIfTrue="1">
      <formula>MOD(ROW(),2)&lt;&gt;0</formula>
    </cfRule>
  </conditionalFormatting>
  <conditionalFormatting sqref="B6:D21">
    <cfRule type="expression" dxfId="1505" priority="29" stopIfTrue="1">
      <formula>MOD(ROW(),2)=0</formula>
    </cfRule>
    <cfRule type="expression" dxfId="1504" priority="30" stopIfTrue="1">
      <formula>MOD(ROW(),2)&lt;&gt;0</formula>
    </cfRule>
  </conditionalFormatting>
  <conditionalFormatting sqref="A17">
    <cfRule type="expression" dxfId="1503" priority="21" stopIfTrue="1">
      <formula>MOD(ROW(),2)=0</formula>
    </cfRule>
    <cfRule type="expression" dxfId="1502" priority="22" stopIfTrue="1">
      <formula>MOD(ROW(),2)&lt;&gt;0</formula>
    </cfRule>
  </conditionalFormatting>
  <conditionalFormatting sqref="B17">
    <cfRule type="expression" dxfId="1501" priority="17" stopIfTrue="1">
      <formula>MOD(ROW(),2)=0</formula>
    </cfRule>
    <cfRule type="expression" dxfId="1500" priority="18" stopIfTrue="1">
      <formula>MOD(ROW(),2)&lt;&gt;0</formula>
    </cfRule>
  </conditionalFormatting>
  <conditionalFormatting sqref="B18">
    <cfRule type="expression" dxfId="1499" priority="15" stopIfTrue="1">
      <formula>MOD(ROW(),2)=0</formula>
    </cfRule>
    <cfRule type="expression" dxfId="1498" priority="16" stopIfTrue="1">
      <formula>MOD(ROW(),2)&lt;&gt;0</formula>
    </cfRule>
  </conditionalFormatting>
  <conditionalFormatting sqref="B19">
    <cfRule type="expression" dxfId="1497" priority="11" stopIfTrue="1">
      <formula>MOD(ROW(),2)=0</formula>
    </cfRule>
    <cfRule type="expression" dxfId="1496" priority="12" stopIfTrue="1">
      <formula>MOD(ROW(),2)&lt;&gt;0</formula>
    </cfRule>
  </conditionalFormatting>
  <conditionalFormatting sqref="A26:A68">
    <cfRule type="expression" dxfId="1495" priority="7" stopIfTrue="1">
      <formula>MOD(ROW(),2)=0</formula>
    </cfRule>
    <cfRule type="expression" dxfId="1494" priority="8" stopIfTrue="1">
      <formula>MOD(ROW(),2)&lt;&gt;0</formula>
    </cfRule>
  </conditionalFormatting>
  <conditionalFormatting sqref="B26:D68">
    <cfRule type="expression" dxfId="1493" priority="9" stopIfTrue="1">
      <formula>MOD(ROW(),2)=0</formula>
    </cfRule>
    <cfRule type="expression" dxfId="1492" priority="10" stopIfTrue="1">
      <formula>MOD(ROW(),2)&lt;&gt;0</formula>
    </cfRule>
  </conditionalFormatting>
  <conditionalFormatting sqref="C17:D17">
    <cfRule type="expression" dxfId="1491" priority="5" stopIfTrue="1">
      <formula>MOD(ROW(),2)=0</formula>
    </cfRule>
    <cfRule type="expression" dxfId="1490" priority="6" stopIfTrue="1">
      <formula>MOD(ROW(),2)&lt;&gt;0</formula>
    </cfRule>
  </conditionalFormatting>
  <conditionalFormatting sqref="A21">
    <cfRule type="expression" dxfId="1489" priority="1" stopIfTrue="1">
      <formula>MOD(ROW(),2)=0</formula>
    </cfRule>
    <cfRule type="expression" dxfId="1488" priority="2" stopIfTrue="1">
      <formula>MOD(ROW(),2)&lt;&gt;0</formula>
    </cfRule>
  </conditionalFormatting>
  <hyperlinks>
    <hyperlink ref="B24" location="Assumptions!A1" display="Assumptions" xr:uid="{947EB893-8566-415D-9B41-43B71C9AFDAD}"/>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36"/>
  <dimension ref="A1:G85"/>
  <sheetViews>
    <sheetView showGridLines="0" zoomScale="85" zoomScaleNormal="85" workbookViewId="0">
      <selection activeCell="B18" sqref="B18"/>
    </sheetView>
  </sheetViews>
  <sheetFormatPr defaultColWidth="10" defaultRowHeight="12.5" x14ac:dyDescent="0.25"/>
  <cols>
    <col min="1" max="1" width="31.81640625" style="28" customWidth="1"/>
    <col min="2" max="2" width="24.1796875" style="28" customWidth="1"/>
    <col min="3" max="3" width="22.81640625" style="28" customWidth="1"/>
    <col min="4" max="16384" width="10" style="28"/>
  </cols>
  <sheetData>
    <row r="1" spans="1:7" ht="20" x14ac:dyDescent="0.4">
      <c r="A1" s="40" t="s">
        <v>227</v>
      </c>
      <c r="B1" s="41"/>
      <c r="C1" s="41"/>
      <c r="D1" s="41"/>
      <c r="E1" s="41"/>
      <c r="F1" s="41"/>
      <c r="G1" s="41"/>
    </row>
    <row r="2" spans="1:7" ht="15.5" x14ac:dyDescent="0.35">
      <c r="A2" s="42" t="str">
        <f>IF(title="&gt; Enter workbook title here","Enter workbook title in Cover sheet",title)</f>
        <v>Fire Northern Ireland - Consolidated Factor Spreadsheet</v>
      </c>
      <c r="B2" s="43"/>
      <c r="C2" s="43"/>
      <c r="D2" s="43"/>
      <c r="E2" s="43"/>
      <c r="F2" s="43"/>
      <c r="G2" s="43"/>
    </row>
    <row r="3" spans="1:7" ht="15.5" x14ac:dyDescent="0.35">
      <c r="A3" s="44" t="str">
        <f>TABLE_FACTOR_TYPE_1&amp;" - x-"&amp;TABLE_SERIES_NUMBER_1</f>
        <v>CETV - x-208</v>
      </c>
      <c r="B3" s="43"/>
      <c r="C3" s="43"/>
      <c r="D3" s="43"/>
      <c r="E3" s="43"/>
      <c r="F3" s="43"/>
      <c r="G3" s="43"/>
    </row>
    <row r="4" spans="1:7" x14ac:dyDescent="0.25">
      <c r="A4" s="45"/>
    </row>
    <row r="6" spans="1:7" ht="13" x14ac:dyDescent="0.3">
      <c r="A6" s="155" t="s">
        <v>562</v>
      </c>
      <c r="B6" s="154" t="s">
        <v>563</v>
      </c>
      <c r="C6" s="154"/>
    </row>
    <row r="7" spans="1:7" x14ac:dyDescent="0.25">
      <c r="A7" s="156" t="s">
        <v>305</v>
      </c>
      <c r="B7" s="154" t="s">
        <v>319</v>
      </c>
      <c r="C7" s="154"/>
    </row>
    <row r="8" spans="1:7" x14ac:dyDescent="0.25">
      <c r="A8" s="156" t="s">
        <v>306</v>
      </c>
      <c r="B8" s="154">
        <v>2015</v>
      </c>
      <c r="C8" s="154"/>
    </row>
    <row r="9" spans="1:7" x14ac:dyDescent="0.25">
      <c r="A9" s="156" t="s">
        <v>307</v>
      </c>
      <c r="B9" s="154" t="s">
        <v>321</v>
      </c>
      <c r="C9" s="154"/>
    </row>
    <row r="10" spans="1:7" x14ac:dyDescent="0.25">
      <c r="A10" s="156" t="s">
        <v>233</v>
      </c>
      <c r="B10" s="154" t="s">
        <v>333</v>
      </c>
      <c r="C10" s="154"/>
    </row>
    <row r="11" spans="1:7" x14ac:dyDescent="0.25">
      <c r="A11" s="156" t="s">
        <v>308</v>
      </c>
      <c r="B11" s="154" t="s">
        <v>323</v>
      </c>
      <c r="C11" s="154"/>
    </row>
    <row r="12" spans="1:7" x14ac:dyDescent="0.25">
      <c r="A12" s="156" t="s">
        <v>309</v>
      </c>
      <c r="B12" s="154" t="s">
        <v>324</v>
      </c>
      <c r="C12" s="154"/>
    </row>
    <row r="13" spans="1:7" x14ac:dyDescent="0.25">
      <c r="A13" s="156" t="s">
        <v>570</v>
      </c>
      <c r="B13" s="154">
        <v>0</v>
      </c>
      <c r="C13" s="154"/>
    </row>
    <row r="14" spans="1:7" x14ac:dyDescent="0.25">
      <c r="A14" s="156" t="s">
        <v>311</v>
      </c>
      <c r="B14" s="154">
        <v>208</v>
      </c>
      <c r="C14" s="154"/>
    </row>
    <row r="15" spans="1:7" x14ac:dyDescent="0.25">
      <c r="A15" s="156" t="s">
        <v>573</v>
      </c>
      <c r="B15" s="154" t="s">
        <v>343</v>
      </c>
      <c r="C15" s="154"/>
    </row>
    <row r="16" spans="1:7" x14ac:dyDescent="0.25">
      <c r="A16" s="156" t="s">
        <v>313</v>
      </c>
      <c r="B16" s="154" t="s">
        <v>344</v>
      </c>
      <c r="C16" s="154"/>
    </row>
    <row r="17" spans="1:3" x14ac:dyDescent="0.25">
      <c r="A17" s="156" t="s">
        <v>642</v>
      </c>
      <c r="B17" s="154"/>
      <c r="C17" s="154"/>
    </row>
    <row r="18" spans="1:3" x14ac:dyDescent="0.25">
      <c r="A18" s="156" t="s">
        <v>315</v>
      </c>
      <c r="B18" s="157">
        <v>45070</v>
      </c>
      <c r="C18" s="154"/>
    </row>
    <row r="19" spans="1:3" x14ac:dyDescent="0.25">
      <c r="A19" s="156" t="s">
        <v>316</v>
      </c>
      <c r="B19" s="157">
        <v>45014</v>
      </c>
      <c r="C19" s="154"/>
    </row>
    <row r="20" spans="1:3" x14ac:dyDescent="0.25">
      <c r="A20" s="156" t="s">
        <v>317</v>
      </c>
      <c r="B20" s="154" t="s">
        <v>327</v>
      </c>
      <c r="C20" s="154"/>
    </row>
    <row r="21" spans="1:3" x14ac:dyDescent="0.25">
      <c r="A21" s="77" t="s">
        <v>318</v>
      </c>
      <c r="B21" s="154" t="s">
        <v>328</v>
      </c>
      <c r="C21" s="154"/>
    </row>
    <row r="23" spans="1:3" x14ac:dyDescent="0.25">
      <c r="B23" s="91" t="str">
        <f>HYPERLINK("#'Factor List'!A1","Back to Factor List")</f>
        <v>Back to Factor List</v>
      </c>
    </row>
    <row r="24" spans="1:3" x14ac:dyDescent="0.25">
      <c r="B24" s="91" t="s">
        <v>240</v>
      </c>
    </row>
    <row r="25" spans="1:3" x14ac:dyDescent="0.25">
      <c r="B25" s="91"/>
    </row>
    <row r="26" spans="1:3" ht="26" x14ac:dyDescent="0.25">
      <c r="A26" s="87" t="s">
        <v>643</v>
      </c>
      <c r="B26" s="87" t="s">
        <v>650</v>
      </c>
      <c r="C26" s="87" t="s">
        <v>651</v>
      </c>
    </row>
    <row r="27" spans="1:3" x14ac:dyDescent="0.25">
      <c r="A27" s="88">
        <v>16</v>
      </c>
      <c r="B27" s="89">
        <v>8.4</v>
      </c>
      <c r="C27" s="89">
        <v>2.2000000000000002</v>
      </c>
    </row>
    <row r="28" spans="1:3" x14ac:dyDescent="0.25">
      <c r="A28" s="88">
        <v>17</v>
      </c>
      <c r="B28" s="89">
        <v>8.52</v>
      </c>
      <c r="C28" s="89">
        <v>2.37</v>
      </c>
    </row>
    <row r="29" spans="1:3" x14ac:dyDescent="0.25">
      <c r="A29" s="88">
        <v>18</v>
      </c>
      <c r="B29" s="89">
        <v>8.64</v>
      </c>
      <c r="C29" s="89">
        <v>2.56</v>
      </c>
    </row>
    <row r="30" spans="1:3" x14ac:dyDescent="0.25">
      <c r="A30" s="88">
        <v>19</v>
      </c>
      <c r="B30" s="89">
        <v>8.76</v>
      </c>
      <c r="C30" s="89">
        <v>2.68</v>
      </c>
    </row>
    <row r="31" spans="1:3" x14ac:dyDescent="0.25">
      <c r="A31" s="88">
        <v>20</v>
      </c>
      <c r="B31" s="89">
        <v>8.8800000000000008</v>
      </c>
      <c r="C31" s="89">
        <v>2.72</v>
      </c>
    </row>
    <row r="32" spans="1:3" x14ac:dyDescent="0.25">
      <c r="A32" s="88">
        <v>21</v>
      </c>
      <c r="B32" s="89">
        <v>9</v>
      </c>
      <c r="C32" s="89">
        <v>2.77</v>
      </c>
    </row>
    <row r="33" spans="1:3" x14ac:dyDescent="0.25">
      <c r="A33" s="88">
        <v>22</v>
      </c>
      <c r="B33" s="89">
        <v>9.1300000000000008</v>
      </c>
      <c r="C33" s="89">
        <v>2.81</v>
      </c>
    </row>
    <row r="34" spans="1:3" x14ac:dyDescent="0.25">
      <c r="A34" s="88">
        <v>23</v>
      </c>
      <c r="B34" s="89">
        <v>9.25</v>
      </c>
      <c r="C34" s="89">
        <v>2.86</v>
      </c>
    </row>
    <row r="35" spans="1:3" x14ac:dyDescent="0.25">
      <c r="A35" s="88">
        <v>24</v>
      </c>
      <c r="B35" s="89">
        <v>9.3800000000000008</v>
      </c>
      <c r="C35" s="89">
        <v>2.91</v>
      </c>
    </row>
    <row r="36" spans="1:3" x14ac:dyDescent="0.25">
      <c r="A36" s="88">
        <v>25</v>
      </c>
      <c r="B36" s="89">
        <v>9.51</v>
      </c>
      <c r="C36" s="89">
        <v>2.95</v>
      </c>
    </row>
    <row r="37" spans="1:3" x14ac:dyDescent="0.25">
      <c r="A37" s="88">
        <v>26</v>
      </c>
      <c r="B37" s="89">
        <v>9.65</v>
      </c>
      <c r="C37" s="89">
        <v>3</v>
      </c>
    </row>
    <row r="38" spans="1:3" x14ac:dyDescent="0.25">
      <c r="A38" s="88">
        <v>27</v>
      </c>
      <c r="B38" s="89">
        <v>9.7799999999999994</v>
      </c>
      <c r="C38" s="89">
        <v>3.05</v>
      </c>
    </row>
    <row r="39" spans="1:3" x14ac:dyDescent="0.25">
      <c r="A39" s="88">
        <v>28</v>
      </c>
      <c r="B39" s="89">
        <v>9.92</v>
      </c>
      <c r="C39" s="89">
        <v>3.1</v>
      </c>
    </row>
    <row r="40" spans="1:3" x14ac:dyDescent="0.25">
      <c r="A40" s="88">
        <v>29</v>
      </c>
      <c r="B40" s="89">
        <v>10.050000000000001</v>
      </c>
      <c r="C40" s="89">
        <v>3.14</v>
      </c>
    </row>
    <row r="41" spans="1:3" x14ac:dyDescent="0.25">
      <c r="A41" s="88">
        <v>30</v>
      </c>
      <c r="B41" s="89">
        <v>10.199999999999999</v>
      </c>
      <c r="C41" s="89">
        <v>3.19</v>
      </c>
    </row>
    <row r="42" spans="1:3" x14ac:dyDescent="0.25">
      <c r="A42" s="88">
        <v>31</v>
      </c>
      <c r="B42" s="89">
        <v>10.34</v>
      </c>
      <c r="C42" s="89">
        <v>3.24</v>
      </c>
    </row>
    <row r="43" spans="1:3" x14ac:dyDescent="0.25">
      <c r="A43" s="88">
        <v>32</v>
      </c>
      <c r="B43" s="89">
        <v>10.49</v>
      </c>
      <c r="C43" s="89">
        <v>3.28</v>
      </c>
    </row>
    <row r="44" spans="1:3" x14ac:dyDescent="0.25">
      <c r="A44" s="88">
        <v>33</v>
      </c>
      <c r="B44" s="89">
        <v>10.63</v>
      </c>
      <c r="C44" s="89">
        <v>3.33</v>
      </c>
    </row>
    <row r="45" spans="1:3" x14ac:dyDescent="0.25">
      <c r="A45" s="88">
        <v>34</v>
      </c>
      <c r="B45" s="89">
        <v>10.78</v>
      </c>
      <c r="C45" s="89">
        <v>3.38</v>
      </c>
    </row>
    <row r="46" spans="1:3" x14ac:dyDescent="0.25">
      <c r="A46" s="88">
        <v>35</v>
      </c>
      <c r="B46" s="89">
        <v>10.94</v>
      </c>
      <c r="C46" s="89">
        <v>3.42</v>
      </c>
    </row>
    <row r="47" spans="1:3" x14ac:dyDescent="0.25">
      <c r="A47" s="88">
        <v>36</v>
      </c>
      <c r="B47" s="89">
        <v>11.09</v>
      </c>
      <c r="C47" s="89">
        <v>3.47</v>
      </c>
    </row>
    <row r="48" spans="1:3" x14ac:dyDescent="0.25">
      <c r="A48" s="88">
        <v>37</v>
      </c>
      <c r="B48" s="89">
        <v>11.25</v>
      </c>
      <c r="C48" s="89">
        <v>3.51</v>
      </c>
    </row>
    <row r="49" spans="1:3" x14ac:dyDescent="0.25">
      <c r="A49" s="88">
        <v>38</v>
      </c>
      <c r="B49" s="89">
        <v>11.42</v>
      </c>
      <c r="C49" s="89">
        <v>3.55</v>
      </c>
    </row>
    <row r="50" spans="1:3" x14ac:dyDescent="0.25">
      <c r="A50" s="88">
        <v>39</v>
      </c>
      <c r="B50" s="89">
        <v>11.58</v>
      </c>
      <c r="C50" s="89">
        <v>3.6</v>
      </c>
    </row>
    <row r="51" spans="1:3" x14ac:dyDescent="0.25">
      <c r="A51" s="88">
        <v>40</v>
      </c>
      <c r="B51" s="89">
        <v>11.75</v>
      </c>
      <c r="C51" s="89">
        <v>3.64</v>
      </c>
    </row>
    <row r="52" spans="1:3" x14ac:dyDescent="0.25">
      <c r="A52" s="88">
        <v>41</v>
      </c>
      <c r="B52" s="89">
        <v>11.92</v>
      </c>
      <c r="C52" s="89">
        <v>3.68</v>
      </c>
    </row>
    <row r="53" spans="1:3" x14ac:dyDescent="0.25">
      <c r="A53" s="88">
        <v>42</v>
      </c>
      <c r="B53" s="89">
        <v>12.09</v>
      </c>
      <c r="C53" s="89">
        <v>3.72</v>
      </c>
    </row>
    <row r="54" spans="1:3" x14ac:dyDescent="0.25">
      <c r="A54" s="88">
        <v>43</v>
      </c>
      <c r="B54" s="89">
        <v>12.27</v>
      </c>
      <c r="C54" s="89">
        <v>3.76</v>
      </c>
    </row>
    <row r="55" spans="1:3" x14ac:dyDescent="0.25">
      <c r="A55" s="88">
        <v>44</v>
      </c>
      <c r="B55" s="89">
        <v>12.46</v>
      </c>
      <c r="C55" s="89">
        <v>3.8</v>
      </c>
    </row>
    <row r="56" spans="1:3" x14ac:dyDescent="0.25">
      <c r="A56" s="88">
        <v>45</v>
      </c>
      <c r="B56" s="89">
        <v>12.64</v>
      </c>
      <c r="C56" s="89">
        <v>3.84</v>
      </c>
    </row>
    <row r="57" spans="1:3" x14ac:dyDescent="0.25">
      <c r="A57" s="88">
        <v>46</v>
      </c>
      <c r="B57" s="89">
        <v>12.83</v>
      </c>
      <c r="C57" s="89">
        <v>3.87</v>
      </c>
    </row>
    <row r="58" spans="1:3" x14ac:dyDescent="0.25">
      <c r="A58" s="88">
        <v>47</v>
      </c>
      <c r="B58" s="89">
        <v>13.03</v>
      </c>
      <c r="C58" s="89">
        <v>3.9</v>
      </c>
    </row>
    <row r="59" spans="1:3" x14ac:dyDescent="0.25">
      <c r="A59" s="88">
        <v>48</v>
      </c>
      <c r="B59" s="89">
        <v>13.23</v>
      </c>
      <c r="C59" s="89">
        <v>3.94</v>
      </c>
    </row>
    <row r="60" spans="1:3" x14ac:dyDescent="0.25">
      <c r="A60" s="88">
        <v>49</v>
      </c>
      <c r="B60" s="89">
        <v>13.44</v>
      </c>
      <c r="C60" s="89">
        <v>3.97</v>
      </c>
    </row>
    <row r="61" spans="1:3" x14ac:dyDescent="0.25">
      <c r="A61" s="88">
        <v>50</v>
      </c>
      <c r="B61" s="89">
        <v>13.65</v>
      </c>
      <c r="C61" s="89">
        <v>4</v>
      </c>
    </row>
    <row r="62" spans="1:3" x14ac:dyDescent="0.25">
      <c r="A62" s="88">
        <v>51</v>
      </c>
      <c r="B62" s="89">
        <v>13.86</v>
      </c>
      <c r="C62" s="89">
        <v>4.0199999999999996</v>
      </c>
    </row>
    <row r="63" spans="1:3" x14ac:dyDescent="0.25">
      <c r="A63" s="88">
        <v>52</v>
      </c>
      <c r="B63" s="89">
        <v>14.08</v>
      </c>
      <c r="C63" s="89">
        <v>4.05</v>
      </c>
    </row>
    <row r="64" spans="1:3" x14ac:dyDescent="0.25">
      <c r="A64" s="88">
        <v>53</v>
      </c>
      <c r="B64" s="89">
        <v>14.31</v>
      </c>
      <c r="C64" s="89">
        <v>4.07</v>
      </c>
    </row>
    <row r="65" spans="1:3" x14ac:dyDescent="0.25">
      <c r="A65" s="88">
        <v>54</v>
      </c>
      <c r="B65" s="89">
        <v>14.55</v>
      </c>
      <c r="C65" s="89">
        <v>4.0999999999999996</v>
      </c>
    </row>
    <row r="66" spans="1:3" x14ac:dyDescent="0.25">
      <c r="A66" s="88">
        <v>55</v>
      </c>
      <c r="B66" s="89">
        <v>14.79</v>
      </c>
      <c r="C66" s="89">
        <v>4.12</v>
      </c>
    </row>
    <row r="67" spans="1:3" x14ac:dyDescent="0.25">
      <c r="A67" s="88">
        <v>56</v>
      </c>
      <c r="B67" s="89">
        <v>15.04</v>
      </c>
      <c r="C67" s="89">
        <v>4.13</v>
      </c>
    </row>
    <row r="68" spans="1:3" x14ac:dyDescent="0.25">
      <c r="A68" s="88">
        <v>57</v>
      </c>
      <c r="B68" s="89">
        <v>15.3</v>
      </c>
      <c r="C68" s="89">
        <v>4.1500000000000004</v>
      </c>
    </row>
    <row r="69" spans="1:3" x14ac:dyDescent="0.25">
      <c r="A69" s="88">
        <v>58</v>
      </c>
      <c r="B69" s="89">
        <v>15.56</v>
      </c>
      <c r="C69" s="89">
        <v>4.16</v>
      </c>
    </row>
    <row r="70" spans="1:3" x14ac:dyDescent="0.25">
      <c r="A70" s="88">
        <v>59</v>
      </c>
      <c r="B70" s="89">
        <v>15.84</v>
      </c>
      <c r="C70" s="89">
        <v>4.17</v>
      </c>
    </row>
    <row r="71" spans="1:3" x14ac:dyDescent="0.25">
      <c r="A71" s="88">
        <v>60</v>
      </c>
      <c r="B71" s="89">
        <v>16.13</v>
      </c>
      <c r="C71" s="89">
        <v>4.18</v>
      </c>
    </row>
    <row r="72" spans="1:3" x14ac:dyDescent="0.25">
      <c r="A72" s="88">
        <v>61</v>
      </c>
      <c r="B72" s="89">
        <v>16.43</v>
      </c>
      <c r="C72" s="89">
        <v>4.18</v>
      </c>
    </row>
    <row r="73" spans="1:3" x14ac:dyDescent="0.25">
      <c r="A73" s="88">
        <v>62</v>
      </c>
      <c r="B73" s="89">
        <v>16.75</v>
      </c>
      <c r="C73" s="89">
        <v>4.18</v>
      </c>
    </row>
    <row r="74" spans="1:3" x14ac:dyDescent="0.25">
      <c r="A74" s="88">
        <v>63</v>
      </c>
      <c r="B74" s="89">
        <v>17.079999999999998</v>
      </c>
      <c r="C74" s="89">
        <v>4.17</v>
      </c>
    </row>
    <row r="75" spans="1:3" x14ac:dyDescent="0.25">
      <c r="A75" s="88">
        <v>64</v>
      </c>
      <c r="B75" s="89">
        <v>17.43</v>
      </c>
      <c r="C75" s="89">
        <v>4.16</v>
      </c>
    </row>
    <row r="76" spans="1:3" x14ac:dyDescent="0.25">
      <c r="A76" s="88">
        <v>65</v>
      </c>
      <c r="B76" s="89">
        <v>17.29</v>
      </c>
      <c r="C76" s="89">
        <v>4.1500000000000004</v>
      </c>
    </row>
    <row r="77" spans="1:3" x14ac:dyDescent="0.25">
      <c r="A77" s="88">
        <v>66</v>
      </c>
      <c r="B77" s="89">
        <v>16.63</v>
      </c>
      <c r="C77" s="89">
        <v>4.1500000000000004</v>
      </c>
    </row>
    <row r="78" spans="1:3" x14ac:dyDescent="0.25">
      <c r="A78" s="88">
        <v>67</v>
      </c>
      <c r="B78" s="89">
        <v>15.97</v>
      </c>
      <c r="C78" s="89">
        <v>4.1500000000000004</v>
      </c>
    </row>
    <row r="79" spans="1:3" x14ac:dyDescent="0.25">
      <c r="A79" s="88">
        <v>68</v>
      </c>
      <c r="B79" s="89">
        <v>15.32</v>
      </c>
      <c r="C79" s="89">
        <v>4.1399999999999997</v>
      </c>
    </row>
    <row r="80" spans="1:3" x14ac:dyDescent="0.25">
      <c r="A80" s="88">
        <v>69</v>
      </c>
      <c r="B80" s="89">
        <v>14.68</v>
      </c>
      <c r="C80" s="89">
        <v>4.07</v>
      </c>
    </row>
    <row r="81" spans="1:3" x14ac:dyDescent="0.25">
      <c r="A81" s="88">
        <v>70</v>
      </c>
      <c r="B81" s="89">
        <v>14.04</v>
      </c>
      <c r="C81" s="89">
        <v>4</v>
      </c>
    </row>
    <row r="82" spans="1:3" x14ac:dyDescent="0.25">
      <c r="A82" s="88">
        <v>71</v>
      </c>
      <c r="B82" s="89">
        <v>13.42</v>
      </c>
      <c r="C82" s="89">
        <v>3.97</v>
      </c>
    </row>
    <row r="83" spans="1:3" x14ac:dyDescent="0.25">
      <c r="A83" s="88">
        <v>72</v>
      </c>
      <c r="B83" s="89">
        <v>12.79</v>
      </c>
      <c r="C83" s="89">
        <v>3.94</v>
      </c>
    </row>
    <row r="84" spans="1:3" x14ac:dyDescent="0.25">
      <c r="A84" s="88">
        <v>73</v>
      </c>
      <c r="B84" s="89">
        <v>12.17</v>
      </c>
      <c r="C84" s="89">
        <v>3.9</v>
      </c>
    </row>
    <row r="85" spans="1:3" x14ac:dyDescent="0.25">
      <c r="A85" s="88">
        <v>74</v>
      </c>
      <c r="B85" s="89">
        <v>11.56</v>
      </c>
      <c r="C85" s="89">
        <v>3.74</v>
      </c>
    </row>
  </sheetData>
  <sheetProtection algorithmName="SHA-512" hashValue="bbI+jZEkEafH5kDycsq6xg6M9wThJ0Nrds1+ayLIyRy8cj1Q4DtH4yVeqxx+z48LqBFakFbrYUI9p62KI8COsg==" saltValue="pfo/WsTGzaR58oXnCJd2wQ==" spinCount="100000" sheet="1" objects="1" scenarios="1"/>
  <conditionalFormatting sqref="A6:A16 A18:A20">
    <cfRule type="expression" dxfId="1487" priority="21" stopIfTrue="1">
      <formula>MOD(ROW(),2)=0</formula>
    </cfRule>
    <cfRule type="expression" dxfId="1486" priority="22" stopIfTrue="1">
      <formula>MOD(ROW(),2)&lt;&gt;0</formula>
    </cfRule>
  </conditionalFormatting>
  <conditionalFormatting sqref="B6:C21">
    <cfRule type="expression" dxfId="1485" priority="23" stopIfTrue="1">
      <formula>MOD(ROW(),2)=0</formula>
    </cfRule>
    <cfRule type="expression" dxfId="1484" priority="24" stopIfTrue="1">
      <formula>MOD(ROW(),2)&lt;&gt;0</formula>
    </cfRule>
  </conditionalFormatting>
  <conditionalFormatting sqref="A17">
    <cfRule type="expression" dxfId="1483" priority="15" stopIfTrue="1">
      <formula>MOD(ROW(),2)=0</formula>
    </cfRule>
    <cfRule type="expression" dxfId="1482" priority="16" stopIfTrue="1">
      <formula>MOD(ROW(),2)&lt;&gt;0</formula>
    </cfRule>
  </conditionalFormatting>
  <conditionalFormatting sqref="B18">
    <cfRule type="expression" dxfId="1481" priority="13" stopIfTrue="1">
      <formula>MOD(ROW(),2)=0</formula>
    </cfRule>
    <cfRule type="expression" dxfId="1480" priority="14" stopIfTrue="1">
      <formula>MOD(ROW(),2)&lt;&gt;0</formula>
    </cfRule>
  </conditionalFormatting>
  <conditionalFormatting sqref="B19">
    <cfRule type="expression" dxfId="1479" priority="9" stopIfTrue="1">
      <formula>MOD(ROW(),2)=0</formula>
    </cfRule>
    <cfRule type="expression" dxfId="1478" priority="10" stopIfTrue="1">
      <formula>MOD(ROW(),2)&lt;&gt;0</formula>
    </cfRule>
  </conditionalFormatting>
  <conditionalFormatting sqref="A26:A85">
    <cfRule type="expression" dxfId="1477" priority="5" stopIfTrue="1">
      <formula>MOD(ROW(),2)=0</formula>
    </cfRule>
    <cfRule type="expression" dxfId="1476" priority="6" stopIfTrue="1">
      <formula>MOD(ROW(),2)&lt;&gt;0</formula>
    </cfRule>
  </conditionalFormatting>
  <conditionalFormatting sqref="B26:C85">
    <cfRule type="expression" dxfId="1475" priority="7" stopIfTrue="1">
      <formula>MOD(ROW(),2)=0</formula>
    </cfRule>
    <cfRule type="expression" dxfId="1474" priority="8" stopIfTrue="1">
      <formula>MOD(ROW(),2)&lt;&gt;0</formula>
    </cfRule>
  </conditionalFormatting>
  <conditionalFormatting sqref="A21">
    <cfRule type="expression" dxfId="1473" priority="1" stopIfTrue="1">
      <formula>MOD(ROW(),2)=0</formula>
    </cfRule>
    <cfRule type="expression" dxfId="1472" priority="2" stopIfTrue="1">
      <formula>MOD(ROW(),2)&lt;&gt;0</formula>
    </cfRule>
  </conditionalFormatting>
  <hyperlinks>
    <hyperlink ref="B24" location="Assumptions!A1" display="Assumptions" xr:uid="{8769BC9C-049B-4E9F-8E3E-D4A184D29C2D}"/>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37"/>
  <dimension ref="A1:G85"/>
  <sheetViews>
    <sheetView showGridLines="0" zoomScale="85" zoomScaleNormal="85" workbookViewId="0">
      <selection activeCell="B18" sqref="B18"/>
    </sheetView>
  </sheetViews>
  <sheetFormatPr defaultColWidth="10" defaultRowHeight="12.5" x14ac:dyDescent="0.25"/>
  <cols>
    <col min="1" max="1" width="31.81640625" style="28" customWidth="1"/>
    <col min="2" max="3" width="22.81640625" style="28" customWidth="1"/>
    <col min="4" max="16384" width="10" style="28"/>
  </cols>
  <sheetData>
    <row r="1" spans="1:7" ht="20" x14ac:dyDescent="0.4">
      <c r="A1" s="40" t="s">
        <v>227</v>
      </c>
      <c r="B1" s="41"/>
      <c r="C1" s="41"/>
      <c r="D1" s="41"/>
      <c r="E1" s="41"/>
      <c r="F1" s="41"/>
      <c r="G1" s="41"/>
    </row>
    <row r="2" spans="1:7" ht="15.5" x14ac:dyDescent="0.35">
      <c r="A2" s="42" t="str">
        <f>IF(title="&gt; Enter workbook title here","Enter workbook title in Cover sheet",title)</f>
        <v>Fire Northern Ireland - Consolidated Factor Spreadsheet</v>
      </c>
      <c r="B2" s="43"/>
      <c r="C2" s="43"/>
      <c r="D2" s="43"/>
      <c r="E2" s="43"/>
      <c r="F2" s="43"/>
      <c r="G2" s="43"/>
    </row>
    <row r="3" spans="1:7" ht="15.5" x14ac:dyDescent="0.35">
      <c r="A3" s="44" t="str">
        <f>TABLE_FACTOR_TYPE_1&amp;" - x-"&amp;TABLE_SERIES_NUMBER_1</f>
        <v>CETV - x-209</v>
      </c>
      <c r="B3" s="43"/>
      <c r="C3" s="43"/>
      <c r="D3" s="43"/>
      <c r="E3" s="43"/>
      <c r="F3" s="43"/>
      <c r="G3" s="43"/>
    </row>
    <row r="4" spans="1:7" x14ac:dyDescent="0.25">
      <c r="A4" s="45"/>
    </row>
    <row r="6" spans="1:7" ht="13" x14ac:dyDescent="0.3">
      <c r="A6" s="155" t="s">
        <v>562</v>
      </c>
      <c r="B6" s="154" t="s">
        <v>563</v>
      </c>
      <c r="C6" s="154"/>
    </row>
    <row r="7" spans="1:7" x14ac:dyDescent="0.25">
      <c r="A7" s="156" t="s">
        <v>305</v>
      </c>
      <c r="B7" s="154" t="s">
        <v>319</v>
      </c>
      <c r="C7" s="154"/>
    </row>
    <row r="8" spans="1:7" x14ac:dyDescent="0.25">
      <c r="A8" s="156" t="s">
        <v>306</v>
      </c>
      <c r="B8" s="154">
        <v>2015</v>
      </c>
      <c r="C8" s="154"/>
    </row>
    <row r="9" spans="1:7" x14ac:dyDescent="0.25">
      <c r="A9" s="156" t="s">
        <v>307</v>
      </c>
      <c r="B9" s="154" t="s">
        <v>321</v>
      </c>
      <c r="C9" s="154"/>
    </row>
    <row r="10" spans="1:7" x14ac:dyDescent="0.25">
      <c r="A10" s="156" t="s">
        <v>233</v>
      </c>
      <c r="B10" s="154" t="s">
        <v>333</v>
      </c>
      <c r="C10" s="154"/>
    </row>
    <row r="11" spans="1:7" x14ac:dyDescent="0.25">
      <c r="A11" s="156" t="s">
        <v>308</v>
      </c>
      <c r="B11" s="154" t="s">
        <v>329</v>
      </c>
      <c r="C11" s="154"/>
    </row>
    <row r="12" spans="1:7" x14ac:dyDescent="0.25">
      <c r="A12" s="156" t="s">
        <v>309</v>
      </c>
      <c r="B12" s="154" t="s">
        <v>324</v>
      </c>
      <c r="C12" s="154"/>
    </row>
    <row r="13" spans="1:7" x14ac:dyDescent="0.25">
      <c r="A13" s="156" t="s">
        <v>570</v>
      </c>
      <c r="B13" s="154">
        <v>0</v>
      </c>
      <c r="C13" s="154"/>
    </row>
    <row r="14" spans="1:7" x14ac:dyDescent="0.25">
      <c r="A14" s="156" t="s">
        <v>311</v>
      </c>
      <c r="B14" s="154">
        <v>209</v>
      </c>
      <c r="C14" s="154"/>
    </row>
    <row r="15" spans="1:7" x14ac:dyDescent="0.25">
      <c r="A15" s="156" t="s">
        <v>573</v>
      </c>
      <c r="B15" s="154" t="s">
        <v>345</v>
      </c>
      <c r="C15" s="154"/>
    </row>
    <row r="16" spans="1:7" x14ac:dyDescent="0.25">
      <c r="A16" s="156" t="s">
        <v>313</v>
      </c>
      <c r="B16" s="154" t="s">
        <v>346</v>
      </c>
      <c r="C16" s="154"/>
    </row>
    <row r="17" spans="1:3" x14ac:dyDescent="0.25">
      <c r="A17" s="156" t="s">
        <v>642</v>
      </c>
      <c r="B17" s="154"/>
      <c r="C17" s="154"/>
    </row>
    <row r="18" spans="1:3" x14ac:dyDescent="0.25">
      <c r="A18" s="156" t="s">
        <v>315</v>
      </c>
      <c r="B18" s="157">
        <v>45070</v>
      </c>
      <c r="C18" s="154"/>
    </row>
    <row r="19" spans="1:3" x14ac:dyDescent="0.25">
      <c r="A19" s="156" t="s">
        <v>316</v>
      </c>
      <c r="B19" s="157">
        <v>45014</v>
      </c>
      <c r="C19" s="154"/>
    </row>
    <row r="20" spans="1:3" x14ac:dyDescent="0.25">
      <c r="A20" s="156" t="s">
        <v>317</v>
      </c>
      <c r="B20" s="154" t="s">
        <v>327</v>
      </c>
      <c r="C20" s="154"/>
    </row>
    <row r="21" spans="1:3" x14ac:dyDescent="0.25">
      <c r="A21" s="77" t="s">
        <v>318</v>
      </c>
      <c r="B21" s="154" t="s">
        <v>328</v>
      </c>
      <c r="C21" s="154"/>
    </row>
    <row r="23" spans="1:3" x14ac:dyDescent="0.25">
      <c r="B23" s="91" t="str">
        <f>HYPERLINK("#'Factor List'!A1","Back to Factor List")</f>
        <v>Back to Factor List</v>
      </c>
    </row>
    <row r="24" spans="1:3" x14ac:dyDescent="0.25">
      <c r="B24" s="91" t="s">
        <v>240</v>
      </c>
    </row>
    <row r="25" spans="1:3" x14ac:dyDescent="0.25">
      <c r="B25" s="91"/>
    </row>
    <row r="26" spans="1:3" ht="26" x14ac:dyDescent="0.25">
      <c r="A26" s="87" t="s">
        <v>643</v>
      </c>
      <c r="B26" s="87" t="s">
        <v>650</v>
      </c>
      <c r="C26" s="87" t="s">
        <v>651</v>
      </c>
    </row>
    <row r="27" spans="1:3" x14ac:dyDescent="0.25">
      <c r="A27" s="88">
        <v>16</v>
      </c>
      <c r="B27" s="89">
        <v>8.4</v>
      </c>
      <c r="C27" s="89">
        <v>2.2000000000000002</v>
      </c>
    </row>
    <row r="28" spans="1:3" x14ac:dyDescent="0.25">
      <c r="A28" s="88">
        <v>17</v>
      </c>
      <c r="B28" s="89">
        <v>8.52</v>
      </c>
      <c r="C28" s="89">
        <v>2.37</v>
      </c>
    </row>
    <row r="29" spans="1:3" x14ac:dyDescent="0.25">
      <c r="A29" s="88">
        <v>18</v>
      </c>
      <c r="B29" s="89">
        <v>8.64</v>
      </c>
      <c r="C29" s="89">
        <v>2.56</v>
      </c>
    </row>
    <row r="30" spans="1:3" x14ac:dyDescent="0.25">
      <c r="A30" s="88">
        <v>19</v>
      </c>
      <c r="B30" s="89">
        <v>8.76</v>
      </c>
      <c r="C30" s="89">
        <v>2.68</v>
      </c>
    </row>
    <row r="31" spans="1:3" x14ac:dyDescent="0.25">
      <c r="A31" s="88">
        <v>20</v>
      </c>
      <c r="B31" s="89">
        <v>8.8800000000000008</v>
      </c>
      <c r="C31" s="89">
        <v>2.72</v>
      </c>
    </row>
    <row r="32" spans="1:3" x14ac:dyDescent="0.25">
      <c r="A32" s="88">
        <v>21</v>
      </c>
      <c r="B32" s="89">
        <v>9</v>
      </c>
      <c r="C32" s="89">
        <v>2.77</v>
      </c>
    </row>
    <row r="33" spans="1:3" x14ac:dyDescent="0.25">
      <c r="A33" s="88">
        <v>22</v>
      </c>
      <c r="B33" s="89">
        <v>9.1300000000000008</v>
      </c>
      <c r="C33" s="89">
        <v>2.81</v>
      </c>
    </row>
    <row r="34" spans="1:3" x14ac:dyDescent="0.25">
      <c r="A34" s="88">
        <v>23</v>
      </c>
      <c r="B34" s="89">
        <v>9.25</v>
      </c>
      <c r="C34" s="89">
        <v>2.86</v>
      </c>
    </row>
    <row r="35" spans="1:3" x14ac:dyDescent="0.25">
      <c r="A35" s="88">
        <v>24</v>
      </c>
      <c r="B35" s="89">
        <v>9.3800000000000008</v>
      </c>
      <c r="C35" s="89">
        <v>2.91</v>
      </c>
    </row>
    <row r="36" spans="1:3" x14ac:dyDescent="0.25">
      <c r="A36" s="88">
        <v>25</v>
      </c>
      <c r="B36" s="89">
        <v>9.51</v>
      </c>
      <c r="C36" s="89">
        <v>2.95</v>
      </c>
    </row>
    <row r="37" spans="1:3" x14ac:dyDescent="0.25">
      <c r="A37" s="88">
        <v>26</v>
      </c>
      <c r="B37" s="89">
        <v>9.65</v>
      </c>
      <c r="C37" s="89">
        <v>3</v>
      </c>
    </row>
    <row r="38" spans="1:3" x14ac:dyDescent="0.25">
      <c r="A38" s="88">
        <v>27</v>
      </c>
      <c r="B38" s="89">
        <v>9.7799999999999994</v>
      </c>
      <c r="C38" s="89">
        <v>3.05</v>
      </c>
    </row>
    <row r="39" spans="1:3" x14ac:dyDescent="0.25">
      <c r="A39" s="88">
        <v>28</v>
      </c>
      <c r="B39" s="89">
        <v>9.92</v>
      </c>
      <c r="C39" s="89">
        <v>3.1</v>
      </c>
    </row>
    <row r="40" spans="1:3" x14ac:dyDescent="0.25">
      <c r="A40" s="88">
        <v>29</v>
      </c>
      <c r="B40" s="89">
        <v>10.050000000000001</v>
      </c>
      <c r="C40" s="89">
        <v>3.14</v>
      </c>
    </row>
    <row r="41" spans="1:3" x14ac:dyDescent="0.25">
      <c r="A41" s="88">
        <v>30</v>
      </c>
      <c r="B41" s="89">
        <v>10.199999999999999</v>
      </c>
      <c r="C41" s="89">
        <v>3.19</v>
      </c>
    </row>
    <row r="42" spans="1:3" x14ac:dyDescent="0.25">
      <c r="A42" s="88">
        <v>31</v>
      </c>
      <c r="B42" s="89">
        <v>10.34</v>
      </c>
      <c r="C42" s="89">
        <v>3.24</v>
      </c>
    </row>
    <row r="43" spans="1:3" x14ac:dyDescent="0.25">
      <c r="A43" s="88">
        <v>32</v>
      </c>
      <c r="B43" s="89">
        <v>10.49</v>
      </c>
      <c r="C43" s="89">
        <v>3.28</v>
      </c>
    </row>
    <row r="44" spans="1:3" x14ac:dyDescent="0.25">
      <c r="A44" s="88">
        <v>33</v>
      </c>
      <c r="B44" s="89">
        <v>10.63</v>
      </c>
      <c r="C44" s="89">
        <v>3.33</v>
      </c>
    </row>
    <row r="45" spans="1:3" x14ac:dyDescent="0.25">
      <c r="A45" s="88">
        <v>34</v>
      </c>
      <c r="B45" s="89">
        <v>10.78</v>
      </c>
      <c r="C45" s="89">
        <v>3.38</v>
      </c>
    </row>
    <row r="46" spans="1:3" x14ac:dyDescent="0.25">
      <c r="A46" s="88">
        <v>35</v>
      </c>
      <c r="B46" s="89">
        <v>10.94</v>
      </c>
      <c r="C46" s="89">
        <v>3.42</v>
      </c>
    </row>
    <row r="47" spans="1:3" x14ac:dyDescent="0.25">
      <c r="A47" s="88">
        <v>36</v>
      </c>
      <c r="B47" s="89">
        <v>11.09</v>
      </c>
      <c r="C47" s="89">
        <v>3.47</v>
      </c>
    </row>
    <row r="48" spans="1:3" x14ac:dyDescent="0.25">
      <c r="A48" s="88">
        <v>37</v>
      </c>
      <c r="B48" s="89">
        <v>11.25</v>
      </c>
      <c r="C48" s="89">
        <v>3.51</v>
      </c>
    </row>
    <row r="49" spans="1:3" x14ac:dyDescent="0.25">
      <c r="A49" s="88">
        <v>38</v>
      </c>
      <c r="B49" s="89">
        <v>11.42</v>
      </c>
      <c r="C49" s="89">
        <v>3.55</v>
      </c>
    </row>
    <row r="50" spans="1:3" x14ac:dyDescent="0.25">
      <c r="A50" s="88">
        <v>39</v>
      </c>
      <c r="B50" s="89">
        <v>11.58</v>
      </c>
      <c r="C50" s="89">
        <v>3.6</v>
      </c>
    </row>
    <row r="51" spans="1:3" x14ac:dyDescent="0.25">
      <c r="A51" s="88">
        <v>40</v>
      </c>
      <c r="B51" s="89">
        <v>11.75</v>
      </c>
      <c r="C51" s="89">
        <v>3.64</v>
      </c>
    </row>
    <row r="52" spans="1:3" x14ac:dyDescent="0.25">
      <c r="A52" s="88">
        <v>41</v>
      </c>
      <c r="B52" s="89">
        <v>11.92</v>
      </c>
      <c r="C52" s="89">
        <v>3.68</v>
      </c>
    </row>
    <row r="53" spans="1:3" x14ac:dyDescent="0.25">
      <c r="A53" s="88">
        <v>42</v>
      </c>
      <c r="B53" s="89">
        <v>12.09</v>
      </c>
      <c r="C53" s="89">
        <v>3.72</v>
      </c>
    </row>
    <row r="54" spans="1:3" x14ac:dyDescent="0.25">
      <c r="A54" s="88">
        <v>43</v>
      </c>
      <c r="B54" s="89">
        <v>12.27</v>
      </c>
      <c r="C54" s="89">
        <v>3.76</v>
      </c>
    </row>
    <row r="55" spans="1:3" x14ac:dyDescent="0.25">
      <c r="A55" s="88">
        <v>44</v>
      </c>
      <c r="B55" s="89">
        <v>12.46</v>
      </c>
      <c r="C55" s="89">
        <v>3.8</v>
      </c>
    </row>
    <row r="56" spans="1:3" x14ac:dyDescent="0.25">
      <c r="A56" s="88">
        <v>45</v>
      </c>
      <c r="B56" s="89">
        <v>12.64</v>
      </c>
      <c r="C56" s="89">
        <v>3.84</v>
      </c>
    </row>
    <row r="57" spans="1:3" x14ac:dyDescent="0.25">
      <c r="A57" s="88">
        <v>46</v>
      </c>
      <c r="B57" s="89">
        <v>12.83</v>
      </c>
      <c r="C57" s="89">
        <v>3.87</v>
      </c>
    </row>
    <row r="58" spans="1:3" x14ac:dyDescent="0.25">
      <c r="A58" s="88">
        <v>47</v>
      </c>
      <c r="B58" s="89">
        <v>13.03</v>
      </c>
      <c r="C58" s="89">
        <v>3.9</v>
      </c>
    </row>
    <row r="59" spans="1:3" x14ac:dyDescent="0.25">
      <c r="A59" s="88">
        <v>48</v>
      </c>
      <c r="B59" s="89">
        <v>13.23</v>
      </c>
      <c r="C59" s="89">
        <v>3.94</v>
      </c>
    </row>
    <row r="60" spans="1:3" x14ac:dyDescent="0.25">
      <c r="A60" s="88">
        <v>49</v>
      </c>
      <c r="B60" s="89">
        <v>13.44</v>
      </c>
      <c r="C60" s="89">
        <v>3.97</v>
      </c>
    </row>
    <row r="61" spans="1:3" x14ac:dyDescent="0.25">
      <c r="A61" s="88">
        <v>50</v>
      </c>
      <c r="B61" s="89">
        <v>13.65</v>
      </c>
      <c r="C61" s="89">
        <v>4</v>
      </c>
    </row>
    <row r="62" spans="1:3" x14ac:dyDescent="0.25">
      <c r="A62" s="88">
        <v>51</v>
      </c>
      <c r="B62" s="89">
        <v>13.86</v>
      </c>
      <c r="C62" s="89">
        <v>4.0199999999999996</v>
      </c>
    </row>
    <row r="63" spans="1:3" x14ac:dyDescent="0.25">
      <c r="A63" s="88">
        <v>52</v>
      </c>
      <c r="B63" s="89">
        <v>14.08</v>
      </c>
      <c r="C63" s="89">
        <v>4.05</v>
      </c>
    </row>
    <row r="64" spans="1:3" x14ac:dyDescent="0.25">
      <c r="A64" s="88">
        <v>53</v>
      </c>
      <c r="B64" s="89">
        <v>14.31</v>
      </c>
      <c r="C64" s="89">
        <v>4.07</v>
      </c>
    </row>
    <row r="65" spans="1:3" x14ac:dyDescent="0.25">
      <c r="A65" s="88">
        <v>54</v>
      </c>
      <c r="B65" s="89">
        <v>14.55</v>
      </c>
      <c r="C65" s="89">
        <v>4.0999999999999996</v>
      </c>
    </row>
    <row r="66" spans="1:3" x14ac:dyDescent="0.25">
      <c r="A66" s="88">
        <v>55</v>
      </c>
      <c r="B66" s="89">
        <v>14.79</v>
      </c>
      <c r="C66" s="89">
        <v>4.12</v>
      </c>
    </row>
    <row r="67" spans="1:3" x14ac:dyDescent="0.25">
      <c r="A67" s="88">
        <v>56</v>
      </c>
      <c r="B67" s="89">
        <v>15.04</v>
      </c>
      <c r="C67" s="89">
        <v>4.13</v>
      </c>
    </row>
    <row r="68" spans="1:3" x14ac:dyDescent="0.25">
      <c r="A68" s="88">
        <v>57</v>
      </c>
      <c r="B68" s="89">
        <v>15.3</v>
      </c>
      <c r="C68" s="89">
        <v>4.1500000000000004</v>
      </c>
    </row>
    <row r="69" spans="1:3" x14ac:dyDescent="0.25">
      <c r="A69" s="88">
        <v>58</v>
      </c>
      <c r="B69" s="89">
        <v>15.56</v>
      </c>
      <c r="C69" s="89">
        <v>4.16</v>
      </c>
    </row>
    <row r="70" spans="1:3" x14ac:dyDescent="0.25">
      <c r="A70" s="88">
        <v>59</v>
      </c>
      <c r="B70" s="89">
        <v>15.84</v>
      </c>
      <c r="C70" s="89">
        <v>4.17</v>
      </c>
    </row>
    <row r="71" spans="1:3" x14ac:dyDescent="0.25">
      <c r="A71" s="88">
        <v>60</v>
      </c>
      <c r="B71" s="89">
        <v>16.13</v>
      </c>
      <c r="C71" s="89">
        <v>4.18</v>
      </c>
    </row>
    <row r="72" spans="1:3" x14ac:dyDescent="0.25">
      <c r="A72" s="88">
        <v>61</v>
      </c>
      <c r="B72" s="89">
        <v>16.43</v>
      </c>
      <c r="C72" s="89">
        <v>4.18</v>
      </c>
    </row>
    <row r="73" spans="1:3" x14ac:dyDescent="0.25">
      <c r="A73" s="88">
        <v>62</v>
      </c>
      <c r="B73" s="89">
        <v>16.75</v>
      </c>
      <c r="C73" s="89">
        <v>4.18</v>
      </c>
    </row>
    <row r="74" spans="1:3" x14ac:dyDescent="0.25">
      <c r="A74" s="88">
        <v>63</v>
      </c>
      <c r="B74" s="89">
        <v>17.079999999999998</v>
      </c>
      <c r="C74" s="89">
        <v>4.17</v>
      </c>
    </row>
    <row r="75" spans="1:3" x14ac:dyDescent="0.25">
      <c r="A75" s="88">
        <v>64</v>
      </c>
      <c r="B75" s="89">
        <v>17.43</v>
      </c>
      <c r="C75" s="89">
        <v>4.16</v>
      </c>
    </row>
    <row r="76" spans="1:3" x14ac:dyDescent="0.25">
      <c r="A76" s="88">
        <v>65</v>
      </c>
      <c r="B76" s="89">
        <v>17.29</v>
      </c>
      <c r="C76" s="89">
        <v>4.1500000000000004</v>
      </c>
    </row>
    <row r="77" spans="1:3" x14ac:dyDescent="0.25">
      <c r="A77" s="88">
        <v>66</v>
      </c>
      <c r="B77" s="89">
        <v>16.63</v>
      </c>
      <c r="C77" s="89">
        <v>4.1500000000000004</v>
      </c>
    </row>
    <row r="78" spans="1:3" x14ac:dyDescent="0.25">
      <c r="A78" s="88">
        <v>67</v>
      </c>
      <c r="B78" s="89">
        <v>15.97</v>
      </c>
      <c r="C78" s="89">
        <v>4.1500000000000004</v>
      </c>
    </row>
    <row r="79" spans="1:3" x14ac:dyDescent="0.25">
      <c r="A79" s="88">
        <v>68</v>
      </c>
      <c r="B79" s="89">
        <v>15.32</v>
      </c>
      <c r="C79" s="89">
        <v>4.1399999999999997</v>
      </c>
    </row>
    <row r="80" spans="1:3" x14ac:dyDescent="0.25">
      <c r="A80" s="88">
        <v>69</v>
      </c>
      <c r="B80" s="89">
        <v>14.68</v>
      </c>
      <c r="C80" s="89">
        <v>4.07</v>
      </c>
    </row>
    <row r="81" spans="1:3" x14ac:dyDescent="0.25">
      <c r="A81" s="88">
        <v>70</v>
      </c>
      <c r="B81" s="89">
        <v>14.04</v>
      </c>
      <c r="C81" s="89">
        <v>4</v>
      </c>
    </row>
    <row r="82" spans="1:3" x14ac:dyDescent="0.25">
      <c r="A82" s="88">
        <v>71</v>
      </c>
      <c r="B82" s="89">
        <v>13.42</v>
      </c>
      <c r="C82" s="89">
        <v>3.97</v>
      </c>
    </row>
    <row r="83" spans="1:3" x14ac:dyDescent="0.25">
      <c r="A83" s="88">
        <v>72</v>
      </c>
      <c r="B83" s="89">
        <v>12.79</v>
      </c>
      <c r="C83" s="89">
        <v>3.94</v>
      </c>
    </row>
    <row r="84" spans="1:3" x14ac:dyDescent="0.25">
      <c r="A84" s="88">
        <v>73</v>
      </c>
      <c r="B84" s="89">
        <v>12.17</v>
      </c>
      <c r="C84" s="89">
        <v>3.9</v>
      </c>
    </row>
    <row r="85" spans="1:3" x14ac:dyDescent="0.25">
      <c r="A85" s="88">
        <v>74</v>
      </c>
      <c r="B85" s="89">
        <v>11.56</v>
      </c>
      <c r="C85" s="89">
        <v>3.74</v>
      </c>
    </row>
  </sheetData>
  <sheetProtection algorithmName="SHA-512" hashValue="+KsEfVYFup8hHBLHM9uzL8gBVO41IXWbLz67L2wUF5ksuWSEsIy314tFam9PXvrFPc80UQQPoH9XTYGVEejBIg==" saltValue="0zxlL2hmMcUdNmiKMyh/HQ==" spinCount="100000" sheet="1" objects="1" scenarios="1"/>
  <conditionalFormatting sqref="A6:A16 A18:A20">
    <cfRule type="expression" dxfId="1471" priority="25" stopIfTrue="1">
      <formula>MOD(ROW(),2)=0</formula>
    </cfRule>
    <cfRule type="expression" dxfId="1470" priority="26" stopIfTrue="1">
      <formula>MOD(ROW(),2)&lt;&gt;0</formula>
    </cfRule>
  </conditionalFormatting>
  <conditionalFormatting sqref="B6:C21">
    <cfRule type="expression" dxfId="1469" priority="27" stopIfTrue="1">
      <formula>MOD(ROW(),2)=0</formula>
    </cfRule>
    <cfRule type="expression" dxfId="1468" priority="28" stopIfTrue="1">
      <formula>MOD(ROW(),2)&lt;&gt;0</formula>
    </cfRule>
  </conditionalFormatting>
  <conditionalFormatting sqref="B17">
    <cfRule type="expression" dxfId="1467" priority="19" stopIfTrue="1">
      <formula>MOD(ROW(),2)=0</formula>
    </cfRule>
    <cfRule type="expression" dxfId="1466" priority="20" stopIfTrue="1">
      <formula>MOD(ROW(),2)&lt;&gt;0</formula>
    </cfRule>
  </conditionalFormatting>
  <conditionalFormatting sqref="A17">
    <cfRule type="expression" dxfId="1465" priority="17" stopIfTrue="1">
      <formula>MOD(ROW(),2)=0</formula>
    </cfRule>
    <cfRule type="expression" dxfId="1464" priority="18" stopIfTrue="1">
      <formula>MOD(ROW(),2)&lt;&gt;0</formula>
    </cfRule>
  </conditionalFormatting>
  <conditionalFormatting sqref="B20:B21">
    <cfRule type="expression" dxfId="1463" priority="15" stopIfTrue="1">
      <formula>MOD(ROW(),2)=0</formula>
    </cfRule>
    <cfRule type="expression" dxfId="1462" priority="16" stopIfTrue="1">
      <formula>MOD(ROW(),2)&lt;&gt;0</formula>
    </cfRule>
  </conditionalFormatting>
  <conditionalFormatting sqref="B18">
    <cfRule type="expression" dxfId="1461" priority="13" stopIfTrue="1">
      <formula>MOD(ROW(),2)=0</formula>
    </cfRule>
    <cfRule type="expression" dxfId="1460" priority="14" stopIfTrue="1">
      <formula>MOD(ROW(),2)&lt;&gt;0</formula>
    </cfRule>
  </conditionalFormatting>
  <conditionalFormatting sqref="B19">
    <cfRule type="expression" dxfId="1459" priority="9" stopIfTrue="1">
      <formula>MOD(ROW(),2)=0</formula>
    </cfRule>
    <cfRule type="expression" dxfId="1458" priority="10" stopIfTrue="1">
      <formula>MOD(ROW(),2)&lt;&gt;0</formula>
    </cfRule>
  </conditionalFormatting>
  <conditionalFormatting sqref="A26:A85">
    <cfRule type="expression" dxfId="1457" priority="5" stopIfTrue="1">
      <formula>MOD(ROW(),2)=0</formula>
    </cfRule>
    <cfRule type="expression" dxfId="1456" priority="6" stopIfTrue="1">
      <formula>MOD(ROW(),2)&lt;&gt;0</formula>
    </cfRule>
  </conditionalFormatting>
  <conditionalFormatting sqref="B26:C85">
    <cfRule type="expression" dxfId="1455" priority="7" stopIfTrue="1">
      <formula>MOD(ROW(),2)=0</formula>
    </cfRule>
    <cfRule type="expression" dxfId="1454" priority="8" stopIfTrue="1">
      <formula>MOD(ROW(),2)&lt;&gt;0</formula>
    </cfRule>
  </conditionalFormatting>
  <conditionalFormatting sqref="A21">
    <cfRule type="expression" dxfId="1453" priority="1" stopIfTrue="1">
      <formula>MOD(ROW(),2)=0</formula>
    </cfRule>
    <cfRule type="expression" dxfId="1452" priority="2" stopIfTrue="1">
      <formula>MOD(ROW(),2)&lt;&gt;0</formula>
    </cfRule>
  </conditionalFormatting>
  <hyperlinks>
    <hyperlink ref="B24" location="Assumptions!A1" display="Assumptions" xr:uid="{7726EB5A-D65A-4011-B30E-A9FD0A84B4D2}"/>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38"/>
  <dimension ref="A1:G85"/>
  <sheetViews>
    <sheetView showGridLines="0" zoomScale="85" zoomScaleNormal="85" workbookViewId="0">
      <selection activeCell="B18" sqref="B18"/>
    </sheetView>
  </sheetViews>
  <sheetFormatPr defaultColWidth="10" defaultRowHeight="12.5" x14ac:dyDescent="0.25"/>
  <cols>
    <col min="1" max="1" width="31.81640625" style="28" customWidth="1"/>
    <col min="2" max="2" width="22.81640625" style="28" customWidth="1"/>
    <col min="3" max="3" width="24" style="28" customWidth="1"/>
    <col min="4" max="16384" width="10" style="28"/>
  </cols>
  <sheetData>
    <row r="1" spans="1:7" ht="20" x14ac:dyDescent="0.4">
      <c r="A1" s="40" t="s">
        <v>227</v>
      </c>
      <c r="B1" s="41"/>
      <c r="C1" s="41"/>
      <c r="D1" s="41"/>
      <c r="E1" s="41"/>
      <c r="F1" s="41"/>
      <c r="G1" s="41"/>
    </row>
    <row r="2" spans="1:7" ht="15.5" x14ac:dyDescent="0.35">
      <c r="A2" s="42" t="str">
        <f>IF(title="&gt; Enter workbook title here","Enter workbook title in Cover sheet",title)</f>
        <v>Fire Northern Ireland - Consolidated Factor Spreadsheet</v>
      </c>
      <c r="B2" s="43"/>
      <c r="C2" s="43"/>
      <c r="D2" s="43"/>
      <c r="E2" s="43"/>
      <c r="F2" s="43"/>
      <c r="G2" s="43"/>
    </row>
    <row r="3" spans="1:7" ht="15.5" x14ac:dyDescent="0.35">
      <c r="A3" s="44" t="str">
        <f>TABLE_FACTOR_TYPE_1&amp;" - x-"&amp;TABLE_SERIES_NUMBER_1</f>
        <v>CETV - x-210</v>
      </c>
      <c r="B3" s="43"/>
      <c r="C3" s="43"/>
      <c r="D3" s="43"/>
      <c r="E3" s="43"/>
      <c r="F3" s="43"/>
      <c r="G3" s="43"/>
    </row>
    <row r="4" spans="1:7" x14ac:dyDescent="0.25">
      <c r="A4" s="45"/>
    </row>
    <row r="6" spans="1:7" ht="13" x14ac:dyDescent="0.3">
      <c r="A6" s="155" t="s">
        <v>562</v>
      </c>
      <c r="B6" s="154" t="s">
        <v>563</v>
      </c>
      <c r="C6" s="154"/>
    </row>
    <row r="7" spans="1:7" x14ac:dyDescent="0.25">
      <c r="A7" s="156" t="s">
        <v>305</v>
      </c>
      <c r="B7" s="154" t="s">
        <v>319</v>
      </c>
      <c r="C7" s="154"/>
    </row>
    <row r="8" spans="1:7" x14ac:dyDescent="0.25">
      <c r="A8" s="156" t="s">
        <v>306</v>
      </c>
      <c r="B8" s="154">
        <v>2015</v>
      </c>
      <c r="C8" s="154"/>
    </row>
    <row r="9" spans="1:7" x14ac:dyDescent="0.25">
      <c r="A9" s="156" t="s">
        <v>307</v>
      </c>
      <c r="B9" s="154" t="s">
        <v>321</v>
      </c>
      <c r="C9" s="154"/>
    </row>
    <row r="10" spans="1:7" x14ac:dyDescent="0.25">
      <c r="A10" s="156" t="s">
        <v>233</v>
      </c>
      <c r="B10" s="154" t="s">
        <v>347</v>
      </c>
      <c r="C10" s="154"/>
    </row>
    <row r="11" spans="1:7" x14ac:dyDescent="0.25">
      <c r="A11" s="156" t="s">
        <v>308</v>
      </c>
      <c r="B11" s="154" t="s">
        <v>323</v>
      </c>
      <c r="C11" s="154"/>
    </row>
    <row r="12" spans="1:7" x14ac:dyDescent="0.25">
      <c r="A12" s="156" t="s">
        <v>309</v>
      </c>
      <c r="B12" s="154" t="s">
        <v>324</v>
      </c>
      <c r="C12" s="154"/>
    </row>
    <row r="13" spans="1:7" x14ac:dyDescent="0.25">
      <c r="A13" s="156" t="s">
        <v>570</v>
      </c>
      <c r="B13" s="154">
        <v>0</v>
      </c>
      <c r="C13" s="154"/>
    </row>
    <row r="14" spans="1:7" x14ac:dyDescent="0.25">
      <c r="A14" s="156" t="s">
        <v>311</v>
      </c>
      <c r="B14" s="154">
        <v>210</v>
      </c>
      <c r="C14" s="154"/>
    </row>
    <row r="15" spans="1:7" x14ac:dyDescent="0.25">
      <c r="A15" s="156" t="s">
        <v>573</v>
      </c>
      <c r="B15" s="154" t="s">
        <v>348</v>
      </c>
      <c r="C15" s="154"/>
    </row>
    <row r="16" spans="1:7" x14ac:dyDescent="0.25">
      <c r="A16" s="156" t="s">
        <v>313</v>
      </c>
      <c r="B16" s="154" t="s">
        <v>349</v>
      </c>
      <c r="C16" s="154"/>
    </row>
    <row r="17" spans="1:3" x14ac:dyDescent="0.25">
      <c r="A17" s="156" t="s">
        <v>642</v>
      </c>
      <c r="B17" s="154"/>
      <c r="C17" s="154"/>
    </row>
    <row r="18" spans="1:3" x14ac:dyDescent="0.25">
      <c r="A18" s="156" t="s">
        <v>315</v>
      </c>
      <c r="B18" s="157">
        <v>45070</v>
      </c>
      <c r="C18" s="154"/>
    </row>
    <row r="19" spans="1:3" x14ac:dyDescent="0.25">
      <c r="A19" s="156" t="s">
        <v>316</v>
      </c>
      <c r="B19" s="157">
        <v>45014</v>
      </c>
      <c r="C19" s="154"/>
    </row>
    <row r="20" spans="1:3" x14ac:dyDescent="0.25">
      <c r="A20" s="156" t="s">
        <v>317</v>
      </c>
      <c r="B20" s="154" t="s">
        <v>327</v>
      </c>
      <c r="C20" s="154"/>
    </row>
    <row r="21" spans="1:3" x14ac:dyDescent="0.25">
      <c r="A21" s="77" t="s">
        <v>318</v>
      </c>
      <c r="B21" s="154" t="s">
        <v>328</v>
      </c>
      <c r="C21" s="154"/>
    </row>
    <row r="23" spans="1:3" x14ac:dyDescent="0.25">
      <c r="B23" s="91" t="str">
        <f>HYPERLINK("#'Factor List'!A1","Back to Factor List")</f>
        <v>Back to Factor List</v>
      </c>
    </row>
    <row r="24" spans="1:3" x14ac:dyDescent="0.25">
      <c r="B24" s="91" t="s">
        <v>240</v>
      </c>
    </row>
    <row r="25" spans="1:3" x14ac:dyDescent="0.25">
      <c r="B25" s="91"/>
    </row>
    <row r="26" spans="1:3" ht="26" x14ac:dyDescent="0.25">
      <c r="A26" s="87" t="s">
        <v>643</v>
      </c>
      <c r="B26" s="87" t="s">
        <v>650</v>
      </c>
      <c r="C26" s="87" t="s">
        <v>651</v>
      </c>
    </row>
    <row r="27" spans="1:3" x14ac:dyDescent="0.25">
      <c r="A27" s="88">
        <v>16</v>
      </c>
      <c r="B27" s="89">
        <v>7.99</v>
      </c>
      <c r="C27" s="89">
        <v>2.2000000000000002</v>
      </c>
    </row>
    <row r="28" spans="1:3" x14ac:dyDescent="0.25">
      <c r="A28" s="88">
        <v>17</v>
      </c>
      <c r="B28" s="89">
        <v>8.1</v>
      </c>
      <c r="C28" s="89">
        <v>2.38</v>
      </c>
    </row>
    <row r="29" spans="1:3" x14ac:dyDescent="0.25">
      <c r="A29" s="88">
        <v>18</v>
      </c>
      <c r="B29" s="89">
        <v>8.2100000000000009</v>
      </c>
      <c r="C29" s="89">
        <v>2.57</v>
      </c>
    </row>
    <row r="30" spans="1:3" x14ac:dyDescent="0.25">
      <c r="A30" s="88">
        <v>19</v>
      </c>
      <c r="B30" s="89">
        <v>8.33</v>
      </c>
      <c r="C30" s="89">
        <v>2.69</v>
      </c>
    </row>
    <row r="31" spans="1:3" x14ac:dyDescent="0.25">
      <c r="A31" s="88">
        <v>20</v>
      </c>
      <c r="B31" s="89">
        <v>8.44</v>
      </c>
      <c r="C31" s="89">
        <v>2.73</v>
      </c>
    </row>
    <row r="32" spans="1:3" x14ac:dyDescent="0.25">
      <c r="A32" s="88">
        <v>21</v>
      </c>
      <c r="B32" s="89">
        <v>8.56</v>
      </c>
      <c r="C32" s="89">
        <v>2.78</v>
      </c>
    </row>
    <row r="33" spans="1:3" x14ac:dyDescent="0.25">
      <c r="A33" s="88">
        <v>22</v>
      </c>
      <c r="B33" s="89">
        <v>8.68</v>
      </c>
      <c r="C33" s="89">
        <v>2.82</v>
      </c>
    </row>
    <row r="34" spans="1:3" x14ac:dyDescent="0.25">
      <c r="A34" s="88">
        <v>23</v>
      </c>
      <c r="B34" s="89">
        <v>8.8000000000000007</v>
      </c>
      <c r="C34" s="89">
        <v>2.87</v>
      </c>
    </row>
    <row r="35" spans="1:3" x14ac:dyDescent="0.25">
      <c r="A35" s="88">
        <v>24</v>
      </c>
      <c r="B35" s="89">
        <v>8.92</v>
      </c>
      <c r="C35" s="89">
        <v>2.92</v>
      </c>
    </row>
    <row r="36" spans="1:3" x14ac:dyDescent="0.25">
      <c r="A36" s="88">
        <v>25</v>
      </c>
      <c r="B36" s="89">
        <v>9.0399999999999991</v>
      </c>
      <c r="C36" s="89">
        <v>2.96</v>
      </c>
    </row>
    <row r="37" spans="1:3" x14ac:dyDescent="0.25">
      <c r="A37" s="88">
        <v>26</v>
      </c>
      <c r="B37" s="89">
        <v>9.16</v>
      </c>
      <c r="C37" s="89">
        <v>3.01</v>
      </c>
    </row>
    <row r="38" spans="1:3" x14ac:dyDescent="0.25">
      <c r="A38" s="88">
        <v>27</v>
      </c>
      <c r="B38" s="89">
        <v>9.2899999999999991</v>
      </c>
      <c r="C38" s="89">
        <v>3.06</v>
      </c>
    </row>
    <row r="39" spans="1:3" x14ac:dyDescent="0.25">
      <c r="A39" s="88">
        <v>28</v>
      </c>
      <c r="B39" s="89">
        <v>9.42</v>
      </c>
      <c r="C39" s="89">
        <v>3.11</v>
      </c>
    </row>
    <row r="40" spans="1:3" x14ac:dyDescent="0.25">
      <c r="A40" s="88">
        <v>29</v>
      </c>
      <c r="B40" s="89">
        <v>9.5500000000000007</v>
      </c>
      <c r="C40" s="89">
        <v>3.16</v>
      </c>
    </row>
    <row r="41" spans="1:3" x14ac:dyDescent="0.25">
      <c r="A41" s="88">
        <v>30</v>
      </c>
      <c r="B41" s="89">
        <v>9.68</v>
      </c>
      <c r="C41" s="89">
        <v>3.2</v>
      </c>
    </row>
    <row r="42" spans="1:3" x14ac:dyDescent="0.25">
      <c r="A42" s="88">
        <v>31</v>
      </c>
      <c r="B42" s="89">
        <v>9.82</v>
      </c>
      <c r="C42" s="89">
        <v>3.25</v>
      </c>
    </row>
    <row r="43" spans="1:3" x14ac:dyDescent="0.25">
      <c r="A43" s="88">
        <v>32</v>
      </c>
      <c r="B43" s="89">
        <v>9.9499999999999993</v>
      </c>
      <c r="C43" s="89">
        <v>3.3</v>
      </c>
    </row>
    <row r="44" spans="1:3" x14ac:dyDescent="0.25">
      <c r="A44" s="88">
        <v>33</v>
      </c>
      <c r="B44" s="89">
        <v>10.09</v>
      </c>
      <c r="C44" s="89">
        <v>3.34</v>
      </c>
    </row>
    <row r="45" spans="1:3" x14ac:dyDescent="0.25">
      <c r="A45" s="88">
        <v>34</v>
      </c>
      <c r="B45" s="89">
        <v>10.24</v>
      </c>
      <c r="C45" s="89">
        <v>3.39</v>
      </c>
    </row>
    <row r="46" spans="1:3" x14ac:dyDescent="0.25">
      <c r="A46" s="88">
        <v>35</v>
      </c>
      <c r="B46" s="89">
        <v>10.38</v>
      </c>
      <c r="C46" s="89">
        <v>3.43</v>
      </c>
    </row>
    <row r="47" spans="1:3" x14ac:dyDescent="0.25">
      <c r="A47" s="88">
        <v>36</v>
      </c>
      <c r="B47" s="89">
        <v>10.53</v>
      </c>
      <c r="C47" s="89">
        <v>3.48</v>
      </c>
    </row>
    <row r="48" spans="1:3" x14ac:dyDescent="0.25">
      <c r="A48" s="88">
        <v>37</v>
      </c>
      <c r="B48" s="89">
        <v>10.68</v>
      </c>
      <c r="C48" s="89">
        <v>3.52</v>
      </c>
    </row>
    <row r="49" spans="1:3" x14ac:dyDescent="0.25">
      <c r="A49" s="88">
        <v>38</v>
      </c>
      <c r="B49" s="89">
        <v>10.83</v>
      </c>
      <c r="C49" s="89">
        <v>3.57</v>
      </c>
    </row>
    <row r="50" spans="1:3" x14ac:dyDescent="0.25">
      <c r="A50" s="88">
        <v>39</v>
      </c>
      <c r="B50" s="89">
        <v>10.98</v>
      </c>
      <c r="C50" s="89">
        <v>3.61</v>
      </c>
    </row>
    <row r="51" spans="1:3" x14ac:dyDescent="0.25">
      <c r="A51" s="88">
        <v>40</v>
      </c>
      <c r="B51" s="89">
        <v>11.14</v>
      </c>
      <c r="C51" s="89">
        <v>3.66</v>
      </c>
    </row>
    <row r="52" spans="1:3" x14ac:dyDescent="0.25">
      <c r="A52" s="88">
        <v>41</v>
      </c>
      <c r="B52" s="89">
        <v>11.3</v>
      </c>
      <c r="C52" s="89">
        <v>3.7</v>
      </c>
    </row>
    <row r="53" spans="1:3" x14ac:dyDescent="0.25">
      <c r="A53" s="88">
        <v>42</v>
      </c>
      <c r="B53" s="89">
        <v>11.46</v>
      </c>
      <c r="C53" s="89">
        <v>3.74</v>
      </c>
    </row>
    <row r="54" spans="1:3" x14ac:dyDescent="0.25">
      <c r="A54" s="88">
        <v>43</v>
      </c>
      <c r="B54" s="89">
        <v>11.63</v>
      </c>
      <c r="C54" s="89">
        <v>3.78</v>
      </c>
    </row>
    <row r="55" spans="1:3" x14ac:dyDescent="0.25">
      <c r="A55" s="88">
        <v>44</v>
      </c>
      <c r="B55" s="89">
        <v>11.8</v>
      </c>
      <c r="C55" s="89">
        <v>3.82</v>
      </c>
    </row>
    <row r="56" spans="1:3" x14ac:dyDescent="0.25">
      <c r="A56" s="88">
        <v>45</v>
      </c>
      <c r="B56" s="89">
        <v>11.98</v>
      </c>
      <c r="C56" s="89">
        <v>3.85</v>
      </c>
    </row>
    <row r="57" spans="1:3" x14ac:dyDescent="0.25">
      <c r="A57" s="88">
        <v>46</v>
      </c>
      <c r="B57" s="89">
        <v>12.16</v>
      </c>
      <c r="C57" s="89">
        <v>3.89</v>
      </c>
    </row>
    <row r="58" spans="1:3" x14ac:dyDescent="0.25">
      <c r="A58" s="88">
        <v>47</v>
      </c>
      <c r="B58" s="89">
        <v>12.34</v>
      </c>
      <c r="C58" s="89">
        <v>3.92</v>
      </c>
    </row>
    <row r="59" spans="1:3" x14ac:dyDescent="0.25">
      <c r="A59" s="88">
        <v>48</v>
      </c>
      <c r="B59" s="89">
        <v>12.53</v>
      </c>
      <c r="C59" s="89">
        <v>3.96</v>
      </c>
    </row>
    <row r="60" spans="1:3" x14ac:dyDescent="0.25">
      <c r="A60" s="88">
        <v>49</v>
      </c>
      <c r="B60" s="89">
        <v>12.72</v>
      </c>
      <c r="C60" s="89">
        <v>3.99</v>
      </c>
    </row>
    <row r="61" spans="1:3" x14ac:dyDescent="0.25">
      <c r="A61" s="88">
        <v>50</v>
      </c>
      <c r="B61" s="89">
        <v>12.92</v>
      </c>
      <c r="C61" s="89">
        <v>4.0199999999999996</v>
      </c>
    </row>
    <row r="62" spans="1:3" x14ac:dyDescent="0.25">
      <c r="A62" s="88">
        <v>51</v>
      </c>
      <c r="B62" s="89">
        <v>13.12</v>
      </c>
      <c r="C62" s="89">
        <v>4.04</v>
      </c>
    </row>
    <row r="63" spans="1:3" x14ac:dyDescent="0.25">
      <c r="A63" s="88">
        <v>52</v>
      </c>
      <c r="B63" s="89">
        <v>13.33</v>
      </c>
      <c r="C63" s="89">
        <v>4.07</v>
      </c>
    </row>
    <row r="64" spans="1:3" x14ac:dyDescent="0.25">
      <c r="A64" s="88">
        <v>53</v>
      </c>
      <c r="B64" s="89">
        <v>13.54</v>
      </c>
      <c r="C64" s="89">
        <v>4.09</v>
      </c>
    </row>
    <row r="65" spans="1:3" x14ac:dyDescent="0.25">
      <c r="A65" s="88">
        <v>54</v>
      </c>
      <c r="B65" s="89">
        <v>13.76</v>
      </c>
      <c r="C65" s="89">
        <v>4.12</v>
      </c>
    </row>
    <row r="66" spans="1:3" x14ac:dyDescent="0.25">
      <c r="A66" s="88">
        <v>55</v>
      </c>
      <c r="B66" s="89">
        <v>13.99</v>
      </c>
      <c r="C66" s="89">
        <v>4.1399999999999997</v>
      </c>
    </row>
    <row r="67" spans="1:3" x14ac:dyDescent="0.25">
      <c r="A67" s="88">
        <v>56</v>
      </c>
      <c r="B67" s="89">
        <v>14.22</v>
      </c>
      <c r="C67" s="89">
        <v>4.16</v>
      </c>
    </row>
    <row r="68" spans="1:3" x14ac:dyDescent="0.25">
      <c r="A68" s="88">
        <v>57</v>
      </c>
      <c r="B68" s="89">
        <v>14.46</v>
      </c>
      <c r="C68" s="89">
        <v>4.17</v>
      </c>
    </row>
    <row r="69" spans="1:3" x14ac:dyDescent="0.25">
      <c r="A69" s="88">
        <v>58</v>
      </c>
      <c r="B69" s="89">
        <v>14.71</v>
      </c>
      <c r="C69" s="89">
        <v>4.1900000000000004</v>
      </c>
    </row>
    <row r="70" spans="1:3" x14ac:dyDescent="0.25">
      <c r="A70" s="88">
        <v>59</v>
      </c>
      <c r="B70" s="89">
        <v>14.97</v>
      </c>
      <c r="C70" s="89">
        <v>4.2</v>
      </c>
    </row>
    <row r="71" spans="1:3" x14ac:dyDescent="0.25">
      <c r="A71" s="88">
        <v>60</v>
      </c>
      <c r="B71" s="89">
        <v>15.24</v>
      </c>
      <c r="C71" s="89">
        <v>4.2</v>
      </c>
    </row>
    <row r="72" spans="1:3" x14ac:dyDescent="0.25">
      <c r="A72" s="88">
        <v>61</v>
      </c>
      <c r="B72" s="89">
        <v>15.53</v>
      </c>
      <c r="C72" s="89">
        <v>4.2</v>
      </c>
    </row>
    <row r="73" spans="1:3" x14ac:dyDescent="0.25">
      <c r="A73" s="88">
        <v>62</v>
      </c>
      <c r="B73" s="89">
        <v>15.82</v>
      </c>
      <c r="C73" s="89">
        <v>4.2</v>
      </c>
    </row>
    <row r="74" spans="1:3" x14ac:dyDescent="0.25">
      <c r="A74" s="88">
        <v>63</v>
      </c>
      <c r="B74" s="89">
        <v>16.13</v>
      </c>
      <c r="C74" s="89">
        <v>4.2</v>
      </c>
    </row>
    <row r="75" spans="1:3" x14ac:dyDescent="0.25">
      <c r="A75" s="88">
        <v>64</v>
      </c>
      <c r="B75" s="89">
        <v>16.46</v>
      </c>
      <c r="C75" s="89">
        <v>4.18</v>
      </c>
    </row>
    <row r="76" spans="1:3" x14ac:dyDescent="0.25">
      <c r="A76" s="88">
        <v>65</v>
      </c>
      <c r="B76" s="89">
        <v>16.82</v>
      </c>
      <c r="C76" s="89">
        <v>4.16</v>
      </c>
    </row>
    <row r="77" spans="1:3" x14ac:dyDescent="0.25">
      <c r="A77" s="88">
        <v>66</v>
      </c>
      <c r="B77" s="89">
        <v>16.66</v>
      </c>
      <c r="C77" s="89">
        <v>4.1500000000000004</v>
      </c>
    </row>
    <row r="78" spans="1:3" x14ac:dyDescent="0.25">
      <c r="A78" s="88">
        <v>67</v>
      </c>
      <c r="B78" s="89">
        <v>16</v>
      </c>
      <c r="C78" s="89">
        <v>4.1500000000000004</v>
      </c>
    </row>
    <row r="79" spans="1:3" x14ac:dyDescent="0.25">
      <c r="A79" s="88">
        <v>68</v>
      </c>
      <c r="B79" s="89">
        <v>15.34</v>
      </c>
      <c r="C79" s="89">
        <v>4.1399999999999997</v>
      </c>
    </row>
    <row r="80" spans="1:3" x14ac:dyDescent="0.25">
      <c r="A80" s="88">
        <v>69</v>
      </c>
      <c r="B80" s="89">
        <v>14.69</v>
      </c>
      <c r="C80" s="89">
        <v>4.07</v>
      </c>
    </row>
    <row r="81" spans="1:3" x14ac:dyDescent="0.25">
      <c r="A81" s="88">
        <v>70</v>
      </c>
      <c r="B81" s="89">
        <v>14.05</v>
      </c>
      <c r="C81" s="89">
        <v>4</v>
      </c>
    </row>
    <row r="82" spans="1:3" x14ac:dyDescent="0.25">
      <c r="A82" s="88">
        <v>71</v>
      </c>
      <c r="B82" s="89">
        <v>13.42</v>
      </c>
      <c r="C82" s="89">
        <v>3.97</v>
      </c>
    </row>
    <row r="83" spans="1:3" x14ac:dyDescent="0.25">
      <c r="A83" s="88">
        <v>72</v>
      </c>
      <c r="B83" s="89">
        <v>12.79</v>
      </c>
      <c r="C83" s="89">
        <v>3.94</v>
      </c>
    </row>
    <row r="84" spans="1:3" x14ac:dyDescent="0.25">
      <c r="A84" s="88">
        <v>73</v>
      </c>
      <c r="B84" s="89">
        <v>12.17</v>
      </c>
      <c r="C84" s="89">
        <v>3.9</v>
      </c>
    </row>
    <row r="85" spans="1:3" x14ac:dyDescent="0.25">
      <c r="A85" s="88">
        <v>74</v>
      </c>
      <c r="B85" s="89">
        <v>11.56</v>
      </c>
      <c r="C85" s="89">
        <v>3.74</v>
      </c>
    </row>
  </sheetData>
  <sheetProtection algorithmName="SHA-512" hashValue="bTVuEsT2pk8cNANdpN7eQbaM5/qqMza9Ml3zlzT92AvktWXvffsCCkRCKxR5S6Nm9Rs8h+1m9ShLA4Wv8whKCQ==" saltValue="RYqbLUGjTNXb9QNF9HN4uw==" spinCount="100000" sheet="1" objects="1" scenarios="1"/>
  <conditionalFormatting sqref="A6:A16 A18:A20">
    <cfRule type="expression" dxfId="1451" priority="25" stopIfTrue="1">
      <formula>MOD(ROW(),2)=0</formula>
    </cfRule>
    <cfRule type="expression" dxfId="1450" priority="26" stopIfTrue="1">
      <formula>MOD(ROW(),2)&lt;&gt;0</formula>
    </cfRule>
  </conditionalFormatting>
  <conditionalFormatting sqref="B6:C21">
    <cfRule type="expression" dxfId="1449" priority="27" stopIfTrue="1">
      <formula>MOD(ROW(),2)=0</formula>
    </cfRule>
    <cfRule type="expression" dxfId="1448" priority="28" stopIfTrue="1">
      <formula>MOD(ROW(),2)&lt;&gt;0</formula>
    </cfRule>
  </conditionalFormatting>
  <conditionalFormatting sqref="B17">
    <cfRule type="expression" dxfId="1447" priority="19" stopIfTrue="1">
      <formula>MOD(ROW(),2)=0</formula>
    </cfRule>
    <cfRule type="expression" dxfId="1446" priority="20" stopIfTrue="1">
      <formula>MOD(ROW(),2)&lt;&gt;0</formula>
    </cfRule>
  </conditionalFormatting>
  <conditionalFormatting sqref="A17">
    <cfRule type="expression" dxfId="1445" priority="17" stopIfTrue="1">
      <formula>MOD(ROW(),2)=0</formula>
    </cfRule>
    <cfRule type="expression" dxfId="1444" priority="18" stopIfTrue="1">
      <formula>MOD(ROW(),2)&lt;&gt;0</formula>
    </cfRule>
  </conditionalFormatting>
  <conditionalFormatting sqref="B20:B21">
    <cfRule type="expression" dxfId="1443" priority="15" stopIfTrue="1">
      <formula>MOD(ROW(),2)=0</formula>
    </cfRule>
    <cfRule type="expression" dxfId="1442" priority="16" stopIfTrue="1">
      <formula>MOD(ROW(),2)&lt;&gt;0</formula>
    </cfRule>
  </conditionalFormatting>
  <conditionalFormatting sqref="B18">
    <cfRule type="expression" dxfId="1441" priority="13" stopIfTrue="1">
      <formula>MOD(ROW(),2)=0</formula>
    </cfRule>
    <cfRule type="expression" dxfId="1440" priority="14" stopIfTrue="1">
      <formula>MOD(ROW(),2)&lt;&gt;0</formula>
    </cfRule>
  </conditionalFormatting>
  <conditionalFormatting sqref="B19">
    <cfRule type="expression" dxfId="1439" priority="9" stopIfTrue="1">
      <formula>MOD(ROW(),2)=0</formula>
    </cfRule>
    <cfRule type="expression" dxfId="1438" priority="10" stopIfTrue="1">
      <formula>MOD(ROW(),2)&lt;&gt;0</formula>
    </cfRule>
  </conditionalFormatting>
  <conditionalFormatting sqref="A26:A85">
    <cfRule type="expression" dxfId="1437" priority="5" stopIfTrue="1">
      <formula>MOD(ROW(),2)=0</formula>
    </cfRule>
    <cfRule type="expression" dxfId="1436" priority="6" stopIfTrue="1">
      <formula>MOD(ROW(),2)&lt;&gt;0</formula>
    </cfRule>
  </conditionalFormatting>
  <conditionalFormatting sqref="B26:C85">
    <cfRule type="expression" dxfId="1435" priority="7" stopIfTrue="1">
      <formula>MOD(ROW(),2)=0</formula>
    </cfRule>
    <cfRule type="expression" dxfId="1434" priority="8" stopIfTrue="1">
      <formula>MOD(ROW(),2)&lt;&gt;0</formula>
    </cfRule>
  </conditionalFormatting>
  <conditionalFormatting sqref="A21">
    <cfRule type="expression" dxfId="1433" priority="1" stopIfTrue="1">
      <formula>MOD(ROW(),2)=0</formula>
    </cfRule>
    <cfRule type="expression" dxfId="1432" priority="2" stopIfTrue="1">
      <formula>MOD(ROW(),2)&lt;&gt;0</formula>
    </cfRule>
  </conditionalFormatting>
  <hyperlinks>
    <hyperlink ref="B24" location="Assumptions!A1" display="Assumptions" xr:uid="{F3686FA3-8C27-4325-9428-C7BE11ED988E}"/>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39"/>
  <dimension ref="A1:G85"/>
  <sheetViews>
    <sheetView showGridLines="0" zoomScale="85" zoomScaleNormal="85" workbookViewId="0">
      <selection activeCell="B18" sqref="B18"/>
    </sheetView>
  </sheetViews>
  <sheetFormatPr defaultColWidth="10" defaultRowHeight="12.5" x14ac:dyDescent="0.25"/>
  <cols>
    <col min="1" max="1" width="31.81640625" style="28" customWidth="1"/>
    <col min="2" max="3" width="22.81640625" style="28" customWidth="1"/>
    <col min="4" max="16384" width="10" style="28"/>
  </cols>
  <sheetData>
    <row r="1" spans="1:7" ht="20" x14ac:dyDescent="0.4">
      <c r="A1" s="40" t="s">
        <v>227</v>
      </c>
      <c r="B1" s="41"/>
      <c r="C1" s="41"/>
      <c r="D1" s="41"/>
      <c r="E1" s="41"/>
      <c r="F1" s="41"/>
      <c r="G1" s="41"/>
    </row>
    <row r="2" spans="1:7" ht="15.5" x14ac:dyDescent="0.35">
      <c r="A2" s="42" t="str">
        <f>IF(title="&gt; Enter workbook title here","Enter workbook title in Cover sheet",title)</f>
        <v>Fire Northern Ireland - Consolidated Factor Spreadsheet</v>
      </c>
      <c r="B2" s="43"/>
      <c r="C2" s="43"/>
      <c r="D2" s="43"/>
      <c r="E2" s="43"/>
      <c r="F2" s="43"/>
      <c r="G2" s="43"/>
    </row>
    <row r="3" spans="1:7" ht="15.5" x14ac:dyDescent="0.35">
      <c r="A3" s="44" t="str">
        <f>TABLE_FACTOR_TYPE_1&amp;" - x-"&amp;TABLE_SERIES_NUMBER_1</f>
        <v>CETV - x-211</v>
      </c>
      <c r="B3" s="43"/>
      <c r="C3" s="43"/>
      <c r="D3" s="43"/>
      <c r="E3" s="43"/>
      <c r="F3" s="43"/>
      <c r="G3" s="43"/>
    </row>
    <row r="4" spans="1:7" x14ac:dyDescent="0.25">
      <c r="A4" s="45"/>
    </row>
    <row r="6" spans="1:7" ht="13" x14ac:dyDescent="0.3">
      <c r="A6" s="155" t="s">
        <v>562</v>
      </c>
      <c r="B6" s="154" t="s">
        <v>563</v>
      </c>
      <c r="C6" s="154"/>
    </row>
    <row r="7" spans="1:7" x14ac:dyDescent="0.25">
      <c r="A7" s="156" t="s">
        <v>305</v>
      </c>
      <c r="B7" s="154" t="s">
        <v>319</v>
      </c>
      <c r="C7" s="154"/>
    </row>
    <row r="8" spans="1:7" x14ac:dyDescent="0.25">
      <c r="A8" s="156" t="s">
        <v>306</v>
      </c>
      <c r="B8" s="154">
        <v>2015</v>
      </c>
      <c r="C8" s="154"/>
    </row>
    <row r="9" spans="1:7" x14ac:dyDescent="0.25">
      <c r="A9" s="156" t="s">
        <v>307</v>
      </c>
      <c r="B9" s="154" t="s">
        <v>321</v>
      </c>
      <c r="C9" s="154"/>
    </row>
    <row r="10" spans="1:7" x14ac:dyDescent="0.25">
      <c r="A10" s="156" t="s">
        <v>233</v>
      </c>
      <c r="B10" s="154" t="s">
        <v>347</v>
      </c>
      <c r="C10" s="154"/>
    </row>
    <row r="11" spans="1:7" x14ac:dyDescent="0.25">
      <c r="A11" s="156" t="s">
        <v>308</v>
      </c>
      <c r="B11" s="154" t="s">
        <v>329</v>
      </c>
      <c r="C11" s="154"/>
    </row>
    <row r="12" spans="1:7" x14ac:dyDescent="0.25">
      <c r="A12" s="156" t="s">
        <v>309</v>
      </c>
      <c r="B12" s="154" t="s">
        <v>324</v>
      </c>
      <c r="C12" s="154"/>
    </row>
    <row r="13" spans="1:7" x14ac:dyDescent="0.25">
      <c r="A13" s="156" t="s">
        <v>570</v>
      </c>
      <c r="B13" s="154">
        <v>0</v>
      </c>
      <c r="C13" s="154"/>
    </row>
    <row r="14" spans="1:7" x14ac:dyDescent="0.25">
      <c r="A14" s="156" t="s">
        <v>311</v>
      </c>
      <c r="B14" s="154">
        <v>211</v>
      </c>
      <c r="C14" s="154"/>
    </row>
    <row r="15" spans="1:7" x14ac:dyDescent="0.25">
      <c r="A15" s="156" t="s">
        <v>573</v>
      </c>
      <c r="B15" s="154" t="s">
        <v>350</v>
      </c>
      <c r="C15" s="154"/>
    </row>
    <row r="16" spans="1:7" x14ac:dyDescent="0.25">
      <c r="A16" s="156" t="s">
        <v>313</v>
      </c>
      <c r="B16" s="154" t="s">
        <v>351</v>
      </c>
      <c r="C16" s="154"/>
    </row>
    <row r="17" spans="1:3" x14ac:dyDescent="0.25">
      <c r="A17" s="156" t="s">
        <v>642</v>
      </c>
      <c r="B17" s="154"/>
      <c r="C17" s="154"/>
    </row>
    <row r="18" spans="1:3" x14ac:dyDescent="0.25">
      <c r="A18" s="156" t="s">
        <v>315</v>
      </c>
      <c r="B18" s="157">
        <v>45070</v>
      </c>
      <c r="C18" s="154"/>
    </row>
    <row r="19" spans="1:3" x14ac:dyDescent="0.25">
      <c r="A19" s="156" t="s">
        <v>316</v>
      </c>
      <c r="B19" s="157">
        <v>45014</v>
      </c>
      <c r="C19" s="154"/>
    </row>
    <row r="20" spans="1:3" x14ac:dyDescent="0.25">
      <c r="A20" s="156" t="s">
        <v>317</v>
      </c>
      <c r="B20" s="154" t="s">
        <v>327</v>
      </c>
      <c r="C20" s="154"/>
    </row>
    <row r="21" spans="1:3" x14ac:dyDescent="0.25">
      <c r="A21" s="77" t="s">
        <v>318</v>
      </c>
      <c r="B21" s="154" t="s">
        <v>328</v>
      </c>
      <c r="C21" s="154"/>
    </row>
    <row r="23" spans="1:3" x14ac:dyDescent="0.25">
      <c r="B23" s="91" t="str">
        <f>HYPERLINK("#'Factor List'!A1","Back to Factor List")</f>
        <v>Back to Factor List</v>
      </c>
    </row>
    <row r="24" spans="1:3" x14ac:dyDescent="0.25">
      <c r="B24" s="91" t="s">
        <v>240</v>
      </c>
    </row>
    <row r="25" spans="1:3" x14ac:dyDescent="0.25">
      <c r="B25" s="91"/>
    </row>
    <row r="26" spans="1:3" ht="26" x14ac:dyDescent="0.25">
      <c r="A26" s="87" t="s">
        <v>643</v>
      </c>
      <c r="B26" s="87" t="s">
        <v>650</v>
      </c>
      <c r="C26" s="87" t="s">
        <v>651</v>
      </c>
    </row>
    <row r="27" spans="1:3" x14ac:dyDescent="0.25">
      <c r="A27" s="88">
        <v>16</v>
      </c>
      <c r="B27" s="89">
        <v>7.99</v>
      </c>
      <c r="C27" s="89">
        <v>2.2000000000000002</v>
      </c>
    </row>
    <row r="28" spans="1:3" x14ac:dyDescent="0.25">
      <c r="A28" s="88">
        <v>17</v>
      </c>
      <c r="B28" s="89">
        <v>8.1</v>
      </c>
      <c r="C28" s="89">
        <v>2.38</v>
      </c>
    </row>
    <row r="29" spans="1:3" x14ac:dyDescent="0.25">
      <c r="A29" s="88">
        <v>18</v>
      </c>
      <c r="B29" s="89">
        <v>8.2100000000000009</v>
      </c>
      <c r="C29" s="89">
        <v>2.57</v>
      </c>
    </row>
    <row r="30" spans="1:3" x14ac:dyDescent="0.25">
      <c r="A30" s="88">
        <v>19</v>
      </c>
      <c r="B30" s="89">
        <v>8.33</v>
      </c>
      <c r="C30" s="89">
        <v>2.69</v>
      </c>
    </row>
    <row r="31" spans="1:3" x14ac:dyDescent="0.25">
      <c r="A31" s="88">
        <v>20</v>
      </c>
      <c r="B31" s="89">
        <v>8.44</v>
      </c>
      <c r="C31" s="89">
        <v>2.73</v>
      </c>
    </row>
    <row r="32" spans="1:3" x14ac:dyDescent="0.25">
      <c r="A32" s="88">
        <v>21</v>
      </c>
      <c r="B32" s="89">
        <v>8.56</v>
      </c>
      <c r="C32" s="89">
        <v>2.78</v>
      </c>
    </row>
    <row r="33" spans="1:3" x14ac:dyDescent="0.25">
      <c r="A33" s="88">
        <v>22</v>
      </c>
      <c r="B33" s="89">
        <v>8.68</v>
      </c>
      <c r="C33" s="89">
        <v>2.82</v>
      </c>
    </row>
    <row r="34" spans="1:3" x14ac:dyDescent="0.25">
      <c r="A34" s="88">
        <v>23</v>
      </c>
      <c r="B34" s="89">
        <v>8.8000000000000007</v>
      </c>
      <c r="C34" s="89">
        <v>2.87</v>
      </c>
    </row>
    <row r="35" spans="1:3" x14ac:dyDescent="0.25">
      <c r="A35" s="88">
        <v>24</v>
      </c>
      <c r="B35" s="89">
        <v>8.92</v>
      </c>
      <c r="C35" s="89">
        <v>2.92</v>
      </c>
    </row>
    <row r="36" spans="1:3" x14ac:dyDescent="0.25">
      <c r="A36" s="88">
        <v>25</v>
      </c>
      <c r="B36" s="89">
        <v>9.0399999999999991</v>
      </c>
      <c r="C36" s="89">
        <v>2.96</v>
      </c>
    </row>
    <row r="37" spans="1:3" x14ac:dyDescent="0.25">
      <c r="A37" s="88">
        <v>26</v>
      </c>
      <c r="B37" s="89">
        <v>9.16</v>
      </c>
      <c r="C37" s="89">
        <v>3.01</v>
      </c>
    </row>
    <row r="38" spans="1:3" x14ac:dyDescent="0.25">
      <c r="A38" s="88">
        <v>27</v>
      </c>
      <c r="B38" s="89">
        <v>9.2899999999999991</v>
      </c>
      <c r="C38" s="89">
        <v>3.06</v>
      </c>
    </row>
    <row r="39" spans="1:3" x14ac:dyDescent="0.25">
      <c r="A39" s="88">
        <v>28</v>
      </c>
      <c r="B39" s="89">
        <v>9.42</v>
      </c>
      <c r="C39" s="89">
        <v>3.11</v>
      </c>
    </row>
    <row r="40" spans="1:3" x14ac:dyDescent="0.25">
      <c r="A40" s="88">
        <v>29</v>
      </c>
      <c r="B40" s="89">
        <v>9.5500000000000007</v>
      </c>
      <c r="C40" s="89">
        <v>3.16</v>
      </c>
    </row>
    <row r="41" spans="1:3" x14ac:dyDescent="0.25">
      <c r="A41" s="88">
        <v>30</v>
      </c>
      <c r="B41" s="89">
        <v>9.68</v>
      </c>
      <c r="C41" s="89">
        <v>3.2</v>
      </c>
    </row>
    <row r="42" spans="1:3" x14ac:dyDescent="0.25">
      <c r="A42" s="88">
        <v>31</v>
      </c>
      <c r="B42" s="89">
        <v>9.82</v>
      </c>
      <c r="C42" s="89">
        <v>3.25</v>
      </c>
    </row>
    <row r="43" spans="1:3" x14ac:dyDescent="0.25">
      <c r="A43" s="88">
        <v>32</v>
      </c>
      <c r="B43" s="89">
        <v>9.9499999999999993</v>
      </c>
      <c r="C43" s="89">
        <v>3.3</v>
      </c>
    </row>
    <row r="44" spans="1:3" x14ac:dyDescent="0.25">
      <c r="A44" s="88">
        <v>33</v>
      </c>
      <c r="B44" s="89">
        <v>10.09</v>
      </c>
      <c r="C44" s="89">
        <v>3.34</v>
      </c>
    </row>
    <row r="45" spans="1:3" x14ac:dyDescent="0.25">
      <c r="A45" s="88">
        <v>34</v>
      </c>
      <c r="B45" s="89">
        <v>10.24</v>
      </c>
      <c r="C45" s="89">
        <v>3.39</v>
      </c>
    </row>
    <row r="46" spans="1:3" x14ac:dyDescent="0.25">
      <c r="A46" s="88">
        <v>35</v>
      </c>
      <c r="B46" s="89">
        <v>10.38</v>
      </c>
      <c r="C46" s="89">
        <v>3.43</v>
      </c>
    </row>
    <row r="47" spans="1:3" x14ac:dyDescent="0.25">
      <c r="A47" s="88">
        <v>36</v>
      </c>
      <c r="B47" s="89">
        <v>10.53</v>
      </c>
      <c r="C47" s="89">
        <v>3.48</v>
      </c>
    </row>
    <row r="48" spans="1:3" x14ac:dyDescent="0.25">
      <c r="A48" s="88">
        <v>37</v>
      </c>
      <c r="B48" s="89">
        <v>10.68</v>
      </c>
      <c r="C48" s="89">
        <v>3.52</v>
      </c>
    </row>
    <row r="49" spans="1:3" x14ac:dyDescent="0.25">
      <c r="A49" s="88">
        <v>38</v>
      </c>
      <c r="B49" s="89">
        <v>10.83</v>
      </c>
      <c r="C49" s="89">
        <v>3.57</v>
      </c>
    </row>
    <row r="50" spans="1:3" x14ac:dyDescent="0.25">
      <c r="A50" s="88">
        <v>39</v>
      </c>
      <c r="B50" s="89">
        <v>10.98</v>
      </c>
      <c r="C50" s="89">
        <v>3.61</v>
      </c>
    </row>
    <row r="51" spans="1:3" x14ac:dyDescent="0.25">
      <c r="A51" s="88">
        <v>40</v>
      </c>
      <c r="B51" s="89">
        <v>11.14</v>
      </c>
      <c r="C51" s="89">
        <v>3.66</v>
      </c>
    </row>
    <row r="52" spans="1:3" x14ac:dyDescent="0.25">
      <c r="A52" s="88">
        <v>41</v>
      </c>
      <c r="B52" s="89">
        <v>11.3</v>
      </c>
      <c r="C52" s="89">
        <v>3.7</v>
      </c>
    </row>
    <row r="53" spans="1:3" x14ac:dyDescent="0.25">
      <c r="A53" s="88">
        <v>42</v>
      </c>
      <c r="B53" s="89">
        <v>11.46</v>
      </c>
      <c r="C53" s="89">
        <v>3.74</v>
      </c>
    </row>
    <row r="54" spans="1:3" x14ac:dyDescent="0.25">
      <c r="A54" s="88">
        <v>43</v>
      </c>
      <c r="B54" s="89">
        <v>11.63</v>
      </c>
      <c r="C54" s="89">
        <v>3.78</v>
      </c>
    </row>
    <row r="55" spans="1:3" x14ac:dyDescent="0.25">
      <c r="A55" s="88">
        <v>44</v>
      </c>
      <c r="B55" s="89">
        <v>11.8</v>
      </c>
      <c r="C55" s="89">
        <v>3.82</v>
      </c>
    </row>
    <row r="56" spans="1:3" x14ac:dyDescent="0.25">
      <c r="A56" s="88">
        <v>45</v>
      </c>
      <c r="B56" s="89">
        <v>11.98</v>
      </c>
      <c r="C56" s="89">
        <v>3.85</v>
      </c>
    </row>
    <row r="57" spans="1:3" x14ac:dyDescent="0.25">
      <c r="A57" s="88">
        <v>46</v>
      </c>
      <c r="B57" s="89">
        <v>12.16</v>
      </c>
      <c r="C57" s="89">
        <v>3.89</v>
      </c>
    </row>
    <row r="58" spans="1:3" x14ac:dyDescent="0.25">
      <c r="A58" s="88">
        <v>47</v>
      </c>
      <c r="B58" s="89">
        <v>12.34</v>
      </c>
      <c r="C58" s="89">
        <v>3.92</v>
      </c>
    </row>
    <row r="59" spans="1:3" x14ac:dyDescent="0.25">
      <c r="A59" s="88">
        <v>48</v>
      </c>
      <c r="B59" s="89">
        <v>12.53</v>
      </c>
      <c r="C59" s="89">
        <v>3.96</v>
      </c>
    </row>
    <row r="60" spans="1:3" x14ac:dyDescent="0.25">
      <c r="A60" s="88">
        <v>49</v>
      </c>
      <c r="B60" s="89">
        <v>12.72</v>
      </c>
      <c r="C60" s="89">
        <v>3.99</v>
      </c>
    </row>
    <row r="61" spans="1:3" x14ac:dyDescent="0.25">
      <c r="A61" s="88">
        <v>50</v>
      </c>
      <c r="B61" s="89">
        <v>12.92</v>
      </c>
      <c r="C61" s="89">
        <v>4.0199999999999996</v>
      </c>
    </row>
    <row r="62" spans="1:3" x14ac:dyDescent="0.25">
      <c r="A62" s="88">
        <v>51</v>
      </c>
      <c r="B62" s="89">
        <v>13.12</v>
      </c>
      <c r="C62" s="89">
        <v>4.04</v>
      </c>
    </row>
    <row r="63" spans="1:3" x14ac:dyDescent="0.25">
      <c r="A63" s="88">
        <v>52</v>
      </c>
      <c r="B63" s="89">
        <v>13.33</v>
      </c>
      <c r="C63" s="89">
        <v>4.07</v>
      </c>
    </row>
    <row r="64" spans="1:3" x14ac:dyDescent="0.25">
      <c r="A64" s="88">
        <v>53</v>
      </c>
      <c r="B64" s="89">
        <v>13.54</v>
      </c>
      <c r="C64" s="89">
        <v>4.09</v>
      </c>
    </row>
    <row r="65" spans="1:3" x14ac:dyDescent="0.25">
      <c r="A65" s="88">
        <v>54</v>
      </c>
      <c r="B65" s="89">
        <v>13.76</v>
      </c>
      <c r="C65" s="89">
        <v>4.12</v>
      </c>
    </row>
    <row r="66" spans="1:3" x14ac:dyDescent="0.25">
      <c r="A66" s="88">
        <v>55</v>
      </c>
      <c r="B66" s="89">
        <v>13.99</v>
      </c>
      <c r="C66" s="89">
        <v>4.1399999999999997</v>
      </c>
    </row>
    <row r="67" spans="1:3" x14ac:dyDescent="0.25">
      <c r="A67" s="88">
        <v>56</v>
      </c>
      <c r="B67" s="89">
        <v>14.22</v>
      </c>
      <c r="C67" s="89">
        <v>4.16</v>
      </c>
    </row>
    <row r="68" spans="1:3" x14ac:dyDescent="0.25">
      <c r="A68" s="88">
        <v>57</v>
      </c>
      <c r="B68" s="89">
        <v>14.46</v>
      </c>
      <c r="C68" s="89">
        <v>4.17</v>
      </c>
    </row>
    <row r="69" spans="1:3" x14ac:dyDescent="0.25">
      <c r="A69" s="88">
        <v>58</v>
      </c>
      <c r="B69" s="89">
        <v>14.71</v>
      </c>
      <c r="C69" s="89">
        <v>4.1900000000000004</v>
      </c>
    </row>
    <row r="70" spans="1:3" x14ac:dyDescent="0.25">
      <c r="A70" s="88">
        <v>59</v>
      </c>
      <c r="B70" s="89">
        <v>14.97</v>
      </c>
      <c r="C70" s="89">
        <v>4.2</v>
      </c>
    </row>
    <row r="71" spans="1:3" x14ac:dyDescent="0.25">
      <c r="A71" s="88">
        <v>60</v>
      </c>
      <c r="B71" s="89">
        <v>15.24</v>
      </c>
      <c r="C71" s="89">
        <v>4.2</v>
      </c>
    </row>
    <row r="72" spans="1:3" x14ac:dyDescent="0.25">
      <c r="A72" s="88">
        <v>61</v>
      </c>
      <c r="B72" s="89">
        <v>15.53</v>
      </c>
      <c r="C72" s="89">
        <v>4.2</v>
      </c>
    </row>
    <row r="73" spans="1:3" x14ac:dyDescent="0.25">
      <c r="A73" s="88">
        <v>62</v>
      </c>
      <c r="B73" s="89">
        <v>15.82</v>
      </c>
      <c r="C73" s="89">
        <v>4.2</v>
      </c>
    </row>
    <row r="74" spans="1:3" x14ac:dyDescent="0.25">
      <c r="A74" s="88">
        <v>63</v>
      </c>
      <c r="B74" s="89">
        <v>16.13</v>
      </c>
      <c r="C74" s="89">
        <v>4.2</v>
      </c>
    </row>
    <row r="75" spans="1:3" x14ac:dyDescent="0.25">
      <c r="A75" s="88">
        <v>64</v>
      </c>
      <c r="B75" s="89">
        <v>16.46</v>
      </c>
      <c r="C75" s="89">
        <v>4.18</v>
      </c>
    </row>
    <row r="76" spans="1:3" x14ac:dyDescent="0.25">
      <c r="A76" s="88">
        <v>65</v>
      </c>
      <c r="B76" s="89">
        <v>16.82</v>
      </c>
      <c r="C76" s="89">
        <v>4.16</v>
      </c>
    </row>
    <row r="77" spans="1:3" x14ac:dyDescent="0.25">
      <c r="A77" s="88">
        <v>66</v>
      </c>
      <c r="B77" s="89">
        <v>16.66</v>
      </c>
      <c r="C77" s="89">
        <v>4.1500000000000004</v>
      </c>
    </row>
    <row r="78" spans="1:3" x14ac:dyDescent="0.25">
      <c r="A78" s="88">
        <v>67</v>
      </c>
      <c r="B78" s="89">
        <v>16</v>
      </c>
      <c r="C78" s="89">
        <v>4.1500000000000004</v>
      </c>
    </row>
    <row r="79" spans="1:3" x14ac:dyDescent="0.25">
      <c r="A79" s="88">
        <v>68</v>
      </c>
      <c r="B79" s="89">
        <v>15.34</v>
      </c>
      <c r="C79" s="89">
        <v>4.1399999999999997</v>
      </c>
    </row>
    <row r="80" spans="1:3" x14ac:dyDescent="0.25">
      <c r="A80" s="88">
        <v>69</v>
      </c>
      <c r="B80" s="89">
        <v>14.69</v>
      </c>
      <c r="C80" s="89">
        <v>4.07</v>
      </c>
    </row>
    <row r="81" spans="1:3" x14ac:dyDescent="0.25">
      <c r="A81" s="88">
        <v>70</v>
      </c>
      <c r="B81" s="89">
        <v>14.05</v>
      </c>
      <c r="C81" s="89">
        <v>4</v>
      </c>
    </row>
    <row r="82" spans="1:3" x14ac:dyDescent="0.25">
      <c r="A82" s="88">
        <v>71</v>
      </c>
      <c r="B82" s="89">
        <v>13.42</v>
      </c>
      <c r="C82" s="89">
        <v>3.97</v>
      </c>
    </row>
    <row r="83" spans="1:3" x14ac:dyDescent="0.25">
      <c r="A83" s="88">
        <v>72</v>
      </c>
      <c r="B83" s="89">
        <v>12.79</v>
      </c>
      <c r="C83" s="89">
        <v>3.94</v>
      </c>
    </row>
    <row r="84" spans="1:3" x14ac:dyDescent="0.25">
      <c r="A84" s="88">
        <v>73</v>
      </c>
      <c r="B84" s="89">
        <v>12.17</v>
      </c>
      <c r="C84" s="89">
        <v>3.9</v>
      </c>
    </row>
    <row r="85" spans="1:3" x14ac:dyDescent="0.25">
      <c r="A85" s="88">
        <v>74</v>
      </c>
      <c r="B85" s="89">
        <v>11.56</v>
      </c>
      <c r="C85" s="89">
        <v>3.74</v>
      </c>
    </row>
  </sheetData>
  <sheetProtection algorithmName="SHA-512" hashValue="vrJZNNfoJ1FDWoNnoYROJwqKcjpZ4Iw1cEjlGmsgkxt8VVkhq13BMGupFgOIJW19veWPneIX/d/nRx3PuxLrBQ==" saltValue="RPpzEUulZCVK1XoPcVY/Rw==" spinCount="100000" sheet="1" objects="1" scenarios="1"/>
  <conditionalFormatting sqref="A6:A16 A18:A20">
    <cfRule type="expression" dxfId="1431" priority="23" stopIfTrue="1">
      <formula>MOD(ROW(),2)=0</formula>
    </cfRule>
    <cfRule type="expression" dxfId="1430" priority="24" stopIfTrue="1">
      <formula>MOD(ROW(),2)&lt;&gt;0</formula>
    </cfRule>
  </conditionalFormatting>
  <conditionalFormatting sqref="B6:C21">
    <cfRule type="expression" dxfId="1429" priority="25" stopIfTrue="1">
      <formula>MOD(ROW(),2)=0</formula>
    </cfRule>
    <cfRule type="expression" dxfId="1428" priority="26" stopIfTrue="1">
      <formula>MOD(ROW(),2)&lt;&gt;0</formula>
    </cfRule>
  </conditionalFormatting>
  <conditionalFormatting sqref="B17">
    <cfRule type="expression" dxfId="1427" priority="17" stopIfTrue="1">
      <formula>MOD(ROW(),2)=0</formula>
    </cfRule>
    <cfRule type="expression" dxfId="1426" priority="18" stopIfTrue="1">
      <formula>MOD(ROW(),2)&lt;&gt;0</formula>
    </cfRule>
  </conditionalFormatting>
  <conditionalFormatting sqref="A17">
    <cfRule type="expression" dxfId="1425" priority="15" stopIfTrue="1">
      <formula>MOD(ROW(),2)=0</formula>
    </cfRule>
    <cfRule type="expression" dxfId="1424" priority="16" stopIfTrue="1">
      <formula>MOD(ROW(),2)&lt;&gt;0</formula>
    </cfRule>
  </conditionalFormatting>
  <conditionalFormatting sqref="B18">
    <cfRule type="expression" dxfId="1423" priority="13" stopIfTrue="1">
      <formula>MOD(ROW(),2)=0</formula>
    </cfRule>
    <cfRule type="expression" dxfId="1422" priority="14" stopIfTrue="1">
      <formula>MOD(ROW(),2)&lt;&gt;0</formula>
    </cfRule>
  </conditionalFormatting>
  <conditionalFormatting sqref="B19">
    <cfRule type="expression" dxfId="1421" priority="9" stopIfTrue="1">
      <formula>MOD(ROW(),2)=0</formula>
    </cfRule>
    <cfRule type="expression" dxfId="1420" priority="10" stopIfTrue="1">
      <formula>MOD(ROW(),2)&lt;&gt;0</formula>
    </cfRule>
  </conditionalFormatting>
  <conditionalFormatting sqref="A26:A85">
    <cfRule type="expression" dxfId="1419" priority="5" stopIfTrue="1">
      <formula>MOD(ROW(),2)=0</formula>
    </cfRule>
    <cfRule type="expression" dxfId="1418" priority="6" stopIfTrue="1">
      <formula>MOD(ROW(),2)&lt;&gt;0</formula>
    </cfRule>
  </conditionalFormatting>
  <conditionalFormatting sqref="B26:C85">
    <cfRule type="expression" dxfId="1417" priority="7" stopIfTrue="1">
      <formula>MOD(ROW(),2)=0</formula>
    </cfRule>
    <cfRule type="expression" dxfId="1416" priority="8" stopIfTrue="1">
      <formula>MOD(ROW(),2)&lt;&gt;0</formula>
    </cfRule>
  </conditionalFormatting>
  <conditionalFormatting sqref="A21">
    <cfRule type="expression" dxfId="1415" priority="1" stopIfTrue="1">
      <formula>MOD(ROW(),2)=0</formula>
    </cfRule>
    <cfRule type="expression" dxfId="1414" priority="2" stopIfTrue="1">
      <formula>MOD(ROW(),2)&lt;&gt;0</formula>
    </cfRule>
  </conditionalFormatting>
  <hyperlinks>
    <hyperlink ref="B24" location="Assumptions!A1" display="Assumptions" xr:uid="{8AAE005E-08EE-4BBB-9794-EB48B081E710}"/>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rgb="FFFFFF00"/>
    <pageSetUpPr fitToPage="1"/>
  </sheetPr>
  <dimension ref="A1:D25"/>
  <sheetViews>
    <sheetView showGridLines="0" workbookViewId="0">
      <selection activeCell="F38" sqref="F38"/>
    </sheetView>
  </sheetViews>
  <sheetFormatPr defaultRowHeight="12.5" x14ac:dyDescent="0.25"/>
  <cols>
    <col min="1" max="1" width="21.81640625" customWidth="1"/>
    <col min="2" max="2" width="130.81640625" style="2" customWidth="1"/>
    <col min="4" max="4" width="10.1796875" bestFit="1" customWidth="1"/>
    <col min="8" max="8" width="10.1796875" customWidth="1"/>
    <col min="9" max="9" width="11.453125" customWidth="1"/>
    <col min="12" max="12" width="15.453125" bestFit="1" customWidth="1"/>
    <col min="13" max="13" width="21" bestFit="1" customWidth="1"/>
    <col min="14" max="14" width="9.1796875" customWidth="1"/>
    <col min="15" max="15" width="9.54296875" customWidth="1"/>
    <col min="16" max="20" width="13.1796875" customWidth="1"/>
    <col min="27" max="27" width="11.1796875" customWidth="1"/>
    <col min="28" max="28" width="10.1796875" customWidth="1"/>
    <col min="31" max="31" width="15.453125" bestFit="1" customWidth="1"/>
    <col min="32" max="32" width="21" bestFit="1" customWidth="1"/>
    <col min="33" max="34" width="9.54296875" bestFit="1" customWidth="1"/>
    <col min="35" max="35" width="9.54296875" customWidth="1"/>
    <col min="39" max="39" width="12.453125" bestFit="1" customWidth="1"/>
  </cols>
  <sheetData>
    <row r="1" spans="1:4" ht="20" x14ac:dyDescent="0.4">
      <c r="A1" s="4" t="s">
        <v>227</v>
      </c>
      <c r="B1" s="4"/>
    </row>
    <row r="2" spans="1:4" ht="15.5" x14ac:dyDescent="0.35">
      <c r="A2" s="5" t="s">
        <v>228</v>
      </c>
      <c r="B2" s="5"/>
    </row>
    <row r="3" spans="1:4" ht="15.5" x14ac:dyDescent="0.35">
      <c r="A3" s="6" t="s">
        <v>229</v>
      </c>
      <c r="B3" s="6"/>
    </row>
    <row r="4" spans="1:4" x14ac:dyDescent="0.25">
      <c r="A4" s="7" t="str">
        <f ca="1">CELL("filename",A1)</f>
        <v>https://tris42.sharepoint.com/sites/gad_wrkgrp_actuarial/pspsactuarialwork/Central/Factors &amp; Guidance/2024 Guidance Review/4. Online portal/3. Import data/3. Factor tables/0_client_friendly/Ready to be uploaded/2025-03/[Fire NI Consolidated Factors 2025-02.xlsm]Cover</v>
      </c>
    </row>
    <row r="5" spans="1:4" x14ac:dyDescent="0.25">
      <c r="D5" s="8"/>
    </row>
    <row r="6" spans="1:4" ht="13" x14ac:dyDescent="0.3">
      <c r="A6" s="1"/>
    </row>
    <row r="7" spans="1:4" ht="15.5" x14ac:dyDescent="0.25">
      <c r="A7" s="93" t="s">
        <v>230</v>
      </c>
      <c r="B7" s="94" t="s">
        <v>231</v>
      </c>
    </row>
    <row r="11" spans="1:4" ht="15.5" x14ac:dyDescent="0.25">
      <c r="A11" s="95" t="s">
        <v>232</v>
      </c>
      <c r="B11" s="95" t="s">
        <v>233</v>
      </c>
    </row>
    <row r="12" spans="1:4" x14ac:dyDescent="0.25">
      <c r="A12" s="96" t="s">
        <v>234</v>
      </c>
      <c r="B12" s="97" t="s">
        <v>235</v>
      </c>
    </row>
    <row r="13" spans="1:4" x14ac:dyDescent="0.25">
      <c r="A13" s="98" t="s">
        <v>236</v>
      </c>
      <c r="B13" s="97" t="s">
        <v>237</v>
      </c>
    </row>
    <row r="14" spans="1:4" x14ac:dyDescent="0.25">
      <c r="A14" s="99" t="s">
        <v>238</v>
      </c>
      <c r="B14" s="97" t="s">
        <v>239</v>
      </c>
    </row>
    <row r="15" spans="1:4" x14ac:dyDescent="0.25">
      <c r="A15" s="118" t="s">
        <v>240</v>
      </c>
      <c r="B15" s="119" t="s">
        <v>241</v>
      </c>
    </row>
    <row r="16" spans="1:4" ht="25" x14ac:dyDescent="0.25">
      <c r="A16" s="100" t="s">
        <v>242</v>
      </c>
      <c r="B16" s="100" t="s">
        <v>243</v>
      </c>
    </row>
    <row r="17" spans="1:2" ht="25" x14ac:dyDescent="0.25">
      <c r="A17" s="97" t="s">
        <v>244</v>
      </c>
      <c r="B17" s="97" t="s">
        <v>245</v>
      </c>
    </row>
    <row r="18" spans="1:2" ht="25" x14ac:dyDescent="0.25">
      <c r="A18" s="97" t="s">
        <v>246</v>
      </c>
      <c r="B18" s="97" t="s">
        <v>247</v>
      </c>
    </row>
    <row r="19" spans="1:2" ht="25" x14ac:dyDescent="0.25">
      <c r="A19" s="100" t="s">
        <v>248</v>
      </c>
      <c r="B19" s="100" t="s">
        <v>249</v>
      </c>
    </row>
    <row r="20" spans="1:2" ht="25" x14ac:dyDescent="0.25">
      <c r="A20" s="100" t="s">
        <v>250</v>
      </c>
      <c r="B20" s="100" t="s">
        <v>251</v>
      </c>
    </row>
    <row r="21" spans="1:2" ht="25" x14ac:dyDescent="0.25">
      <c r="A21" s="100" t="s">
        <v>252</v>
      </c>
      <c r="B21" s="100" t="s">
        <v>253</v>
      </c>
    </row>
    <row r="22" spans="1:2" ht="37.5" x14ac:dyDescent="0.25">
      <c r="A22" s="100" t="s">
        <v>254</v>
      </c>
      <c r="B22" s="100" t="s">
        <v>255</v>
      </c>
    </row>
    <row r="23" spans="1:2" ht="25" x14ac:dyDescent="0.25">
      <c r="A23" s="100" t="s">
        <v>256</v>
      </c>
      <c r="B23" s="100" t="s">
        <v>257</v>
      </c>
    </row>
    <row r="24" spans="1:2" x14ac:dyDescent="0.25">
      <c r="A24" s="3"/>
    </row>
    <row r="25" spans="1:2" x14ac:dyDescent="0.25">
      <c r="A25" s="3"/>
    </row>
  </sheetData>
  <sheetProtection algorithmName="SHA-512" hashValue="KnCgg0d8mP3fSqGWRI7GgCvcFSsXZHfLxz4ODndatUEwFV5SmtRYh7S36wn5LX9EWpaoGfKoZdvWNm/aca6reA==" saltValue="Man+kAyOsytQvmJVf02Cfw==" spinCount="100000" sheet="1" objects="1" scenarios="1"/>
  <phoneticPr fontId="4" type="noConversion"/>
  <conditionalFormatting sqref="B7">
    <cfRule type="expression" dxfId="1658" priority="1" stopIfTrue="1">
      <formula>MOD(ROW(),2)=0</formula>
    </cfRule>
    <cfRule type="expression" dxfId="1657" priority="2" stopIfTrue="1">
      <formula>MOD(ROW(),2)&lt;&gt;0</formula>
    </cfRule>
  </conditionalFormatting>
  <conditionalFormatting sqref="A7">
    <cfRule type="expression" dxfId="1656" priority="3" stopIfTrue="1">
      <formula>MOD(ROW(),2)=0</formula>
    </cfRule>
    <cfRule type="expression" dxfId="1655" priority="4" stopIfTrue="1">
      <formula>MOD(ROW(),2)&lt;&gt;0</formula>
    </cfRule>
  </conditionalFormatting>
  <conditionalFormatting sqref="A16:A23">
    <cfRule type="expression" dxfId="1654" priority="9" stopIfTrue="1">
      <formula>MOD(ROW(),2)=0</formula>
    </cfRule>
    <cfRule type="expression" dxfId="1653" priority="10" stopIfTrue="1">
      <formula>MOD(ROW(),2)&lt;&gt;0</formula>
    </cfRule>
  </conditionalFormatting>
  <conditionalFormatting sqref="B16:B23">
    <cfRule type="expression" dxfId="1652" priority="11" stopIfTrue="1">
      <formula>MOD(ROW(),2)=0</formula>
    </cfRule>
    <cfRule type="expression" dxfId="1651" priority="12" stopIfTrue="1">
      <formula>MOD(ROW(),2)&lt;&gt;0</formula>
    </cfRule>
  </conditionalFormatting>
  <conditionalFormatting sqref="B11:B14">
    <cfRule type="expression" dxfId="1650" priority="7" stopIfTrue="1">
      <formula>MOD(ROW(),2)=0</formula>
    </cfRule>
    <cfRule type="expression" dxfId="1649" priority="8" stopIfTrue="1">
      <formula>MOD(ROW(),2)&lt;&gt;0</formula>
    </cfRule>
  </conditionalFormatting>
  <conditionalFormatting sqref="A11">
    <cfRule type="expression" dxfId="1648" priority="5" stopIfTrue="1">
      <formula>MOD(ROW(),2)=0</formula>
    </cfRule>
    <cfRule type="expression" dxfId="1647" priority="6" stopIfTrue="1">
      <formula>MOD(ROW(),2)&lt;&gt;0</formula>
    </cfRule>
  </conditionalFormatting>
  <pageMargins left="0.75" right="0.75" top="1" bottom="1" header="0.5" footer="0.5"/>
  <pageSetup paperSize="9" scale="84" orientation="landscape" r:id="rId1"/>
  <headerFooter alignWithMargins="0">
    <oddHeader>&amp;L&amp;Z&amp;F  [&amp;A]</oddHeader>
    <oddFooter>&amp;LPage &amp;P of &amp;N&amp;R&amp;T &amp;D</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40"/>
  <dimension ref="A1:G85"/>
  <sheetViews>
    <sheetView showGridLines="0" zoomScale="85" zoomScaleNormal="85" workbookViewId="0">
      <selection activeCell="B18" sqref="B18"/>
    </sheetView>
  </sheetViews>
  <sheetFormatPr defaultColWidth="10" defaultRowHeight="12.5" x14ac:dyDescent="0.25"/>
  <cols>
    <col min="1" max="1" width="31.81640625" style="28" customWidth="1"/>
    <col min="2" max="2" width="25" style="28" customWidth="1"/>
    <col min="3" max="3" width="22.81640625" style="28" customWidth="1"/>
    <col min="4" max="16384" width="10" style="28"/>
  </cols>
  <sheetData>
    <row r="1" spans="1:7" ht="20" x14ac:dyDescent="0.4">
      <c r="A1" s="40" t="s">
        <v>227</v>
      </c>
      <c r="B1" s="41"/>
      <c r="C1" s="41"/>
      <c r="D1" s="41"/>
      <c r="E1" s="41"/>
      <c r="F1" s="41"/>
      <c r="G1" s="41"/>
    </row>
    <row r="2" spans="1:7" ht="15.5" x14ac:dyDescent="0.35">
      <c r="A2" s="42" t="str">
        <f>IF(title="&gt; Enter workbook title here","Enter workbook title in Cover sheet",title)</f>
        <v>Fire Northern Ireland - Consolidated Factor Spreadsheet</v>
      </c>
      <c r="B2" s="43"/>
      <c r="C2" s="43"/>
      <c r="D2" s="43"/>
      <c r="E2" s="43"/>
      <c r="F2" s="43"/>
      <c r="G2" s="43"/>
    </row>
    <row r="3" spans="1:7" ht="15.5" x14ac:dyDescent="0.35">
      <c r="A3" s="44" t="str">
        <f>TABLE_FACTOR_TYPE_1&amp;" - x-"&amp;TABLE_SERIES_NUMBER_1</f>
        <v>CETV - x-212</v>
      </c>
      <c r="B3" s="43"/>
      <c r="C3" s="43"/>
      <c r="D3" s="43"/>
      <c r="E3" s="43"/>
      <c r="F3" s="43"/>
      <c r="G3" s="43"/>
    </row>
    <row r="4" spans="1:7" x14ac:dyDescent="0.25">
      <c r="A4" s="45"/>
    </row>
    <row r="6" spans="1:7" ht="13" x14ac:dyDescent="0.3">
      <c r="A6" s="155" t="s">
        <v>562</v>
      </c>
      <c r="B6" s="154" t="s">
        <v>563</v>
      </c>
      <c r="C6" s="154"/>
    </row>
    <row r="7" spans="1:7" x14ac:dyDescent="0.25">
      <c r="A7" s="156" t="s">
        <v>305</v>
      </c>
      <c r="B7" s="154" t="s">
        <v>319</v>
      </c>
      <c r="C7" s="154"/>
    </row>
    <row r="8" spans="1:7" x14ac:dyDescent="0.25">
      <c r="A8" s="156" t="s">
        <v>306</v>
      </c>
      <c r="B8" s="154">
        <v>2015</v>
      </c>
      <c r="C8" s="154"/>
    </row>
    <row r="9" spans="1:7" x14ac:dyDescent="0.25">
      <c r="A9" s="156" t="s">
        <v>307</v>
      </c>
      <c r="B9" s="154" t="s">
        <v>321</v>
      </c>
      <c r="C9" s="154"/>
    </row>
    <row r="10" spans="1:7" x14ac:dyDescent="0.25">
      <c r="A10" s="156" t="s">
        <v>233</v>
      </c>
      <c r="B10" s="154" t="s">
        <v>352</v>
      </c>
      <c r="C10" s="154"/>
    </row>
    <row r="11" spans="1:7" x14ac:dyDescent="0.25">
      <c r="A11" s="156" t="s">
        <v>308</v>
      </c>
      <c r="B11" s="154" t="s">
        <v>323</v>
      </c>
      <c r="C11" s="154"/>
    </row>
    <row r="12" spans="1:7" x14ac:dyDescent="0.25">
      <c r="A12" s="156" t="s">
        <v>309</v>
      </c>
      <c r="B12" s="154" t="s">
        <v>324</v>
      </c>
      <c r="C12" s="154"/>
    </row>
    <row r="13" spans="1:7" x14ac:dyDescent="0.25">
      <c r="A13" s="156" t="s">
        <v>570</v>
      </c>
      <c r="B13" s="154">
        <v>0</v>
      </c>
      <c r="C13" s="154"/>
    </row>
    <row r="14" spans="1:7" x14ac:dyDescent="0.25">
      <c r="A14" s="156" t="s">
        <v>311</v>
      </c>
      <c r="B14" s="154">
        <v>212</v>
      </c>
      <c r="C14" s="154"/>
    </row>
    <row r="15" spans="1:7" x14ac:dyDescent="0.25">
      <c r="A15" s="156" t="s">
        <v>573</v>
      </c>
      <c r="B15" s="154" t="s">
        <v>353</v>
      </c>
      <c r="C15" s="154"/>
    </row>
    <row r="16" spans="1:7" x14ac:dyDescent="0.25">
      <c r="A16" s="156" t="s">
        <v>313</v>
      </c>
      <c r="B16" s="154" t="s">
        <v>354</v>
      </c>
      <c r="C16" s="154"/>
    </row>
    <row r="17" spans="1:3" x14ac:dyDescent="0.25">
      <c r="A17" s="156" t="s">
        <v>642</v>
      </c>
      <c r="B17" s="154"/>
      <c r="C17" s="154"/>
    </row>
    <row r="18" spans="1:3" x14ac:dyDescent="0.25">
      <c r="A18" s="156" t="s">
        <v>315</v>
      </c>
      <c r="B18" s="157">
        <v>45070</v>
      </c>
      <c r="C18" s="154"/>
    </row>
    <row r="19" spans="1:3" x14ac:dyDescent="0.25">
      <c r="A19" s="156" t="s">
        <v>316</v>
      </c>
      <c r="B19" s="157">
        <v>45014</v>
      </c>
      <c r="C19" s="154"/>
    </row>
    <row r="20" spans="1:3" x14ac:dyDescent="0.25">
      <c r="A20" s="156" t="s">
        <v>317</v>
      </c>
      <c r="B20" s="154" t="s">
        <v>327</v>
      </c>
      <c r="C20" s="154"/>
    </row>
    <row r="21" spans="1:3" x14ac:dyDescent="0.25">
      <c r="A21" s="77" t="s">
        <v>318</v>
      </c>
      <c r="B21" s="154" t="s">
        <v>328</v>
      </c>
      <c r="C21" s="154"/>
    </row>
    <row r="23" spans="1:3" x14ac:dyDescent="0.25">
      <c r="B23" s="91" t="str">
        <f>HYPERLINK("#'Factor List'!A1","Back to Factor List")</f>
        <v>Back to Factor List</v>
      </c>
    </row>
    <row r="24" spans="1:3" x14ac:dyDescent="0.25">
      <c r="B24" s="91" t="s">
        <v>240</v>
      </c>
    </row>
    <row r="25" spans="1:3" x14ac:dyDescent="0.25">
      <c r="B25" s="91"/>
    </row>
    <row r="26" spans="1:3" ht="26" x14ac:dyDescent="0.25">
      <c r="A26" s="87" t="s">
        <v>643</v>
      </c>
      <c r="B26" s="87" t="s">
        <v>650</v>
      </c>
      <c r="C26" s="87" t="s">
        <v>651</v>
      </c>
    </row>
    <row r="27" spans="1:3" x14ac:dyDescent="0.25">
      <c r="A27" s="88">
        <v>16</v>
      </c>
      <c r="B27" s="89">
        <v>7.6</v>
      </c>
      <c r="C27" s="89">
        <v>2.21</v>
      </c>
    </row>
    <row r="28" spans="1:3" x14ac:dyDescent="0.25">
      <c r="A28" s="88">
        <v>17</v>
      </c>
      <c r="B28" s="89">
        <v>7.7</v>
      </c>
      <c r="C28" s="89">
        <v>2.39</v>
      </c>
    </row>
    <row r="29" spans="1:3" x14ac:dyDescent="0.25">
      <c r="A29" s="88">
        <v>18</v>
      </c>
      <c r="B29" s="89">
        <v>7.8</v>
      </c>
      <c r="C29" s="89">
        <v>2.58</v>
      </c>
    </row>
    <row r="30" spans="1:3" x14ac:dyDescent="0.25">
      <c r="A30" s="88">
        <v>19</v>
      </c>
      <c r="B30" s="89">
        <v>7.91</v>
      </c>
      <c r="C30" s="89">
        <v>2.7</v>
      </c>
    </row>
    <row r="31" spans="1:3" x14ac:dyDescent="0.25">
      <c r="A31" s="88">
        <v>20</v>
      </c>
      <c r="B31" s="89">
        <v>8.02</v>
      </c>
      <c r="C31" s="89">
        <v>2.74</v>
      </c>
    </row>
    <row r="32" spans="1:3" x14ac:dyDescent="0.25">
      <c r="A32" s="88">
        <v>21</v>
      </c>
      <c r="B32" s="89">
        <v>8.1199999999999992</v>
      </c>
      <c r="C32" s="89">
        <v>2.79</v>
      </c>
    </row>
    <row r="33" spans="1:3" x14ac:dyDescent="0.25">
      <c r="A33" s="88">
        <v>22</v>
      </c>
      <c r="B33" s="89">
        <v>8.24</v>
      </c>
      <c r="C33" s="89">
        <v>2.83</v>
      </c>
    </row>
    <row r="34" spans="1:3" x14ac:dyDescent="0.25">
      <c r="A34" s="88">
        <v>23</v>
      </c>
      <c r="B34" s="89">
        <v>8.35</v>
      </c>
      <c r="C34" s="89">
        <v>2.88</v>
      </c>
    </row>
    <row r="35" spans="1:3" x14ac:dyDescent="0.25">
      <c r="A35" s="88">
        <v>24</v>
      </c>
      <c r="B35" s="89">
        <v>8.4600000000000009</v>
      </c>
      <c r="C35" s="89">
        <v>2.93</v>
      </c>
    </row>
    <row r="36" spans="1:3" x14ac:dyDescent="0.25">
      <c r="A36" s="88">
        <v>25</v>
      </c>
      <c r="B36" s="89">
        <v>8.58</v>
      </c>
      <c r="C36" s="89">
        <v>2.98</v>
      </c>
    </row>
    <row r="37" spans="1:3" x14ac:dyDescent="0.25">
      <c r="A37" s="88">
        <v>26</v>
      </c>
      <c r="B37" s="89">
        <v>8.69</v>
      </c>
      <c r="C37" s="89">
        <v>3.02</v>
      </c>
    </row>
    <row r="38" spans="1:3" x14ac:dyDescent="0.25">
      <c r="A38" s="88">
        <v>27</v>
      </c>
      <c r="B38" s="89">
        <v>8.81</v>
      </c>
      <c r="C38" s="89">
        <v>3.07</v>
      </c>
    </row>
    <row r="39" spans="1:3" x14ac:dyDescent="0.25">
      <c r="A39" s="88">
        <v>28</v>
      </c>
      <c r="B39" s="89">
        <v>8.93</v>
      </c>
      <c r="C39" s="89">
        <v>3.12</v>
      </c>
    </row>
    <row r="40" spans="1:3" x14ac:dyDescent="0.25">
      <c r="A40" s="88">
        <v>29</v>
      </c>
      <c r="B40" s="89">
        <v>9.06</v>
      </c>
      <c r="C40" s="89">
        <v>3.17</v>
      </c>
    </row>
    <row r="41" spans="1:3" x14ac:dyDescent="0.25">
      <c r="A41" s="88">
        <v>30</v>
      </c>
      <c r="B41" s="89">
        <v>9.18</v>
      </c>
      <c r="C41" s="89">
        <v>3.22</v>
      </c>
    </row>
    <row r="42" spans="1:3" x14ac:dyDescent="0.25">
      <c r="A42" s="88">
        <v>31</v>
      </c>
      <c r="B42" s="89">
        <v>9.31</v>
      </c>
      <c r="C42" s="89">
        <v>3.26</v>
      </c>
    </row>
    <row r="43" spans="1:3" x14ac:dyDescent="0.25">
      <c r="A43" s="88">
        <v>32</v>
      </c>
      <c r="B43" s="89">
        <v>9.43</v>
      </c>
      <c r="C43" s="89">
        <v>3.31</v>
      </c>
    </row>
    <row r="44" spans="1:3" x14ac:dyDescent="0.25">
      <c r="A44" s="88">
        <v>33</v>
      </c>
      <c r="B44" s="89">
        <v>9.57</v>
      </c>
      <c r="C44" s="89">
        <v>3.36</v>
      </c>
    </row>
    <row r="45" spans="1:3" x14ac:dyDescent="0.25">
      <c r="A45" s="88">
        <v>34</v>
      </c>
      <c r="B45" s="89">
        <v>9.6999999999999993</v>
      </c>
      <c r="C45" s="89">
        <v>3.4</v>
      </c>
    </row>
    <row r="46" spans="1:3" x14ac:dyDescent="0.25">
      <c r="A46" s="88">
        <v>35</v>
      </c>
      <c r="B46" s="89">
        <v>9.83</v>
      </c>
      <c r="C46" s="89">
        <v>3.45</v>
      </c>
    </row>
    <row r="47" spans="1:3" x14ac:dyDescent="0.25">
      <c r="A47" s="88">
        <v>36</v>
      </c>
      <c r="B47" s="89">
        <v>9.9700000000000006</v>
      </c>
      <c r="C47" s="89">
        <v>3.5</v>
      </c>
    </row>
    <row r="48" spans="1:3" x14ac:dyDescent="0.25">
      <c r="A48" s="88">
        <v>37</v>
      </c>
      <c r="B48" s="89">
        <v>10.11</v>
      </c>
      <c r="C48" s="89">
        <v>3.54</v>
      </c>
    </row>
    <row r="49" spans="1:3" x14ac:dyDescent="0.25">
      <c r="A49" s="88">
        <v>38</v>
      </c>
      <c r="B49" s="89">
        <v>10.25</v>
      </c>
      <c r="C49" s="89">
        <v>3.59</v>
      </c>
    </row>
    <row r="50" spans="1:3" x14ac:dyDescent="0.25">
      <c r="A50" s="88">
        <v>39</v>
      </c>
      <c r="B50" s="89">
        <v>10.4</v>
      </c>
      <c r="C50" s="89">
        <v>3.63</v>
      </c>
    </row>
    <row r="51" spans="1:3" x14ac:dyDescent="0.25">
      <c r="A51" s="88">
        <v>40</v>
      </c>
      <c r="B51" s="89">
        <v>10.54</v>
      </c>
      <c r="C51" s="89">
        <v>3.67</v>
      </c>
    </row>
    <row r="52" spans="1:3" x14ac:dyDescent="0.25">
      <c r="A52" s="88">
        <v>41</v>
      </c>
      <c r="B52" s="89">
        <v>10.7</v>
      </c>
      <c r="C52" s="89">
        <v>3.72</v>
      </c>
    </row>
    <row r="53" spans="1:3" x14ac:dyDescent="0.25">
      <c r="A53" s="88">
        <v>42</v>
      </c>
      <c r="B53" s="89">
        <v>10.85</v>
      </c>
      <c r="C53" s="89">
        <v>3.76</v>
      </c>
    </row>
    <row r="54" spans="1:3" x14ac:dyDescent="0.25">
      <c r="A54" s="88">
        <v>43</v>
      </c>
      <c r="B54" s="89">
        <v>11.01</v>
      </c>
      <c r="C54" s="89">
        <v>3.8</v>
      </c>
    </row>
    <row r="55" spans="1:3" x14ac:dyDescent="0.25">
      <c r="A55" s="88">
        <v>44</v>
      </c>
      <c r="B55" s="89">
        <v>11.17</v>
      </c>
      <c r="C55" s="89">
        <v>3.84</v>
      </c>
    </row>
    <row r="56" spans="1:3" x14ac:dyDescent="0.25">
      <c r="A56" s="88">
        <v>45</v>
      </c>
      <c r="B56" s="89">
        <v>11.33</v>
      </c>
      <c r="C56" s="89">
        <v>3.87</v>
      </c>
    </row>
    <row r="57" spans="1:3" x14ac:dyDescent="0.25">
      <c r="A57" s="88">
        <v>46</v>
      </c>
      <c r="B57" s="89">
        <v>11.5</v>
      </c>
      <c r="C57" s="89">
        <v>3.91</v>
      </c>
    </row>
    <row r="58" spans="1:3" x14ac:dyDescent="0.25">
      <c r="A58" s="88">
        <v>47</v>
      </c>
      <c r="B58" s="89">
        <v>11.67</v>
      </c>
      <c r="C58" s="89">
        <v>3.94</v>
      </c>
    </row>
    <row r="59" spans="1:3" x14ac:dyDescent="0.25">
      <c r="A59" s="88">
        <v>48</v>
      </c>
      <c r="B59" s="89">
        <v>11.84</v>
      </c>
      <c r="C59" s="89">
        <v>3.98</v>
      </c>
    </row>
    <row r="60" spans="1:3" x14ac:dyDescent="0.25">
      <c r="A60" s="88">
        <v>49</v>
      </c>
      <c r="B60" s="89">
        <v>12.02</v>
      </c>
      <c r="C60" s="89">
        <v>4.01</v>
      </c>
    </row>
    <row r="61" spans="1:3" x14ac:dyDescent="0.25">
      <c r="A61" s="88">
        <v>50</v>
      </c>
      <c r="B61" s="89">
        <v>12.21</v>
      </c>
      <c r="C61" s="89">
        <v>4.04</v>
      </c>
    </row>
    <row r="62" spans="1:3" x14ac:dyDescent="0.25">
      <c r="A62" s="88">
        <v>51</v>
      </c>
      <c r="B62" s="89">
        <v>12.4</v>
      </c>
      <c r="C62" s="89">
        <v>4.0599999999999996</v>
      </c>
    </row>
    <row r="63" spans="1:3" x14ac:dyDescent="0.25">
      <c r="A63" s="88">
        <v>52</v>
      </c>
      <c r="B63" s="89">
        <v>12.59</v>
      </c>
      <c r="C63" s="89">
        <v>4.09</v>
      </c>
    </row>
    <row r="64" spans="1:3" x14ac:dyDescent="0.25">
      <c r="A64" s="88">
        <v>53</v>
      </c>
      <c r="B64" s="89">
        <v>12.79</v>
      </c>
      <c r="C64" s="89">
        <v>4.12</v>
      </c>
    </row>
    <row r="65" spans="1:3" x14ac:dyDescent="0.25">
      <c r="A65" s="88">
        <v>54</v>
      </c>
      <c r="B65" s="89">
        <v>13</v>
      </c>
      <c r="C65" s="89">
        <v>4.1399999999999997</v>
      </c>
    </row>
    <row r="66" spans="1:3" x14ac:dyDescent="0.25">
      <c r="A66" s="88">
        <v>55</v>
      </c>
      <c r="B66" s="89">
        <v>13.21</v>
      </c>
      <c r="C66" s="89">
        <v>4.16</v>
      </c>
    </row>
    <row r="67" spans="1:3" x14ac:dyDescent="0.25">
      <c r="A67" s="88">
        <v>56</v>
      </c>
      <c r="B67" s="89">
        <v>13.42</v>
      </c>
      <c r="C67" s="89">
        <v>4.18</v>
      </c>
    </row>
    <row r="68" spans="1:3" x14ac:dyDescent="0.25">
      <c r="A68" s="88">
        <v>57</v>
      </c>
      <c r="B68" s="89">
        <v>13.65</v>
      </c>
      <c r="C68" s="89">
        <v>4.2</v>
      </c>
    </row>
    <row r="69" spans="1:3" x14ac:dyDescent="0.25">
      <c r="A69" s="88">
        <v>58</v>
      </c>
      <c r="B69" s="89">
        <v>13.88</v>
      </c>
      <c r="C69" s="89">
        <v>4.21</v>
      </c>
    </row>
    <row r="70" spans="1:3" x14ac:dyDescent="0.25">
      <c r="A70" s="88">
        <v>59</v>
      </c>
      <c r="B70" s="89">
        <v>14.13</v>
      </c>
      <c r="C70" s="89">
        <v>4.22</v>
      </c>
    </row>
    <row r="71" spans="1:3" x14ac:dyDescent="0.25">
      <c r="A71" s="88">
        <v>60</v>
      </c>
      <c r="B71" s="89">
        <v>14.38</v>
      </c>
      <c r="C71" s="89">
        <v>4.2300000000000004</v>
      </c>
    </row>
    <row r="72" spans="1:3" x14ac:dyDescent="0.25">
      <c r="A72" s="88">
        <v>61</v>
      </c>
      <c r="B72" s="89">
        <v>14.64</v>
      </c>
      <c r="C72" s="89">
        <v>4.2300000000000004</v>
      </c>
    </row>
    <row r="73" spans="1:3" x14ac:dyDescent="0.25">
      <c r="A73" s="88">
        <v>62</v>
      </c>
      <c r="B73" s="89">
        <v>14.92</v>
      </c>
      <c r="C73" s="89">
        <v>4.2300000000000004</v>
      </c>
    </row>
    <row r="74" spans="1:3" x14ac:dyDescent="0.25">
      <c r="A74" s="88">
        <v>63</v>
      </c>
      <c r="B74" s="89">
        <v>15.21</v>
      </c>
      <c r="C74" s="89">
        <v>4.22</v>
      </c>
    </row>
    <row r="75" spans="1:3" x14ac:dyDescent="0.25">
      <c r="A75" s="88">
        <v>64</v>
      </c>
      <c r="B75" s="89">
        <v>15.52</v>
      </c>
      <c r="C75" s="89">
        <v>4.21</v>
      </c>
    </row>
    <row r="76" spans="1:3" x14ac:dyDescent="0.25">
      <c r="A76" s="88">
        <v>65</v>
      </c>
      <c r="B76" s="89">
        <v>15.85</v>
      </c>
      <c r="C76" s="89">
        <v>4.1900000000000004</v>
      </c>
    </row>
    <row r="77" spans="1:3" x14ac:dyDescent="0.25">
      <c r="A77" s="88">
        <v>66</v>
      </c>
      <c r="B77" s="89">
        <v>16.2</v>
      </c>
      <c r="C77" s="89">
        <v>4.16</v>
      </c>
    </row>
    <row r="78" spans="1:3" x14ac:dyDescent="0.25">
      <c r="A78" s="88">
        <v>67</v>
      </c>
      <c r="B78" s="89">
        <v>16.04</v>
      </c>
      <c r="C78" s="89">
        <v>4.1500000000000004</v>
      </c>
    </row>
    <row r="79" spans="1:3" x14ac:dyDescent="0.25">
      <c r="A79" s="88">
        <v>68</v>
      </c>
      <c r="B79" s="89">
        <v>15.38</v>
      </c>
      <c r="C79" s="89">
        <v>4.1399999999999997</v>
      </c>
    </row>
    <row r="80" spans="1:3" x14ac:dyDescent="0.25">
      <c r="A80" s="88">
        <v>69</v>
      </c>
      <c r="B80" s="89">
        <v>14.71</v>
      </c>
      <c r="C80" s="89">
        <v>4.07</v>
      </c>
    </row>
    <row r="81" spans="1:3" x14ac:dyDescent="0.25">
      <c r="A81" s="88">
        <v>70</v>
      </c>
      <c r="B81" s="89">
        <v>14.06</v>
      </c>
      <c r="C81" s="89">
        <v>4</v>
      </c>
    </row>
    <row r="82" spans="1:3" x14ac:dyDescent="0.25">
      <c r="A82" s="88">
        <v>71</v>
      </c>
      <c r="B82" s="89">
        <v>13.42</v>
      </c>
      <c r="C82" s="89">
        <v>3.97</v>
      </c>
    </row>
    <row r="83" spans="1:3" x14ac:dyDescent="0.25">
      <c r="A83" s="88">
        <v>72</v>
      </c>
      <c r="B83" s="89">
        <v>12.79</v>
      </c>
      <c r="C83" s="89">
        <v>3.94</v>
      </c>
    </row>
    <row r="84" spans="1:3" x14ac:dyDescent="0.25">
      <c r="A84" s="88">
        <v>73</v>
      </c>
      <c r="B84" s="89">
        <v>12.17</v>
      </c>
      <c r="C84" s="89">
        <v>3.9</v>
      </c>
    </row>
    <row r="85" spans="1:3" x14ac:dyDescent="0.25">
      <c r="A85" s="88">
        <v>74</v>
      </c>
      <c r="B85" s="89">
        <v>11.56</v>
      </c>
      <c r="C85" s="89">
        <v>3.74</v>
      </c>
    </row>
  </sheetData>
  <sheetProtection algorithmName="SHA-512" hashValue="LXGdr/VkckMawiiO12hqpRz7UPDW0KlwQXS03k3EjKzDm3UrzbRvcyMSn90JGoZ5F8PsKDGzdK6qNonv8IYL6Q==" saltValue="Oo1yxxsP+hJqtcEpLgoC8A==" spinCount="100000" sheet="1" objects="1" scenarios="1"/>
  <conditionalFormatting sqref="A6:A16 A18:A20">
    <cfRule type="expression" dxfId="1413" priority="23" stopIfTrue="1">
      <formula>MOD(ROW(),2)=0</formula>
    </cfRule>
    <cfRule type="expression" dxfId="1412" priority="24" stopIfTrue="1">
      <formula>MOD(ROW(),2)&lt;&gt;0</formula>
    </cfRule>
  </conditionalFormatting>
  <conditionalFormatting sqref="B6:C21">
    <cfRule type="expression" dxfId="1411" priority="25" stopIfTrue="1">
      <formula>MOD(ROW(),2)=0</formula>
    </cfRule>
    <cfRule type="expression" dxfId="1410" priority="26" stopIfTrue="1">
      <formula>MOD(ROW(),2)&lt;&gt;0</formula>
    </cfRule>
  </conditionalFormatting>
  <conditionalFormatting sqref="B17">
    <cfRule type="expression" dxfId="1409" priority="17" stopIfTrue="1">
      <formula>MOD(ROW(),2)=0</formula>
    </cfRule>
    <cfRule type="expression" dxfId="1408" priority="18" stopIfTrue="1">
      <formula>MOD(ROW(),2)&lt;&gt;0</formula>
    </cfRule>
  </conditionalFormatting>
  <conditionalFormatting sqref="A17">
    <cfRule type="expression" dxfId="1407" priority="15" stopIfTrue="1">
      <formula>MOD(ROW(),2)=0</formula>
    </cfRule>
    <cfRule type="expression" dxfId="1406" priority="16" stopIfTrue="1">
      <formula>MOD(ROW(),2)&lt;&gt;0</formula>
    </cfRule>
  </conditionalFormatting>
  <conditionalFormatting sqref="B18">
    <cfRule type="expression" dxfId="1405" priority="13" stopIfTrue="1">
      <formula>MOD(ROW(),2)=0</formula>
    </cfRule>
    <cfRule type="expression" dxfId="1404" priority="14" stopIfTrue="1">
      <formula>MOD(ROW(),2)&lt;&gt;0</formula>
    </cfRule>
  </conditionalFormatting>
  <conditionalFormatting sqref="B19">
    <cfRule type="expression" dxfId="1403" priority="9" stopIfTrue="1">
      <formula>MOD(ROW(),2)=0</formula>
    </cfRule>
    <cfRule type="expression" dxfId="1402" priority="10" stopIfTrue="1">
      <formula>MOD(ROW(),2)&lt;&gt;0</formula>
    </cfRule>
  </conditionalFormatting>
  <conditionalFormatting sqref="A26:A85">
    <cfRule type="expression" dxfId="1401" priority="5" stopIfTrue="1">
      <formula>MOD(ROW(),2)=0</formula>
    </cfRule>
    <cfRule type="expression" dxfId="1400" priority="6" stopIfTrue="1">
      <formula>MOD(ROW(),2)&lt;&gt;0</formula>
    </cfRule>
  </conditionalFormatting>
  <conditionalFormatting sqref="B26:C85">
    <cfRule type="expression" dxfId="1399" priority="7" stopIfTrue="1">
      <formula>MOD(ROW(),2)=0</formula>
    </cfRule>
    <cfRule type="expression" dxfId="1398" priority="8" stopIfTrue="1">
      <formula>MOD(ROW(),2)&lt;&gt;0</formula>
    </cfRule>
  </conditionalFormatting>
  <conditionalFormatting sqref="A21">
    <cfRule type="expression" dxfId="1397" priority="1" stopIfTrue="1">
      <formula>MOD(ROW(),2)=0</formula>
    </cfRule>
    <cfRule type="expression" dxfId="1396" priority="2" stopIfTrue="1">
      <formula>MOD(ROW(),2)&lt;&gt;0</formula>
    </cfRule>
  </conditionalFormatting>
  <hyperlinks>
    <hyperlink ref="B24" location="Assumptions!A1" display="Assumptions" xr:uid="{4F42E59B-0C4C-45FE-97CD-5E9B62CB21A5}"/>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41"/>
  <dimension ref="A1:G85"/>
  <sheetViews>
    <sheetView showGridLines="0" zoomScale="85" zoomScaleNormal="85" workbookViewId="0">
      <selection activeCell="B18" sqref="B18"/>
    </sheetView>
  </sheetViews>
  <sheetFormatPr defaultColWidth="10" defaultRowHeight="12.5" x14ac:dyDescent="0.25"/>
  <cols>
    <col min="1" max="1" width="31.81640625" style="28" customWidth="1"/>
    <col min="2" max="2" width="24.54296875" style="28" customWidth="1"/>
    <col min="3" max="3" width="22.81640625" style="28" customWidth="1"/>
    <col min="4" max="16384" width="10" style="28"/>
  </cols>
  <sheetData>
    <row r="1" spans="1:7" ht="20" x14ac:dyDescent="0.4">
      <c r="A1" s="40" t="s">
        <v>227</v>
      </c>
      <c r="B1" s="41"/>
      <c r="C1" s="41"/>
      <c r="D1" s="41"/>
      <c r="E1" s="41"/>
      <c r="F1" s="41"/>
      <c r="G1" s="41"/>
    </row>
    <row r="2" spans="1:7" ht="15.5" x14ac:dyDescent="0.35">
      <c r="A2" s="42" t="str">
        <f>IF(title="&gt; Enter workbook title here","Enter workbook title in Cover sheet",title)</f>
        <v>Fire Northern Ireland - Consolidated Factor Spreadsheet</v>
      </c>
      <c r="B2" s="43"/>
      <c r="C2" s="43"/>
      <c r="D2" s="43"/>
      <c r="E2" s="43"/>
      <c r="F2" s="43"/>
      <c r="G2" s="43"/>
    </row>
    <row r="3" spans="1:7" ht="15.5" x14ac:dyDescent="0.35">
      <c r="A3" s="44" t="str">
        <f>TABLE_FACTOR_TYPE_1&amp;" - x-"&amp;TABLE_SERIES_NUMBER_1</f>
        <v>CETV - x-213</v>
      </c>
      <c r="B3" s="43"/>
      <c r="C3" s="43"/>
      <c r="D3" s="43"/>
      <c r="E3" s="43"/>
      <c r="F3" s="43"/>
      <c r="G3" s="43"/>
    </row>
    <row r="4" spans="1:7" x14ac:dyDescent="0.25">
      <c r="A4" s="45"/>
    </row>
    <row r="6" spans="1:7" ht="13" x14ac:dyDescent="0.3">
      <c r="A6" s="155" t="s">
        <v>562</v>
      </c>
      <c r="B6" s="154" t="s">
        <v>563</v>
      </c>
      <c r="C6" s="154"/>
    </row>
    <row r="7" spans="1:7" x14ac:dyDescent="0.25">
      <c r="A7" s="156" t="s">
        <v>305</v>
      </c>
      <c r="B7" s="154" t="s">
        <v>319</v>
      </c>
      <c r="C7" s="154"/>
    </row>
    <row r="8" spans="1:7" x14ac:dyDescent="0.25">
      <c r="A8" s="156" t="s">
        <v>306</v>
      </c>
      <c r="B8" s="154">
        <v>2015</v>
      </c>
      <c r="C8" s="154"/>
    </row>
    <row r="9" spans="1:7" x14ac:dyDescent="0.25">
      <c r="A9" s="156" t="s">
        <v>307</v>
      </c>
      <c r="B9" s="154" t="s">
        <v>321</v>
      </c>
      <c r="C9" s="154"/>
    </row>
    <row r="10" spans="1:7" x14ac:dyDescent="0.25">
      <c r="A10" s="156" t="s">
        <v>233</v>
      </c>
      <c r="B10" s="154" t="s">
        <v>352</v>
      </c>
      <c r="C10" s="154"/>
    </row>
    <row r="11" spans="1:7" x14ac:dyDescent="0.25">
      <c r="A11" s="156" t="s">
        <v>308</v>
      </c>
      <c r="B11" s="154" t="s">
        <v>329</v>
      </c>
      <c r="C11" s="154"/>
    </row>
    <row r="12" spans="1:7" x14ac:dyDescent="0.25">
      <c r="A12" s="156" t="s">
        <v>309</v>
      </c>
      <c r="B12" s="154" t="s">
        <v>324</v>
      </c>
      <c r="C12" s="154"/>
    </row>
    <row r="13" spans="1:7" x14ac:dyDescent="0.25">
      <c r="A13" s="156" t="s">
        <v>570</v>
      </c>
      <c r="B13" s="154">
        <v>0</v>
      </c>
      <c r="C13" s="154"/>
    </row>
    <row r="14" spans="1:7" x14ac:dyDescent="0.25">
      <c r="A14" s="156" t="s">
        <v>311</v>
      </c>
      <c r="B14" s="154">
        <v>213</v>
      </c>
      <c r="C14" s="154"/>
    </row>
    <row r="15" spans="1:7" x14ac:dyDescent="0.25">
      <c r="A15" s="156" t="s">
        <v>573</v>
      </c>
      <c r="B15" s="154" t="s">
        <v>355</v>
      </c>
      <c r="C15" s="154"/>
    </row>
    <row r="16" spans="1:7" x14ac:dyDescent="0.25">
      <c r="A16" s="156" t="s">
        <v>313</v>
      </c>
      <c r="B16" s="154" t="s">
        <v>356</v>
      </c>
      <c r="C16" s="154"/>
    </row>
    <row r="17" spans="1:3" x14ac:dyDescent="0.25">
      <c r="A17" s="156" t="s">
        <v>642</v>
      </c>
      <c r="B17" s="154"/>
      <c r="C17" s="154"/>
    </row>
    <row r="18" spans="1:3" x14ac:dyDescent="0.25">
      <c r="A18" s="156" t="s">
        <v>315</v>
      </c>
      <c r="B18" s="157">
        <v>45070</v>
      </c>
      <c r="C18" s="154"/>
    </row>
    <row r="19" spans="1:3" x14ac:dyDescent="0.25">
      <c r="A19" s="156" t="s">
        <v>316</v>
      </c>
      <c r="B19" s="157">
        <v>45014</v>
      </c>
      <c r="C19" s="154"/>
    </row>
    <row r="20" spans="1:3" x14ac:dyDescent="0.25">
      <c r="A20" s="156" t="s">
        <v>317</v>
      </c>
      <c r="B20" s="154" t="s">
        <v>327</v>
      </c>
      <c r="C20" s="154"/>
    </row>
    <row r="21" spans="1:3" x14ac:dyDescent="0.25">
      <c r="A21" s="77" t="s">
        <v>318</v>
      </c>
      <c r="B21" s="154" t="s">
        <v>328</v>
      </c>
      <c r="C21" s="154"/>
    </row>
    <row r="23" spans="1:3" x14ac:dyDescent="0.25">
      <c r="B23" s="91" t="str">
        <f>HYPERLINK("#'Factor List'!A1","Back to Factor List")</f>
        <v>Back to Factor List</v>
      </c>
    </row>
    <row r="24" spans="1:3" x14ac:dyDescent="0.25">
      <c r="B24" s="91" t="s">
        <v>240</v>
      </c>
    </row>
    <row r="25" spans="1:3" x14ac:dyDescent="0.25">
      <c r="B25" s="91"/>
    </row>
    <row r="26" spans="1:3" ht="26" x14ac:dyDescent="0.25">
      <c r="A26" s="87" t="s">
        <v>643</v>
      </c>
      <c r="B26" s="87" t="s">
        <v>650</v>
      </c>
      <c r="C26" s="87" t="s">
        <v>651</v>
      </c>
    </row>
    <row r="27" spans="1:3" x14ac:dyDescent="0.25">
      <c r="A27" s="88">
        <v>16</v>
      </c>
      <c r="B27" s="89">
        <v>7.6</v>
      </c>
      <c r="C27" s="89">
        <v>2.21</v>
      </c>
    </row>
    <row r="28" spans="1:3" x14ac:dyDescent="0.25">
      <c r="A28" s="88">
        <v>17</v>
      </c>
      <c r="B28" s="89">
        <v>7.7</v>
      </c>
      <c r="C28" s="89">
        <v>2.39</v>
      </c>
    </row>
    <row r="29" spans="1:3" x14ac:dyDescent="0.25">
      <c r="A29" s="88">
        <v>18</v>
      </c>
      <c r="B29" s="89">
        <v>7.8</v>
      </c>
      <c r="C29" s="89">
        <v>2.58</v>
      </c>
    </row>
    <row r="30" spans="1:3" x14ac:dyDescent="0.25">
      <c r="A30" s="88">
        <v>19</v>
      </c>
      <c r="B30" s="89">
        <v>7.91</v>
      </c>
      <c r="C30" s="89">
        <v>2.7</v>
      </c>
    </row>
    <row r="31" spans="1:3" x14ac:dyDescent="0.25">
      <c r="A31" s="88">
        <v>20</v>
      </c>
      <c r="B31" s="89">
        <v>8.02</v>
      </c>
      <c r="C31" s="89">
        <v>2.74</v>
      </c>
    </row>
    <row r="32" spans="1:3" x14ac:dyDescent="0.25">
      <c r="A32" s="88">
        <v>21</v>
      </c>
      <c r="B32" s="89">
        <v>8.1199999999999992</v>
      </c>
      <c r="C32" s="89">
        <v>2.79</v>
      </c>
    </row>
    <row r="33" spans="1:3" x14ac:dyDescent="0.25">
      <c r="A33" s="88">
        <v>22</v>
      </c>
      <c r="B33" s="89">
        <v>8.24</v>
      </c>
      <c r="C33" s="89">
        <v>2.83</v>
      </c>
    </row>
    <row r="34" spans="1:3" x14ac:dyDescent="0.25">
      <c r="A34" s="88">
        <v>23</v>
      </c>
      <c r="B34" s="89">
        <v>8.35</v>
      </c>
      <c r="C34" s="89">
        <v>2.88</v>
      </c>
    </row>
    <row r="35" spans="1:3" x14ac:dyDescent="0.25">
      <c r="A35" s="88">
        <v>24</v>
      </c>
      <c r="B35" s="89">
        <v>8.4600000000000009</v>
      </c>
      <c r="C35" s="89">
        <v>2.93</v>
      </c>
    </row>
    <row r="36" spans="1:3" x14ac:dyDescent="0.25">
      <c r="A36" s="88">
        <v>25</v>
      </c>
      <c r="B36" s="89">
        <v>8.58</v>
      </c>
      <c r="C36" s="89">
        <v>2.98</v>
      </c>
    </row>
    <row r="37" spans="1:3" x14ac:dyDescent="0.25">
      <c r="A37" s="88">
        <v>26</v>
      </c>
      <c r="B37" s="89">
        <v>8.69</v>
      </c>
      <c r="C37" s="89">
        <v>3.02</v>
      </c>
    </row>
    <row r="38" spans="1:3" x14ac:dyDescent="0.25">
      <c r="A38" s="88">
        <v>27</v>
      </c>
      <c r="B38" s="89">
        <v>8.81</v>
      </c>
      <c r="C38" s="89">
        <v>3.07</v>
      </c>
    </row>
    <row r="39" spans="1:3" x14ac:dyDescent="0.25">
      <c r="A39" s="88">
        <v>28</v>
      </c>
      <c r="B39" s="89">
        <v>8.93</v>
      </c>
      <c r="C39" s="89">
        <v>3.12</v>
      </c>
    </row>
    <row r="40" spans="1:3" x14ac:dyDescent="0.25">
      <c r="A40" s="88">
        <v>29</v>
      </c>
      <c r="B40" s="89">
        <v>9.06</v>
      </c>
      <c r="C40" s="89">
        <v>3.17</v>
      </c>
    </row>
    <row r="41" spans="1:3" x14ac:dyDescent="0.25">
      <c r="A41" s="88">
        <v>30</v>
      </c>
      <c r="B41" s="89">
        <v>9.18</v>
      </c>
      <c r="C41" s="89">
        <v>3.22</v>
      </c>
    </row>
    <row r="42" spans="1:3" x14ac:dyDescent="0.25">
      <c r="A42" s="88">
        <v>31</v>
      </c>
      <c r="B42" s="89">
        <v>9.31</v>
      </c>
      <c r="C42" s="89">
        <v>3.26</v>
      </c>
    </row>
    <row r="43" spans="1:3" x14ac:dyDescent="0.25">
      <c r="A43" s="88">
        <v>32</v>
      </c>
      <c r="B43" s="89">
        <v>9.43</v>
      </c>
      <c r="C43" s="89">
        <v>3.31</v>
      </c>
    </row>
    <row r="44" spans="1:3" x14ac:dyDescent="0.25">
      <c r="A44" s="88">
        <v>33</v>
      </c>
      <c r="B44" s="89">
        <v>9.57</v>
      </c>
      <c r="C44" s="89">
        <v>3.36</v>
      </c>
    </row>
    <row r="45" spans="1:3" x14ac:dyDescent="0.25">
      <c r="A45" s="88">
        <v>34</v>
      </c>
      <c r="B45" s="89">
        <v>9.6999999999999993</v>
      </c>
      <c r="C45" s="89">
        <v>3.4</v>
      </c>
    </row>
    <row r="46" spans="1:3" x14ac:dyDescent="0.25">
      <c r="A46" s="88">
        <v>35</v>
      </c>
      <c r="B46" s="89">
        <v>9.83</v>
      </c>
      <c r="C46" s="89">
        <v>3.45</v>
      </c>
    </row>
    <row r="47" spans="1:3" x14ac:dyDescent="0.25">
      <c r="A47" s="88">
        <v>36</v>
      </c>
      <c r="B47" s="89">
        <v>9.9700000000000006</v>
      </c>
      <c r="C47" s="89">
        <v>3.5</v>
      </c>
    </row>
    <row r="48" spans="1:3" x14ac:dyDescent="0.25">
      <c r="A48" s="88">
        <v>37</v>
      </c>
      <c r="B48" s="89">
        <v>10.11</v>
      </c>
      <c r="C48" s="89">
        <v>3.54</v>
      </c>
    </row>
    <row r="49" spans="1:3" x14ac:dyDescent="0.25">
      <c r="A49" s="88">
        <v>38</v>
      </c>
      <c r="B49" s="89">
        <v>10.25</v>
      </c>
      <c r="C49" s="89">
        <v>3.59</v>
      </c>
    </row>
    <row r="50" spans="1:3" x14ac:dyDescent="0.25">
      <c r="A50" s="88">
        <v>39</v>
      </c>
      <c r="B50" s="89">
        <v>10.4</v>
      </c>
      <c r="C50" s="89">
        <v>3.63</v>
      </c>
    </row>
    <row r="51" spans="1:3" x14ac:dyDescent="0.25">
      <c r="A51" s="88">
        <v>40</v>
      </c>
      <c r="B51" s="89">
        <v>10.54</v>
      </c>
      <c r="C51" s="89">
        <v>3.67</v>
      </c>
    </row>
    <row r="52" spans="1:3" x14ac:dyDescent="0.25">
      <c r="A52" s="88">
        <v>41</v>
      </c>
      <c r="B52" s="89">
        <v>10.7</v>
      </c>
      <c r="C52" s="89">
        <v>3.72</v>
      </c>
    </row>
    <row r="53" spans="1:3" x14ac:dyDescent="0.25">
      <c r="A53" s="88">
        <v>42</v>
      </c>
      <c r="B53" s="89">
        <v>10.85</v>
      </c>
      <c r="C53" s="89">
        <v>3.76</v>
      </c>
    </row>
    <row r="54" spans="1:3" x14ac:dyDescent="0.25">
      <c r="A54" s="88">
        <v>43</v>
      </c>
      <c r="B54" s="89">
        <v>11.01</v>
      </c>
      <c r="C54" s="89">
        <v>3.8</v>
      </c>
    </row>
    <row r="55" spans="1:3" x14ac:dyDescent="0.25">
      <c r="A55" s="88">
        <v>44</v>
      </c>
      <c r="B55" s="89">
        <v>11.17</v>
      </c>
      <c r="C55" s="89">
        <v>3.84</v>
      </c>
    </row>
    <row r="56" spans="1:3" x14ac:dyDescent="0.25">
      <c r="A56" s="88">
        <v>45</v>
      </c>
      <c r="B56" s="89">
        <v>11.33</v>
      </c>
      <c r="C56" s="89">
        <v>3.87</v>
      </c>
    </row>
    <row r="57" spans="1:3" x14ac:dyDescent="0.25">
      <c r="A57" s="88">
        <v>46</v>
      </c>
      <c r="B57" s="89">
        <v>11.5</v>
      </c>
      <c r="C57" s="89">
        <v>3.91</v>
      </c>
    </row>
    <row r="58" spans="1:3" x14ac:dyDescent="0.25">
      <c r="A58" s="88">
        <v>47</v>
      </c>
      <c r="B58" s="89">
        <v>11.67</v>
      </c>
      <c r="C58" s="89">
        <v>3.94</v>
      </c>
    </row>
    <row r="59" spans="1:3" x14ac:dyDescent="0.25">
      <c r="A59" s="88">
        <v>48</v>
      </c>
      <c r="B59" s="89">
        <v>11.84</v>
      </c>
      <c r="C59" s="89">
        <v>3.98</v>
      </c>
    </row>
    <row r="60" spans="1:3" x14ac:dyDescent="0.25">
      <c r="A60" s="88">
        <v>49</v>
      </c>
      <c r="B60" s="89">
        <v>12.02</v>
      </c>
      <c r="C60" s="89">
        <v>4.01</v>
      </c>
    </row>
    <row r="61" spans="1:3" x14ac:dyDescent="0.25">
      <c r="A61" s="88">
        <v>50</v>
      </c>
      <c r="B61" s="89">
        <v>12.21</v>
      </c>
      <c r="C61" s="89">
        <v>4.04</v>
      </c>
    </row>
    <row r="62" spans="1:3" x14ac:dyDescent="0.25">
      <c r="A62" s="88">
        <v>51</v>
      </c>
      <c r="B62" s="89">
        <v>12.4</v>
      </c>
      <c r="C62" s="89">
        <v>4.0599999999999996</v>
      </c>
    </row>
    <row r="63" spans="1:3" x14ac:dyDescent="0.25">
      <c r="A63" s="88">
        <v>52</v>
      </c>
      <c r="B63" s="89">
        <v>12.59</v>
      </c>
      <c r="C63" s="89">
        <v>4.09</v>
      </c>
    </row>
    <row r="64" spans="1:3" x14ac:dyDescent="0.25">
      <c r="A64" s="88">
        <v>53</v>
      </c>
      <c r="B64" s="89">
        <v>12.79</v>
      </c>
      <c r="C64" s="89">
        <v>4.12</v>
      </c>
    </row>
    <row r="65" spans="1:3" x14ac:dyDescent="0.25">
      <c r="A65" s="88">
        <v>54</v>
      </c>
      <c r="B65" s="89">
        <v>13</v>
      </c>
      <c r="C65" s="89">
        <v>4.1399999999999997</v>
      </c>
    </row>
    <row r="66" spans="1:3" x14ac:dyDescent="0.25">
      <c r="A66" s="88">
        <v>55</v>
      </c>
      <c r="B66" s="89">
        <v>13.21</v>
      </c>
      <c r="C66" s="89">
        <v>4.16</v>
      </c>
    </row>
    <row r="67" spans="1:3" x14ac:dyDescent="0.25">
      <c r="A67" s="88">
        <v>56</v>
      </c>
      <c r="B67" s="89">
        <v>13.42</v>
      </c>
      <c r="C67" s="89">
        <v>4.18</v>
      </c>
    </row>
    <row r="68" spans="1:3" x14ac:dyDescent="0.25">
      <c r="A68" s="88">
        <v>57</v>
      </c>
      <c r="B68" s="89">
        <v>13.65</v>
      </c>
      <c r="C68" s="89">
        <v>4.2</v>
      </c>
    </row>
    <row r="69" spans="1:3" x14ac:dyDescent="0.25">
      <c r="A69" s="88">
        <v>58</v>
      </c>
      <c r="B69" s="89">
        <v>13.88</v>
      </c>
      <c r="C69" s="89">
        <v>4.21</v>
      </c>
    </row>
    <row r="70" spans="1:3" x14ac:dyDescent="0.25">
      <c r="A70" s="88">
        <v>59</v>
      </c>
      <c r="B70" s="89">
        <v>14.13</v>
      </c>
      <c r="C70" s="89">
        <v>4.22</v>
      </c>
    </row>
    <row r="71" spans="1:3" x14ac:dyDescent="0.25">
      <c r="A71" s="88">
        <v>60</v>
      </c>
      <c r="B71" s="89">
        <v>14.38</v>
      </c>
      <c r="C71" s="89">
        <v>4.2300000000000004</v>
      </c>
    </row>
    <row r="72" spans="1:3" x14ac:dyDescent="0.25">
      <c r="A72" s="88">
        <v>61</v>
      </c>
      <c r="B72" s="89">
        <v>14.64</v>
      </c>
      <c r="C72" s="89">
        <v>4.2300000000000004</v>
      </c>
    </row>
    <row r="73" spans="1:3" x14ac:dyDescent="0.25">
      <c r="A73" s="88">
        <v>62</v>
      </c>
      <c r="B73" s="89">
        <v>14.92</v>
      </c>
      <c r="C73" s="89">
        <v>4.2300000000000004</v>
      </c>
    </row>
    <row r="74" spans="1:3" x14ac:dyDescent="0.25">
      <c r="A74" s="88">
        <v>63</v>
      </c>
      <c r="B74" s="89">
        <v>15.21</v>
      </c>
      <c r="C74" s="89">
        <v>4.22</v>
      </c>
    </row>
    <row r="75" spans="1:3" x14ac:dyDescent="0.25">
      <c r="A75" s="88">
        <v>64</v>
      </c>
      <c r="B75" s="89">
        <v>15.52</v>
      </c>
      <c r="C75" s="89">
        <v>4.21</v>
      </c>
    </row>
    <row r="76" spans="1:3" x14ac:dyDescent="0.25">
      <c r="A76" s="88">
        <v>65</v>
      </c>
      <c r="B76" s="89">
        <v>15.85</v>
      </c>
      <c r="C76" s="89">
        <v>4.1900000000000004</v>
      </c>
    </row>
    <row r="77" spans="1:3" x14ac:dyDescent="0.25">
      <c r="A77" s="88">
        <v>66</v>
      </c>
      <c r="B77" s="89">
        <v>16.2</v>
      </c>
      <c r="C77" s="89">
        <v>4.16</v>
      </c>
    </row>
    <row r="78" spans="1:3" x14ac:dyDescent="0.25">
      <c r="A78" s="88">
        <v>67</v>
      </c>
      <c r="B78" s="89">
        <v>16.04</v>
      </c>
      <c r="C78" s="89">
        <v>4.1500000000000004</v>
      </c>
    </row>
    <row r="79" spans="1:3" x14ac:dyDescent="0.25">
      <c r="A79" s="88">
        <v>68</v>
      </c>
      <c r="B79" s="89">
        <v>15.38</v>
      </c>
      <c r="C79" s="89">
        <v>4.1399999999999997</v>
      </c>
    </row>
    <row r="80" spans="1:3" x14ac:dyDescent="0.25">
      <c r="A80" s="88">
        <v>69</v>
      </c>
      <c r="B80" s="89">
        <v>14.71</v>
      </c>
      <c r="C80" s="89">
        <v>4.07</v>
      </c>
    </row>
    <row r="81" spans="1:3" x14ac:dyDescent="0.25">
      <c r="A81" s="88">
        <v>70</v>
      </c>
      <c r="B81" s="89">
        <v>14.06</v>
      </c>
      <c r="C81" s="89">
        <v>4</v>
      </c>
    </row>
    <row r="82" spans="1:3" x14ac:dyDescent="0.25">
      <c r="A82" s="88">
        <v>71</v>
      </c>
      <c r="B82" s="89">
        <v>13.42</v>
      </c>
      <c r="C82" s="89">
        <v>3.97</v>
      </c>
    </row>
    <row r="83" spans="1:3" x14ac:dyDescent="0.25">
      <c r="A83" s="88">
        <v>72</v>
      </c>
      <c r="B83" s="89">
        <v>12.79</v>
      </c>
      <c r="C83" s="89">
        <v>3.94</v>
      </c>
    </row>
    <row r="84" spans="1:3" x14ac:dyDescent="0.25">
      <c r="A84" s="88">
        <v>73</v>
      </c>
      <c r="B84" s="89">
        <v>12.17</v>
      </c>
      <c r="C84" s="89">
        <v>3.9</v>
      </c>
    </row>
    <row r="85" spans="1:3" x14ac:dyDescent="0.25">
      <c r="A85" s="88">
        <v>74</v>
      </c>
      <c r="B85" s="89">
        <v>11.56</v>
      </c>
      <c r="C85" s="89">
        <v>3.74</v>
      </c>
    </row>
  </sheetData>
  <sheetProtection algorithmName="SHA-512" hashValue="euUSMFyykjPCNtdjcrtTd9cCFJzwco9NAG/rQXi2CbuobwlKxAs0JUHgzr3EnPszExNWMxjnFOGhZ9kaw+IBYg==" saltValue="/PynYfcHKR2nl9/UipsEMQ==" spinCount="100000" sheet="1" objects="1" scenarios="1"/>
  <conditionalFormatting sqref="A6:A16 A18:A20">
    <cfRule type="expression" dxfId="1395" priority="23" stopIfTrue="1">
      <formula>MOD(ROW(),2)=0</formula>
    </cfRule>
    <cfRule type="expression" dxfId="1394" priority="24" stopIfTrue="1">
      <formula>MOD(ROW(),2)&lt;&gt;0</formula>
    </cfRule>
  </conditionalFormatting>
  <conditionalFormatting sqref="B6:C21">
    <cfRule type="expression" dxfId="1393" priority="25" stopIfTrue="1">
      <formula>MOD(ROW(),2)=0</formula>
    </cfRule>
    <cfRule type="expression" dxfId="1392" priority="26" stopIfTrue="1">
      <formula>MOD(ROW(),2)&lt;&gt;0</formula>
    </cfRule>
  </conditionalFormatting>
  <conditionalFormatting sqref="B17">
    <cfRule type="expression" dxfId="1391" priority="17" stopIfTrue="1">
      <formula>MOD(ROW(),2)=0</formula>
    </cfRule>
    <cfRule type="expression" dxfId="1390" priority="18" stopIfTrue="1">
      <formula>MOD(ROW(),2)&lt;&gt;0</formula>
    </cfRule>
  </conditionalFormatting>
  <conditionalFormatting sqref="A17">
    <cfRule type="expression" dxfId="1389" priority="15" stopIfTrue="1">
      <formula>MOD(ROW(),2)=0</formula>
    </cfRule>
    <cfRule type="expression" dxfId="1388" priority="16" stopIfTrue="1">
      <formula>MOD(ROW(),2)&lt;&gt;0</formula>
    </cfRule>
  </conditionalFormatting>
  <conditionalFormatting sqref="B18">
    <cfRule type="expression" dxfId="1387" priority="13" stopIfTrue="1">
      <formula>MOD(ROW(),2)=0</formula>
    </cfRule>
    <cfRule type="expression" dxfId="1386" priority="14" stopIfTrue="1">
      <formula>MOD(ROW(),2)&lt;&gt;0</formula>
    </cfRule>
  </conditionalFormatting>
  <conditionalFormatting sqref="B19">
    <cfRule type="expression" dxfId="1385" priority="9" stopIfTrue="1">
      <formula>MOD(ROW(),2)=0</formula>
    </cfRule>
    <cfRule type="expression" dxfId="1384" priority="10" stopIfTrue="1">
      <formula>MOD(ROW(),2)&lt;&gt;0</formula>
    </cfRule>
  </conditionalFormatting>
  <conditionalFormatting sqref="A26:A85">
    <cfRule type="expression" dxfId="1383" priority="5" stopIfTrue="1">
      <formula>MOD(ROW(),2)=0</formula>
    </cfRule>
    <cfRule type="expression" dxfId="1382" priority="6" stopIfTrue="1">
      <formula>MOD(ROW(),2)&lt;&gt;0</formula>
    </cfRule>
  </conditionalFormatting>
  <conditionalFormatting sqref="B26:C85">
    <cfRule type="expression" dxfId="1381" priority="7" stopIfTrue="1">
      <formula>MOD(ROW(),2)=0</formula>
    </cfRule>
    <cfRule type="expression" dxfId="1380" priority="8" stopIfTrue="1">
      <formula>MOD(ROW(),2)&lt;&gt;0</formula>
    </cfRule>
  </conditionalFormatting>
  <conditionalFormatting sqref="A21">
    <cfRule type="expression" dxfId="1379" priority="1" stopIfTrue="1">
      <formula>MOD(ROW(),2)=0</formula>
    </cfRule>
    <cfRule type="expression" dxfId="1378" priority="2" stopIfTrue="1">
      <formula>MOD(ROW(),2)&lt;&gt;0</formula>
    </cfRule>
  </conditionalFormatting>
  <hyperlinks>
    <hyperlink ref="B24" location="Assumptions!A1" display="Assumptions" xr:uid="{2181B13F-9D9F-432E-83A1-930BB0E106E4}"/>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42"/>
  <dimension ref="A1:G85"/>
  <sheetViews>
    <sheetView showGridLines="0" zoomScale="85" zoomScaleNormal="85" workbookViewId="0">
      <selection activeCell="B18" sqref="B18"/>
    </sheetView>
  </sheetViews>
  <sheetFormatPr defaultColWidth="10" defaultRowHeight="12.5" x14ac:dyDescent="0.25"/>
  <cols>
    <col min="1" max="1" width="31.81640625" style="28" customWidth="1"/>
    <col min="2" max="3" width="22.81640625" style="28" customWidth="1"/>
    <col min="4" max="16384" width="10" style="28"/>
  </cols>
  <sheetData>
    <row r="1" spans="1:7" ht="20" x14ac:dyDescent="0.4">
      <c r="A1" s="40" t="s">
        <v>227</v>
      </c>
      <c r="B1" s="41"/>
      <c r="C1" s="41"/>
      <c r="D1" s="41"/>
      <c r="E1" s="41"/>
      <c r="F1" s="41"/>
      <c r="G1" s="41"/>
    </row>
    <row r="2" spans="1:7" ht="15.5" x14ac:dyDescent="0.35">
      <c r="A2" s="42" t="str">
        <f>IF(title="&gt; Enter workbook title here","Enter workbook title in Cover sheet",title)</f>
        <v>Fire Northern Ireland - Consolidated Factor Spreadsheet</v>
      </c>
      <c r="B2" s="43"/>
      <c r="C2" s="43"/>
      <c r="D2" s="43"/>
      <c r="E2" s="43"/>
      <c r="F2" s="43"/>
      <c r="G2" s="43"/>
    </row>
    <row r="3" spans="1:7" ht="15.5" x14ac:dyDescent="0.35">
      <c r="A3" s="44" t="str">
        <f>TABLE_FACTOR_TYPE_1&amp;" - x-"&amp;TABLE_SERIES_NUMBER_1</f>
        <v>CETV - x-214</v>
      </c>
      <c r="B3" s="43"/>
      <c r="C3" s="43"/>
      <c r="D3" s="43"/>
      <c r="E3" s="43"/>
      <c r="F3" s="43"/>
      <c r="G3" s="43"/>
    </row>
    <row r="4" spans="1:7" x14ac:dyDescent="0.25">
      <c r="A4" s="45"/>
    </row>
    <row r="6" spans="1:7" ht="13" x14ac:dyDescent="0.3">
      <c r="A6" s="155" t="s">
        <v>562</v>
      </c>
      <c r="B6" s="154" t="s">
        <v>563</v>
      </c>
      <c r="C6" s="154"/>
    </row>
    <row r="7" spans="1:7" x14ac:dyDescent="0.25">
      <c r="A7" s="156" t="s">
        <v>305</v>
      </c>
      <c r="B7" s="154" t="s">
        <v>319</v>
      </c>
      <c r="C7" s="154"/>
    </row>
    <row r="8" spans="1:7" x14ac:dyDescent="0.25">
      <c r="A8" s="156" t="s">
        <v>306</v>
      </c>
      <c r="B8" s="154">
        <v>2015</v>
      </c>
      <c r="C8" s="154"/>
    </row>
    <row r="9" spans="1:7" x14ac:dyDescent="0.25">
      <c r="A9" s="156" t="s">
        <v>307</v>
      </c>
      <c r="B9" s="154" t="s">
        <v>321</v>
      </c>
      <c r="C9" s="154"/>
    </row>
    <row r="10" spans="1:7" x14ac:dyDescent="0.25">
      <c r="A10" s="156" t="s">
        <v>233</v>
      </c>
      <c r="B10" s="154" t="s">
        <v>357</v>
      </c>
      <c r="C10" s="154"/>
    </row>
    <row r="11" spans="1:7" x14ac:dyDescent="0.25">
      <c r="A11" s="156" t="s">
        <v>308</v>
      </c>
      <c r="B11" s="154" t="s">
        <v>323</v>
      </c>
      <c r="C11" s="154"/>
    </row>
    <row r="12" spans="1:7" x14ac:dyDescent="0.25">
      <c r="A12" s="156" t="s">
        <v>309</v>
      </c>
      <c r="B12" s="154" t="s">
        <v>324</v>
      </c>
      <c r="C12" s="154"/>
    </row>
    <row r="13" spans="1:7" x14ac:dyDescent="0.25">
      <c r="A13" s="156" t="s">
        <v>570</v>
      </c>
      <c r="B13" s="154">
        <v>0</v>
      </c>
      <c r="C13" s="154"/>
    </row>
    <row r="14" spans="1:7" x14ac:dyDescent="0.25">
      <c r="A14" s="156" t="s">
        <v>311</v>
      </c>
      <c r="B14" s="154">
        <v>214</v>
      </c>
      <c r="C14" s="154"/>
    </row>
    <row r="15" spans="1:7" x14ac:dyDescent="0.25">
      <c r="A15" s="156" t="s">
        <v>573</v>
      </c>
      <c r="B15" s="154" t="s">
        <v>358</v>
      </c>
      <c r="C15" s="154"/>
    </row>
    <row r="16" spans="1:7" x14ac:dyDescent="0.25">
      <c r="A16" s="156" t="s">
        <v>313</v>
      </c>
      <c r="B16" s="154" t="s">
        <v>359</v>
      </c>
      <c r="C16" s="154"/>
    </row>
    <row r="17" spans="1:3" x14ac:dyDescent="0.25">
      <c r="A17" s="156" t="s">
        <v>642</v>
      </c>
      <c r="B17" s="154"/>
      <c r="C17" s="154"/>
    </row>
    <row r="18" spans="1:3" x14ac:dyDescent="0.25">
      <c r="A18" s="156" t="s">
        <v>315</v>
      </c>
      <c r="B18" s="157">
        <v>45070</v>
      </c>
      <c r="C18" s="154"/>
    </row>
    <row r="19" spans="1:3" x14ac:dyDescent="0.25">
      <c r="A19" s="156" t="s">
        <v>316</v>
      </c>
      <c r="B19" s="157">
        <v>45014</v>
      </c>
      <c r="C19" s="154"/>
    </row>
    <row r="20" spans="1:3" x14ac:dyDescent="0.25">
      <c r="A20" s="156" t="s">
        <v>317</v>
      </c>
      <c r="B20" s="154" t="s">
        <v>327</v>
      </c>
      <c r="C20" s="154"/>
    </row>
    <row r="21" spans="1:3" x14ac:dyDescent="0.25">
      <c r="A21" s="77" t="s">
        <v>318</v>
      </c>
      <c r="B21" s="154" t="s">
        <v>328</v>
      </c>
      <c r="C21" s="154"/>
    </row>
    <row r="23" spans="1:3" x14ac:dyDescent="0.25">
      <c r="B23" s="91" t="str">
        <f>HYPERLINK("#'Factor List'!A1","Back to Factor List")</f>
        <v>Back to Factor List</v>
      </c>
    </row>
    <row r="24" spans="1:3" x14ac:dyDescent="0.25">
      <c r="B24" s="91" t="s">
        <v>240</v>
      </c>
    </row>
    <row r="25" spans="1:3" x14ac:dyDescent="0.25">
      <c r="B25" s="91"/>
    </row>
    <row r="26" spans="1:3" ht="26" x14ac:dyDescent="0.25">
      <c r="A26" s="87" t="s">
        <v>643</v>
      </c>
      <c r="B26" s="87" t="s">
        <v>650</v>
      </c>
      <c r="C26" s="87" t="s">
        <v>651</v>
      </c>
    </row>
    <row r="27" spans="1:3" x14ac:dyDescent="0.25">
      <c r="A27" s="88">
        <v>16</v>
      </c>
      <c r="B27" s="89">
        <v>7.2</v>
      </c>
      <c r="C27" s="89">
        <v>2.2200000000000002</v>
      </c>
    </row>
    <row r="28" spans="1:3" x14ac:dyDescent="0.25">
      <c r="A28" s="88">
        <v>17</v>
      </c>
      <c r="B28" s="89">
        <v>7.3</v>
      </c>
      <c r="C28" s="89">
        <v>2.4</v>
      </c>
    </row>
    <row r="29" spans="1:3" x14ac:dyDescent="0.25">
      <c r="A29" s="88">
        <v>18</v>
      </c>
      <c r="B29" s="89">
        <v>7.4</v>
      </c>
      <c r="C29" s="89">
        <v>2.59</v>
      </c>
    </row>
    <row r="30" spans="1:3" x14ac:dyDescent="0.25">
      <c r="A30" s="88">
        <v>19</v>
      </c>
      <c r="B30" s="89">
        <v>7.5</v>
      </c>
      <c r="C30" s="89">
        <v>2.71</v>
      </c>
    </row>
    <row r="31" spans="1:3" x14ac:dyDescent="0.25">
      <c r="A31" s="88">
        <v>20</v>
      </c>
      <c r="B31" s="89">
        <v>7.6</v>
      </c>
      <c r="C31" s="89">
        <v>2.75</v>
      </c>
    </row>
    <row r="32" spans="1:3" x14ac:dyDescent="0.25">
      <c r="A32" s="88">
        <v>21</v>
      </c>
      <c r="B32" s="89">
        <v>7.7</v>
      </c>
      <c r="C32" s="89">
        <v>2.8</v>
      </c>
    </row>
    <row r="33" spans="1:3" x14ac:dyDescent="0.25">
      <c r="A33" s="88">
        <v>22</v>
      </c>
      <c r="B33" s="89">
        <v>7.81</v>
      </c>
      <c r="C33" s="89">
        <v>2.85</v>
      </c>
    </row>
    <row r="34" spans="1:3" x14ac:dyDescent="0.25">
      <c r="A34" s="88">
        <v>23</v>
      </c>
      <c r="B34" s="89">
        <v>7.91</v>
      </c>
      <c r="C34" s="89">
        <v>2.89</v>
      </c>
    </row>
    <row r="35" spans="1:3" x14ac:dyDescent="0.25">
      <c r="A35" s="88">
        <v>24</v>
      </c>
      <c r="B35" s="89">
        <v>8.02</v>
      </c>
      <c r="C35" s="89">
        <v>2.94</v>
      </c>
    </row>
    <row r="36" spans="1:3" x14ac:dyDescent="0.25">
      <c r="A36" s="88">
        <v>25</v>
      </c>
      <c r="B36" s="89">
        <v>8.1199999999999992</v>
      </c>
      <c r="C36" s="89">
        <v>2.99</v>
      </c>
    </row>
    <row r="37" spans="1:3" x14ac:dyDescent="0.25">
      <c r="A37" s="88">
        <v>26</v>
      </c>
      <c r="B37" s="89">
        <v>8.23</v>
      </c>
      <c r="C37" s="89">
        <v>3.04</v>
      </c>
    </row>
    <row r="38" spans="1:3" x14ac:dyDescent="0.25">
      <c r="A38" s="88">
        <v>27</v>
      </c>
      <c r="B38" s="89">
        <v>8.35</v>
      </c>
      <c r="C38" s="89">
        <v>3.09</v>
      </c>
    </row>
    <row r="39" spans="1:3" x14ac:dyDescent="0.25">
      <c r="A39" s="88">
        <v>28</v>
      </c>
      <c r="B39" s="89">
        <v>8.4600000000000009</v>
      </c>
      <c r="C39" s="89">
        <v>3.13</v>
      </c>
    </row>
    <row r="40" spans="1:3" x14ac:dyDescent="0.25">
      <c r="A40" s="88">
        <v>29</v>
      </c>
      <c r="B40" s="89">
        <v>8.57</v>
      </c>
      <c r="C40" s="89">
        <v>3.18</v>
      </c>
    </row>
    <row r="41" spans="1:3" x14ac:dyDescent="0.25">
      <c r="A41" s="88">
        <v>30</v>
      </c>
      <c r="B41" s="89">
        <v>8.69</v>
      </c>
      <c r="C41" s="89">
        <v>3.23</v>
      </c>
    </row>
    <row r="42" spans="1:3" x14ac:dyDescent="0.25">
      <c r="A42" s="88">
        <v>31</v>
      </c>
      <c r="B42" s="89">
        <v>8.81</v>
      </c>
      <c r="C42" s="89">
        <v>3.28</v>
      </c>
    </row>
    <row r="43" spans="1:3" x14ac:dyDescent="0.25">
      <c r="A43" s="88">
        <v>32</v>
      </c>
      <c r="B43" s="89">
        <v>8.93</v>
      </c>
      <c r="C43" s="89">
        <v>3.33</v>
      </c>
    </row>
    <row r="44" spans="1:3" x14ac:dyDescent="0.25">
      <c r="A44" s="88">
        <v>33</v>
      </c>
      <c r="B44" s="89">
        <v>9.0500000000000007</v>
      </c>
      <c r="C44" s="89">
        <v>3.37</v>
      </c>
    </row>
    <row r="45" spans="1:3" x14ac:dyDescent="0.25">
      <c r="A45" s="88">
        <v>34</v>
      </c>
      <c r="B45" s="89">
        <v>9.17</v>
      </c>
      <c r="C45" s="89">
        <v>3.42</v>
      </c>
    </row>
    <row r="46" spans="1:3" x14ac:dyDescent="0.25">
      <c r="A46" s="88">
        <v>35</v>
      </c>
      <c r="B46" s="89">
        <v>9.3000000000000007</v>
      </c>
      <c r="C46" s="89">
        <v>3.47</v>
      </c>
    </row>
    <row r="47" spans="1:3" x14ac:dyDescent="0.25">
      <c r="A47" s="88">
        <v>36</v>
      </c>
      <c r="B47" s="89">
        <v>9.43</v>
      </c>
      <c r="C47" s="89">
        <v>3.51</v>
      </c>
    </row>
    <row r="48" spans="1:3" x14ac:dyDescent="0.25">
      <c r="A48" s="88">
        <v>37</v>
      </c>
      <c r="B48" s="89">
        <v>9.56</v>
      </c>
      <c r="C48" s="89">
        <v>3.56</v>
      </c>
    </row>
    <row r="49" spans="1:3" x14ac:dyDescent="0.25">
      <c r="A49" s="88">
        <v>38</v>
      </c>
      <c r="B49" s="89">
        <v>9.69</v>
      </c>
      <c r="C49" s="89">
        <v>3.6</v>
      </c>
    </row>
    <row r="50" spans="1:3" x14ac:dyDescent="0.25">
      <c r="A50" s="88">
        <v>39</v>
      </c>
      <c r="B50" s="89">
        <v>9.83</v>
      </c>
      <c r="C50" s="89">
        <v>3.65</v>
      </c>
    </row>
    <row r="51" spans="1:3" x14ac:dyDescent="0.25">
      <c r="A51" s="88">
        <v>40</v>
      </c>
      <c r="B51" s="89">
        <v>9.9600000000000009</v>
      </c>
      <c r="C51" s="89">
        <v>3.69</v>
      </c>
    </row>
    <row r="52" spans="1:3" x14ac:dyDescent="0.25">
      <c r="A52" s="88">
        <v>41</v>
      </c>
      <c r="B52" s="89">
        <v>10.1</v>
      </c>
      <c r="C52" s="89">
        <v>3.73</v>
      </c>
    </row>
    <row r="53" spans="1:3" x14ac:dyDescent="0.25">
      <c r="A53" s="88">
        <v>42</v>
      </c>
      <c r="B53" s="89">
        <v>10.25</v>
      </c>
      <c r="C53" s="89">
        <v>3.78</v>
      </c>
    </row>
    <row r="54" spans="1:3" x14ac:dyDescent="0.25">
      <c r="A54" s="88">
        <v>43</v>
      </c>
      <c r="B54" s="89">
        <v>10.39</v>
      </c>
      <c r="C54" s="89">
        <v>3.82</v>
      </c>
    </row>
    <row r="55" spans="1:3" x14ac:dyDescent="0.25">
      <c r="A55" s="88">
        <v>44</v>
      </c>
      <c r="B55" s="89">
        <v>10.54</v>
      </c>
      <c r="C55" s="89">
        <v>3.86</v>
      </c>
    </row>
    <row r="56" spans="1:3" x14ac:dyDescent="0.25">
      <c r="A56" s="88">
        <v>45</v>
      </c>
      <c r="B56" s="89">
        <v>10.7</v>
      </c>
      <c r="C56" s="89">
        <v>3.89</v>
      </c>
    </row>
    <row r="57" spans="1:3" x14ac:dyDescent="0.25">
      <c r="A57" s="88">
        <v>46</v>
      </c>
      <c r="B57" s="89">
        <v>10.85</v>
      </c>
      <c r="C57" s="89">
        <v>3.93</v>
      </c>
    </row>
    <row r="58" spans="1:3" x14ac:dyDescent="0.25">
      <c r="A58" s="88">
        <v>47</v>
      </c>
      <c r="B58" s="89">
        <v>11.01</v>
      </c>
      <c r="C58" s="89">
        <v>3.96</v>
      </c>
    </row>
    <row r="59" spans="1:3" x14ac:dyDescent="0.25">
      <c r="A59" s="88">
        <v>48</v>
      </c>
      <c r="B59" s="89">
        <v>11.18</v>
      </c>
      <c r="C59" s="89">
        <v>4</v>
      </c>
    </row>
    <row r="60" spans="1:3" x14ac:dyDescent="0.25">
      <c r="A60" s="88">
        <v>49</v>
      </c>
      <c r="B60" s="89">
        <v>11.34</v>
      </c>
      <c r="C60" s="89">
        <v>4.03</v>
      </c>
    </row>
    <row r="61" spans="1:3" x14ac:dyDescent="0.25">
      <c r="A61" s="88">
        <v>50</v>
      </c>
      <c r="B61" s="89">
        <v>11.52</v>
      </c>
      <c r="C61" s="89">
        <v>4.0599999999999996</v>
      </c>
    </row>
    <row r="62" spans="1:3" x14ac:dyDescent="0.25">
      <c r="A62" s="88">
        <v>51</v>
      </c>
      <c r="B62" s="89">
        <v>11.69</v>
      </c>
      <c r="C62" s="89">
        <v>4.09</v>
      </c>
    </row>
    <row r="63" spans="1:3" x14ac:dyDescent="0.25">
      <c r="A63" s="88">
        <v>52</v>
      </c>
      <c r="B63" s="89">
        <v>11.87</v>
      </c>
      <c r="C63" s="89">
        <v>4.1100000000000003</v>
      </c>
    </row>
    <row r="64" spans="1:3" x14ac:dyDescent="0.25">
      <c r="A64" s="88">
        <v>53</v>
      </c>
      <c r="B64" s="89">
        <v>12.06</v>
      </c>
      <c r="C64" s="89">
        <v>4.1399999999999997</v>
      </c>
    </row>
    <row r="65" spans="1:3" x14ac:dyDescent="0.25">
      <c r="A65" s="88">
        <v>54</v>
      </c>
      <c r="B65" s="89">
        <v>12.25</v>
      </c>
      <c r="C65" s="89">
        <v>4.16</v>
      </c>
    </row>
    <row r="66" spans="1:3" x14ac:dyDescent="0.25">
      <c r="A66" s="88">
        <v>55</v>
      </c>
      <c r="B66" s="89">
        <v>12.45</v>
      </c>
      <c r="C66" s="89">
        <v>4.1900000000000004</v>
      </c>
    </row>
    <row r="67" spans="1:3" x14ac:dyDescent="0.25">
      <c r="A67" s="88">
        <v>56</v>
      </c>
      <c r="B67" s="89">
        <v>12.65</v>
      </c>
      <c r="C67" s="89">
        <v>4.2</v>
      </c>
    </row>
    <row r="68" spans="1:3" x14ac:dyDescent="0.25">
      <c r="A68" s="88">
        <v>57</v>
      </c>
      <c r="B68" s="89">
        <v>12.86</v>
      </c>
      <c r="C68" s="89">
        <v>4.22</v>
      </c>
    </row>
    <row r="69" spans="1:3" x14ac:dyDescent="0.25">
      <c r="A69" s="88">
        <v>58</v>
      </c>
      <c r="B69" s="89">
        <v>13.08</v>
      </c>
      <c r="C69" s="89">
        <v>4.24</v>
      </c>
    </row>
    <row r="70" spans="1:3" x14ac:dyDescent="0.25">
      <c r="A70" s="88">
        <v>59</v>
      </c>
      <c r="B70" s="89">
        <v>13.3</v>
      </c>
      <c r="C70" s="89">
        <v>4.25</v>
      </c>
    </row>
    <row r="71" spans="1:3" x14ac:dyDescent="0.25">
      <c r="A71" s="88">
        <v>60</v>
      </c>
      <c r="B71" s="89">
        <v>13.54</v>
      </c>
      <c r="C71" s="89">
        <v>4.25</v>
      </c>
    </row>
    <row r="72" spans="1:3" x14ac:dyDescent="0.25">
      <c r="A72" s="88">
        <v>61</v>
      </c>
      <c r="B72" s="89">
        <v>13.78</v>
      </c>
      <c r="C72" s="89">
        <v>4.26</v>
      </c>
    </row>
    <row r="73" spans="1:3" x14ac:dyDescent="0.25">
      <c r="A73" s="88">
        <v>62</v>
      </c>
      <c r="B73" s="89">
        <v>14.04</v>
      </c>
      <c r="C73" s="89">
        <v>4.26</v>
      </c>
    </row>
    <row r="74" spans="1:3" x14ac:dyDescent="0.25">
      <c r="A74" s="88">
        <v>63</v>
      </c>
      <c r="B74" s="89">
        <v>14.31</v>
      </c>
      <c r="C74" s="89">
        <v>4.25</v>
      </c>
    </row>
    <row r="75" spans="1:3" x14ac:dyDescent="0.25">
      <c r="A75" s="88">
        <v>64</v>
      </c>
      <c r="B75" s="89">
        <v>14.6</v>
      </c>
      <c r="C75" s="89">
        <v>4.24</v>
      </c>
    </row>
    <row r="76" spans="1:3" x14ac:dyDescent="0.25">
      <c r="A76" s="88">
        <v>65</v>
      </c>
      <c r="B76" s="89">
        <v>14.9</v>
      </c>
      <c r="C76" s="89">
        <v>4.22</v>
      </c>
    </row>
    <row r="77" spans="1:3" x14ac:dyDescent="0.25">
      <c r="A77" s="88">
        <v>66</v>
      </c>
      <c r="B77" s="89">
        <v>15.23</v>
      </c>
      <c r="C77" s="89">
        <v>4.1900000000000004</v>
      </c>
    </row>
    <row r="78" spans="1:3" x14ac:dyDescent="0.25">
      <c r="A78" s="88">
        <v>67</v>
      </c>
      <c r="B78" s="89">
        <v>15.58</v>
      </c>
      <c r="C78" s="89">
        <v>4.16</v>
      </c>
    </row>
    <row r="79" spans="1:3" x14ac:dyDescent="0.25">
      <c r="A79" s="88">
        <v>68</v>
      </c>
      <c r="B79" s="89">
        <v>15.42</v>
      </c>
      <c r="C79" s="89">
        <v>4.1399999999999997</v>
      </c>
    </row>
    <row r="80" spans="1:3" x14ac:dyDescent="0.25">
      <c r="A80" s="88">
        <v>69</v>
      </c>
      <c r="B80" s="89">
        <v>14.75</v>
      </c>
      <c r="C80" s="89">
        <v>4.07</v>
      </c>
    </row>
    <row r="81" spans="1:3" x14ac:dyDescent="0.25">
      <c r="A81" s="88">
        <v>70</v>
      </c>
      <c r="B81" s="89">
        <v>14.09</v>
      </c>
      <c r="C81" s="89">
        <v>4</v>
      </c>
    </row>
    <row r="82" spans="1:3" x14ac:dyDescent="0.25">
      <c r="A82" s="88">
        <v>71</v>
      </c>
      <c r="B82" s="89">
        <v>13.43</v>
      </c>
      <c r="C82" s="89">
        <v>3.97</v>
      </c>
    </row>
    <row r="83" spans="1:3" x14ac:dyDescent="0.25">
      <c r="A83" s="88">
        <v>72</v>
      </c>
      <c r="B83" s="89">
        <v>12.8</v>
      </c>
      <c r="C83" s="89">
        <v>3.94</v>
      </c>
    </row>
    <row r="84" spans="1:3" x14ac:dyDescent="0.25">
      <c r="A84" s="88">
        <v>73</v>
      </c>
      <c r="B84" s="89">
        <v>12.17</v>
      </c>
      <c r="C84" s="89">
        <v>3.9</v>
      </c>
    </row>
    <row r="85" spans="1:3" x14ac:dyDescent="0.25">
      <c r="A85" s="88">
        <v>74</v>
      </c>
      <c r="B85" s="89">
        <v>11.56</v>
      </c>
      <c r="C85" s="89">
        <v>3.74</v>
      </c>
    </row>
  </sheetData>
  <sheetProtection algorithmName="SHA-512" hashValue="tPJk/mAICCrGYTy82O5GOHN1LPTLS9bQQTFrcHl1De8wYyjlpt167gAvSFJtC5gi3aJ8kkNm2HiGK+JPZLGqoQ==" saltValue="nEeaSBiRU14uqPHZeyLHmQ==" spinCount="100000" sheet="1" objects="1" scenarios="1"/>
  <conditionalFormatting sqref="A6:A16 A18:A20">
    <cfRule type="expression" dxfId="1377" priority="23" stopIfTrue="1">
      <formula>MOD(ROW(),2)=0</formula>
    </cfRule>
    <cfRule type="expression" dxfId="1376" priority="24" stopIfTrue="1">
      <formula>MOD(ROW(),2)&lt;&gt;0</formula>
    </cfRule>
  </conditionalFormatting>
  <conditionalFormatting sqref="B6:C21">
    <cfRule type="expression" dxfId="1375" priority="25" stopIfTrue="1">
      <formula>MOD(ROW(),2)=0</formula>
    </cfRule>
    <cfRule type="expression" dxfId="1374" priority="26" stopIfTrue="1">
      <formula>MOD(ROW(),2)&lt;&gt;0</formula>
    </cfRule>
  </conditionalFormatting>
  <conditionalFormatting sqref="B17">
    <cfRule type="expression" dxfId="1373" priority="17" stopIfTrue="1">
      <formula>MOD(ROW(),2)=0</formula>
    </cfRule>
    <cfRule type="expression" dxfId="1372" priority="18" stopIfTrue="1">
      <formula>MOD(ROW(),2)&lt;&gt;0</formula>
    </cfRule>
  </conditionalFormatting>
  <conditionalFormatting sqref="A17">
    <cfRule type="expression" dxfId="1371" priority="15" stopIfTrue="1">
      <formula>MOD(ROW(),2)=0</formula>
    </cfRule>
    <cfRule type="expression" dxfId="1370" priority="16" stopIfTrue="1">
      <formula>MOD(ROW(),2)&lt;&gt;0</formula>
    </cfRule>
  </conditionalFormatting>
  <conditionalFormatting sqref="B18">
    <cfRule type="expression" dxfId="1369" priority="13" stopIfTrue="1">
      <formula>MOD(ROW(),2)=0</formula>
    </cfRule>
    <cfRule type="expression" dxfId="1368" priority="14" stopIfTrue="1">
      <formula>MOD(ROW(),2)&lt;&gt;0</formula>
    </cfRule>
  </conditionalFormatting>
  <conditionalFormatting sqref="B19">
    <cfRule type="expression" dxfId="1367" priority="9" stopIfTrue="1">
      <formula>MOD(ROW(),2)=0</formula>
    </cfRule>
    <cfRule type="expression" dxfId="1366" priority="10" stopIfTrue="1">
      <formula>MOD(ROW(),2)&lt;&gt;0</formula>
    </cfRule>
  </conditionalFormatting>
  <conditionalFormatting sqref="A26:A85">
    <cfRule type="expression" dxfId="1365" priority="5" stopIfTrue="1">
      <formula>MOD(ROW(),2)=0</formula>
    </cfRule>
    <cfRule type="expression" dxfId="1364" priority="6" stopIfTrue="1">
      <formula>MOD(ROW(),2)&lt;&gt;0</formula>
    </cfRule>
  </conditionalFormatting>
  <conditionalFormatting sqref="B26:C85">
    <cfRule type="expression" dxfId="1363" priority="7" stopIfTrue="1">
      <formula>MOD(ROW(),2)=0</formula>
    </cfRule>
    <cfRule type="expression" dxfId="1362" priority="8" stopIfTrue="1">
      <formula>MOD(ROW(),2)&lt;&gt;0</formula>
    </cfRule>
  </conditionalFormatting>
  <conditionalFormatting sqref="A21">
    <cfRule type="expression" dxfId="1361" priority="1" stopIfTrue="1">
      <formula>MOD(ROW(),2)=0</formula>
    </cfRule>
    <cfRule type="expression" dxfId="1360" priority="2" stopIfTrue="1">
      <formula>MOD(ROW(),2)&lt;&gt;0</formula>
    </cfRule>
  </conditionalFormatting>
  <hyperlinks>
    <hyperlink ref="B24" location="Assumptions!A1" display="Assumptions" xr:uid="{3F9F1994-B607-49C0-9FF1-FE2540B60AEA}"/>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43"/>
  <dimension ref="A1:G85"/>
  <sheetViews>
    <sheetView showGridLines="0" zoomScale="85" zoomScaleNormal="85" workbookViewId="0">
      <selection activeCell="B18" sqref="B18"/>
    </sheetView>
  </sheetViews>
  <sheetFormatPr defaultColWidth="10" defaultRowHeight="12.5" x14ac:dyDescent="0.25"/>
  <cols>
    <col min="1" max="1" width="31.81640625" style="28" customWidth="1"/>
    <col min="2" max="2" width="24.81640625" style="28" customWidth="1"/>
    <col min="3" max="3" width="25.1796875" style="28" customWidth="1"/>
    <col min="4" max="16384" width="10" style="28"/>
  </cols>
  <sheetData>
    <row r="1" spans="1:7" ht="20" x14ac:dyDescent="0.4">
      <c r="A1" s="40" t="s">
        <v>227</v>
      </c>
      <c r="B1" s="41"/>
      <c r="C1" s="41"/>
      <c r="D1" s="41"/>
      <c r="E1" s="41"/>
      <c r="F1" s="41"/>
      <c r="G1" s="41"/>
    </row>
    <row r="2" spans="1:7" ht="15.5" x14ac:dyDescent="0.35">
      <c r="A2" s="42" t="str">
        <f>IF(title="&gt; Enter workbook title here","Enter workbook title in Cover sheet",title)</f>
        <v>Fire Northern Ireland - Consolidated Factor Spreadsheet</v>
      </c>
      <c r="B2" s="43"/>
      <c r="C2" s="43"/>
      <c r="D2" s="43"/>
      <c r="E2" s="43"/>
      <c r="F2" s="43"/>
      <c r="G2" s="43"/>
    </row>
    <row r="3" spans="1:7" ht="15.5" x14ac:dyDescent="0.35">
      <c r="A3" s="44" t="str">
        <f>TABLE_FACTOR_TYPE_1&amp;" - x-"&amp;TABLE_SERIES_NUMBER_1</f>
        <v>CETV - x-215</v>
      </c>
      <c r="B3" s="43"/>
      <c r="C3" s="43"/>
      <c r="D3" s="43"/>
      <c r="E3" s="43"/>
      <c r="F3" s="43"/>
      <c r="G3" s="43"/>
    </row>
    <row r="4" spans="1:7" x14ac:dyDescent="0.25">
      <c r="A4" s="45"/>
    </row>
    <row r="6" spans="1:7" ht="13" x14ac:dyDescent="0.3">
      <c r="A6" s="155" t="s">
        <v>562</v>
      </c>
      <c r="B6" s="154" t="s">
        <v>563</v>
      </c>
      <c r="C6" s="154"/>
    </row>
    <row r="7" spans="1:7" x14ac:dyDescent="0.25">
      <c r="A7" s="156" t="s">
        <v>305</v>
      </c>
      <c r="B7" s="154" t="s">
        <v>319</v>
      </c>
      <c r="C7" s="154"/>
    </row>
    <row r="8" spans="1:7" x14ac:dyDescent="0.25">
      <c r="A8" s="156" t="s">
        <v>306</v>
      </c>
      <c r="B8" s="154">
        <v>2015</v>
      </c>
      <c r="C8" s="154"/>
    </row>
    <row r="9" spans="1:7" x14ac:dyDescent="0.25">
      <c r="A9" s="156" t="s">
        <v>307</v>
      </c>
      <c r="B9" s="154" t="s">
        <v>321</v>
      </c>
      <c r="C9" s="154"/>
    </row>
    <row r="10" spans="1:7" x14ac:dyDescent="0.25">
      <c r="A10" s="156" t="s">
        <v>233</v>
      </c>
      <c r="B10" s="154" t="s">
        <v>357</v>
      </c>
      <c r="C10" s="154"/>
    </row>
    <row r="11" spans="1:7" x14ac:dyDescent="0.25">
      <c r="A11" s="156" t="s">
        <v>308</v>
      </c>
      <c r="B11" s="154" t="s">
        <v>329</v>
      </c>
      <c r="C11" s="154"/>
    </row>
    <row r="12" spans="1:7" x14ac:dyDescent="0.25">
      <c r="A12" s="156" t="s">
        <v>309</v>
      </c>
      <c r="B12" s="154" t="s">
        <v>324</v>
      </c>
      <c r="C12" s="154"/>
    </row>
    <row r="13" spans="1:7" x14ac:dyDescent="0.25">
      <c r="A13" s="156" t="s">
        <v>570</v>
      </c>
      <c r="B13" s="154">
        <v>0</v>
      </c>
      <c r="C13" s="154"/>
    </row>
    <row r="14" spans="1:7" x14ac:dyDescent="0.25">
      <c r="A14" s="156" t="s">
        <v>311</v>
      </c>
      <c r="B14" s="154">
        <v>215</v>
      </c>
      <c r="C14" s="154"/>
    </row>
    <row r="15" spans="1:7" x14ac:dyDescent="0.25">
      <c r="A15" s="156" t="s">
        <v>573</v>
      </c>
      <c r="B15" s="154" t="s">
        <v>360</v>
      </c>
      <c r="C15" s="154"/>
    </row>
    <row r="16" spans="1:7" x14ac:dyDescent="0.25">
      <c r="A16" s="156" t="s">
        <v>313</v>
      </c>
      <c r="B16" s="154" t="s">
        <v>361</v>
      </c>
      <c r="C16" s="154"/>
    </row>
    <row r="17" spans="1:3" x14ac:dyDescent="0.25">
      <c r="A17" s="156" t="s">
        <v>642</v>
      </c>
      <c r="B17" s="154"/>
      <c r="C17" s="154"/>
    </row>
    <row r="18" spans="1:3" x14ac:dyDescent="0.25">
      <c r="A18" s="156" t="s">
        <v>315</v>
      </c>
      <c r="B18" s="157">
        <v>45070</v>
      </c>
      <c r="C18" s="154"/>
    </row>
    <row r="19" spans="1:3" x14ac:dyDescent="0.25">
      <c r="A19" s="156" t="s">
        <v>316</v>
      </c>
      <c r="B19" s="157">
        <v>45014</v>
      </c>
      <c r="C19" s="154"/>
    </row>
    <row r="20" spans="1:3" x14ac:dyDescent="0.25">
      <c r="A20" s="156" t="s">
        <v>317</v>
      </c>
      <c r="B20" s="154" t="s">
        <v>327</v>
      </c>
      <c r="C20" s="154"/>
    </row>
    <row r="21" spans="1:3" x14ac:dyDescent="0.25">
      <c r="A21" s="77" t="s">
        <v>318</v>
      </c>
      <c r="B21" s="154" t="s">
        <v>328</v>
      </c>
      <c r="C21" s="154"/>
    </row>
    <row r="23" spans="1:3" x14ac:dyDescent="0.25">
      <c r="B23" s="91" t="str">
        <f>HYPERLINK("#'Factor List'!A1","Back to Factor List")</f>
        <v>Back to Factor List</v>
      </c>
    </row>
    <row r="24" spans="1:3" x14ac:dyDescent="0.25">
      <c r="B24" s="91" t="s">
        <v>240</v>
      </c>
    </row>
    <row r="25" spans="1:3" x14ac:dyDescent="0.25">
      <c r="B25" s="91"/>
    </row>
    <row r="26" spans="1:3" ht="26" x14ac:dyDescent="0.25">
      <c r="A26" s="87" t="s">
        <v>643</v>
      </c>
      <c r="B26" s="87" t="s">
        <v>650</v>
      </c>
      <c r="C26" s="87" t="s">
        <v>651</v>
      </c>
    </row>
    <row r="27" spans="1:3" x14ac:dyDescent="0.25">
      <c r="A27" s="88">
        <v>16</v>
      </c>
      <c r="B27" s="89">
        <v>7.2</v>
      </c>
      <c r="C27" s="89">
        <v>2.2200000000000002</v>
      </c>
    </row>
    <row r="28" spans="1:3" x14ac:dyDescent="0.25">
      <c r="A28" s="88">
        <v>17</v>
      </c>
      <c r="B28" s="89">
        <v>7.3</v>
      </c>
      <c r="C28" s="89">
        <v>2.4</v>
      </c>
    </row>
    <row r="29" spans="1:3" x14ac:dyDescent="0.25">
      <c r="A29" s="88">
        <v>18</v>
      </c>
      <c r="B29" s="89">
        <v>7.4</v>
      </c>
      <c r="C29" s="89">
        <v>2.59</v>
      </c>
    </row>
    <row r="30" spans="1:3" x14ac:dyDescent="0.25">
      <c r="A30" s="88">
        <v>19</v>
      </c>
      <c r="B30" s="89">
        <v>7.5</v>
      </c>
      <c r="C30" s="89">
        <v>2.71</v>
      </c>
    </row>
    <row r="31" spans="1:3" x14ac:dyDescent="0.25">
      <c r="A31" s="88">
        <v>20</v>
      </c>
      <c r="B31" s="89">
        <v>7.6</v>
      </c>
      <c r="C31" s="89">
        <v>2.75</v>
      </c>
    </row>
    <row r="32" spans="1:3" x14ac:dyDescent="0.25">
      <c r="A32" s="88">
        <v>21</v>
      </c>
      <c r="B32" s="89">
        <v>7.7</v>
      </c>
      <c r="C32" s="89">
        <v>2.8</v>
      </c>
    </row>
    <row r="33" spans="1:3" x14ac:dyDescent="0.25">
      <c r="A33" s="88">
        <v>22</v>
      </c>
      <c r="B33" s="89">
        <v>7.81</v>
      </c>
      <c r="C33" s="89">
        <v>2.85</v>
      </c>
    </row>
    <row r="34" spans="1:3" x14ac:dyDescent="0.25">
      <c r="A34" s="88">
        <v>23</v>
      </c>
      <c r="B34" s="89">
        <v>7.91</v>
      </c>
      <c r="C34" s="89">
        <v>2.89</v>
      </c>
    </row>
    <row r="35" spans="1:3" x14ac:dyDescent="0.25">
      <c r="A35" s="88">
        <v>24</v>
      </c>
      <c r="B35" s="89">
        <v>8.02</v>
      </c>
      <c r="C35" s="89">
        <v>2.94</v>
      </c>
    </row>
    <row r="36" spans="1:3" x14ac:dyDescent="0.25">
      <c r="A36" s="88">
        <v>25</v>
      </c>
      <c r="B36" s="89">
        <v>8.1199999999999992</v>
      </c>
      <c r="C36" s="89">
        <v>2.99</v>
      </c>
    </row>
    <row r="37" spans="1:3" x14ac:dyDescent="0.25">
      <c r="A37" s="88">
        <v>26</v>
      </c>
      <c r="B37" s="89">
        <v>8.23</v>
      </c>
      <c r="C37" s="89">
        <v>3.04</v>
      </c>
    </row>
    <row r="38" spans="1:3" x14ac:dyDescent="0.25">
      <c r="A38" s="88">
        <v>27</v>
      </c>
      <c r="B38" s="89">
        <v>8.35</v>
      </c>
      <c r="C38" s="89">
        <v>3.09</v>
      </c>
    </row>
    <row r="39" spans="1:3" x14ac:dyDescent="0.25">
      <c r="A39" s="88">
        <v>28</v>
      </c>
      <c r="B39" s="89">
        <v>8.4600000000000009</v>
      </c>
      <c r="C39" s="89">
        <v>3.13</v>
      </c>
    </row>
    <row r="40" spans="1:3" x14ac:dyDescent="0.25">
      <c r="A40" s="88">
        <v>29</v>
      </c>
      <c r="B40" s="89">
        <v>8.57</v>
      </c>
      <c r="C40" s="89">
        <v>3.18</v>
      </c>
    </row>
    <row r="41" spans="1:3" x14ac:dyDescent="0.25">
      <c r="A41" s="88">
        <v>30</v>
      </c>
      <c r="B41" s="89">
        <v>8.69</v>
      </c>
      <c r="C41" s="89">
        <v>3.23</v>
      </c>
    </row>
    <row r="42" spans="1:3" x14ac:dyDescent="0.25">
      <c r="A42" s="88">
        <v>31</v>
      </c>
      <c r="B42" s="89">
        <v>8.81</v>
      </c>
      <c r="C42" s="89">
        <v>3.28</v>
      </c>
    </row>
    <row r="43" spans="1:3" x14ac:dyDescent="0.25">
      <c r="A43" s="88">
        <v>32</v>
      </c>
      <c r="B43" s="89">
        <v>8.93</v>
      </c>
      <c r="C43" s="89">
        <v>3.33</v>
      </c>
    </row>
    <row r="44" spans="1:3" x14ac:dyDescent="0.25">
      <c r="A44" s="88">
        <v>33</v>
      </c>
      <c r="B44" s="89">
        <v>9.0500000000000007</v>
      </c>
      <c r="C44" s="89">
        <v>3.37</v>
      </c>
    </row>
    <row r="45" spans="1:3" x14ac:dyDescent="0.25">
      <c r="A45" s="88">
        <v>34</v>
      </c>
      <c r="B45" s="89">
        <v>9.17</v>
      </c>
      <c r="C45" s="89">
        <v>3.42</v>
      </c>
    </row>
    <row r="46" spans="1:3" x14ac:dyDescent="0.25">
      <c r="A46" s="88">
        <v>35</v>
      </c>
      <c r="B46" s="89">
        <v>9.3000000000000007</v>
      </c>
      <c r="C46" s="89">
        <v>3.47</v>
      </c>
    </row>
    <row r="47" spans="1:3" x14ac:dyDescent="0.25">
      <c r="A47" s="88">
        <v>36</v>
      </c>
      <c r="B47" s="89">
        <v>9.43</v>
      </c>
      <c r="C47" s="89">
        <v>3.51</v>
      </c>
    </row>
    <row r="48" spans="1:3" x14ac:dyDescent="0.25">
      <c r="A48" s="88">
        <v>37</v>
      </c>
      <c r="B48" s="89">
        <v>9.56</v>
      </c>
      <c r="C48" s="89">
        <v>3.56</v>
      </c>
    </row>
    <row r="49" spans="1:3" x14ac:dyDescent="0.25">
      <c r="A49" s="88">
        <v>38</v>
      </c>
      <c r="B49" s="89">
        <v>9.69</v>
      </c>
      <c r="C49" s="89">
        <v>3.6</v>
      </c>
    </row>
    <row r="50" spans="1:3" x14ac:dyDescent="0.25">
      <c r="A50" s="88">
        <v>39</v>
      </c>
      <c r="B50" s="89">
        <v>9.83</v>
      </c>
      <c r="C50" s="89">
        <v>3.65</v>
      </c>
    </row>
    <row r="51" spans="1:3" x14ac:dyDescent="0.25">
      <c r="A51" s="88">
        <v>40</v>
      </c>
      <c r="B51" s="89">
        <v>9.9600000000000009</v>
      </c>
      <c r="C51" s="89">
        <v>3.69</v>
      </c>
    </row>
    <row r="52" spans="1:3" x14ac:dyDescent="0.25">
      <c r="A52" s="88">
        <v>41</v>
      </c>
      <c r="B52" s="89">
        <v>10.1</v>
      </c>
      <c r="C52" s="89">
        <v>3.73</v>
      </c>
    </row>
    <row r="53" spans="1:3" x14ac:dyDescent="0.25">
      <c r="A53" s="88">
        <v>42</v>
      </c>
      <c r="B53" s="89">
        <v>10.25</v>
      </c>
      <c r="C53" s="89">
        <v>3.78</v>
      </c>
    </row>
    <row r="54" spans="1:3" x14ac:dyDescent="0.25">
      <c r="A54" s="88">
        <v>43</v>
      </c>
      <c r="B54" s="89">
        <v>10.39</v>
      </c>
      <c r="C54" s="89">
        <v>3.82</v>
      </c>
    </row>
    <row r="55" spans="1:3" x14ac:dyDescent="0.25">
      <c r="A55" s="88">
        <v>44</v>
      </c>
      <c r="B55" s="89">
        <v>10.54</v>
      </c>
      <c r="C55" s="89">
        <v>3.86</v>
      </c>
    </row>
    <row r="56" spans="1:3" x14ac:dyDescent="0.25">
      <c r="A56" s="88">
        <v>45</v>
      </c>
      <c r="B56" s="89">
        <v>10.7</v>
      </c>
      <c r="C56" s="89">
        <v>3.89</v>
      </c>
    </row>
    <row r="57" spans="1:3" x14ac:dyDescent="0.25">
      <c r="A57" s="88">
        <v>46</v>
      </c>
      <c r="B57" s="89">
        <v>10.85</v>
      </c>
      <c r="C57" s="89">
        <v>3.93</v>
      </c>
    </row>
    <row r="58" spans="1:3" x14ac:dyDescent="0.25">
      <c r="A58" s="88">
        <v>47</v>
      </c>
      <c r="B58" s="89">
        <v>11.01</v>
      </c>
      <c r="C58" s="89">
        <v>3.96</v>
      </c>
    </row>
    <row r="59" spans="1:3" x14ac:dyDescent="0.25">
      <c r="A59" s="88">
        <v>48</v>
      </c>
      <c r="B59" s="89">
        <v>11.18</v>
      </c>
      <c r="C59" s="89">
        <v>4</v>
      </c>
    </row>
    <row r="60" spans="1:3" x14ac:dyDescent="0.25">
      <c r="A60" s="88">
        <v>49</v>
      </c>
      <c r="B60" s="89">
        <v>11.34</v>
      </c>
      <c r="C60" s="89">
        <v>4.03</v>
      </c>
    </row>
    <row r="61" spans="1:3" x14ac:dyDescent="0.25">
      <c r="A61" s="88">
        <v>50</v>
      </c>
      <c r="B61" s="89">
        <v>11.52</v>
      </c>
      <c r="C61" s="89">
        <v>4.0599999999999996</v>
      </c>
    </row>
    <row r="62" spans="1:3" x14ac:dyDescent="0.25">
      <c r="A62" s="88">
        <v>51</v>
      </c>
      <c r="B62" s="89">
        <v>11.69</v>
      </c>
      <c r="C62" s="89">
        <v>4.09</v>
      </c>
    </row>
    <row r="63" spans="1:3" x14ac:dyDescent="0.25">
      <c r="A63" s="88">
        <v>52</v>
      </c>
      <c r="B63" s="89">
        <v>11.87</v>
      </c>
      <c r="C63" s="89">
        <v>4.1100000000000003</v>
      </c>
    </row>
    <row r="64" spans="1:3" x14ac:dyDescent="0.25">
      <c r="A64" s="88">
        <v>53</v>
      </c>
      <c r="B64" s="89">
        <v>12.06</v>
      </c>
      <c r="C64" s="89">
        <v>4.1399999999999997</v>
      </c>
    </row>
    <row r="65" spans="1:3" x14ac:dyDescent="0.25">
      <c r="A65" s="88">
        <v>54</v>
      </c>
      <c r="B65" s="89">
        <v>12.25</v>
      </c>
      <c r="C65" s="89">
        <v>4.16</v>
      </c>
    </row>
    <row r="66" spans="1:3" x14ac:dyDescent="0.25">
      <c r="A66" s="88">
        <v>55</v>
      </c>
      <c r="B66" s="89">
        <v>12.45</v>
      </c>
      <c r="C66" s="89">
        <v>4.1900000000000004</v>
      </c>
    </row>
    <row r="67" spans="1:3" x14ac:dyDescent="0.25">
      <c r="A67" s="88">
        <v>56</v>
      </c>
      <c r="B67" s="89">
        <v>12.65</v>
      </c>
      <c r="C67" s="89">
        <v>4.2</v>
      </c>
    </row>
    <row r="68" spans="1:3" x14ac:dyDescent="0.25">
      <c r="A68" s="88">
        <v>57</v>
      </c>
      <c r="B68" s="89">
        <v>12.86</v>
      </c>
      <c r="C68" s="89">
        <v>4.22</v>
      </c>
    </row>
    <row r="69" spans="1:3" x14ac:dyDescent="0.25">
      <c r="A69" s="88">
        <v>58</v>
      </c>
      <c r="B69" s="89">
        <v>13.08</v>
      </c>
      <c r="C69" s="89">
        <v>4.24</v>
      </c>
    </row>
    <row r="70" spans="1:3" x14ac:dyDescent="0.25">
      <c r="A70" s="88">
        <v>59</v>
      </c>
      <c r="B70" s="89">
        <v>13.3</v>
      </c>
      <c r="C70" s="89">
        <v>4.25</v>
      </c>
    </row>
    <row r="71" spans="1:3" x14ac:dyDescent="0.25">
      <c r="A71" s="88">
        <v>60</v>
      </c>
      <c r="B71" s="89">
        <v>13.54</v>
      </c>
      <c r="C71" s="89">
        <v>4.25</v>
      </c>
    </row>
    <row r="72" spans="1:3" x14ac:dyDescent="0.25">
      <c r="A72" s="88">
        <v>61</v>
      </c>
      <c r="B72" s="89">
        <v>13.78</v>
      </c>
      <c r="C72" s="89">
        <v>4.26</v>
      </c>
    </row>
    <row r="73" spans="1:3" x14ac:dyDescent="0.25">
      <c r="A73" s="88">
        <v>62</v>
      </c>
      <c r="B73" s="89">
        <v>14.04</v>
      </c>
      <c r="C73" s="89">
        <v>4.26</v>
      </c>
    </row>
    <row r="74" spans="1:3" x14ac:dyDescent="0.25">
      <c r="A74" s="88">
        <v>63</v>
      </c>
      <c r="B74" s="89">
        <v>14.31</v>
      </c>
      <c r="C74" s="89">
        <v>4.25</v>
      </c>
    </row>
    <row r="75" spans="1:3" x14ac:dyDescent="0.25">
      <c r="A75" s="88">
        <v>64</v>
      </c>
      <c r="B75" s="89">
        <v>14.6</v>
      </c>
      <c r="C75" s="89">
        <v>4.24</v>
      </c>
    </row>
    <row r="76" spans="1:3" x14ac:dyDescent="0.25">
      <c r="A76" s="88">
        <v>65</v>
      </c>
      <c r="B76" s="89">
        <v>14.9</v>
      </c>
      <c r="C76" s="89">
        <v>4.22</v>
      </c>
    </row>
    <row r="77" spans="1:3" x14ac:dyDescent="0.25">
      <c r="A77" s="88">
        <v>66</v>
      </c>
      <c r="B77" s="89">
        <v>15.23</v>
      </c>
      <c r="C77" s="89">
        <v>4.1900000000000004</v>
      </c>
    </row>
    <row r="78" spans="1:3" x14ac:dyDescent="0.25">
      <c r="A78" s="88">
        <v>67</v>
      </c>
      <c r="B78" s="89">
        <v>15.58</v>
      </c>
      <c r="C78" s="89">
        <v>4.16</v>
      </c>
    </row>
    <row r="79" spans="1:3" x14ac:dyDescent="0.25">
      <c r="A79" s="88">
        <v>68</v>
      </c>
      <c r="B79" s="89">
        <v>15.42</v>
      </c>
      <c r="C79" s="89">
        <v>4.1399999999999997</v>
      </c>
    </row>
    <row r="80" spans="1:3" x14ac:dyDescent="0.25">
      <c r="A80" s="88">
        <v>69</v>
      </c>
      <c r="B80" s="89">
        <v>14.75</v>
      </c>
      <c r="C80" s="89">
        <v>4.07</v>
      </c>
    </row>
    <row r="81" spans="1:3" x14ac:dyDescent="0.25">
      <c r="A81" s="88">
        <v>70</v>
      </c>
      <c r="B81" s="89">
        <v>14.09</v>
      </c>
      <c r="C81" s="89">
        <v>4</v>
      </c>
    </row>
    <row r="82" spans="1:3" x14ac:dyDescent="0.25">
      <c r="A82" s="88">
        <v>71</v>
      </c>
      <c r="B82" s="89">
        <v>13.43</v>
      </c>
      <c r="C82" s="89">
        <v>3.97</v>
      </c>
    </row>
    <row r="83" spans="1:3" x14ac:dyDescent="0.25">
      <c r="A83" s="88">
        <v>72</v>
      </c>
      <c r="B83" s="89">
        <v>12.8</v>
      </c>
      <c r="C83" s="89">
        <v>3.94</v>
      </c>
    </row>
    <row r="84" spans="1:3" x14ac:dyDescent="0.25">
      <c r="A84" s="88">
        <v>73</v>
      </c>
      <c r="B84" s="89">
        <v>12.17</v>
      </c>
      <c r="C84" s="89">
        <v>3.9</v>
      </c>
    </row>
    <row r="85" spans="1:3" x14ac:dyDescent="0.25">
      <c r="A85" s="88">
        <v>74</v>
      </c>
      <c r="B85" s="89">
        <v>11.56</v>
      </c>
      <c r="C85" s="89">
        <v>3.74</v>
      </c>
    </row>
  </sheetData>
  <sheetProtection algorithmName="SHA-512" hashValue="YKgoXAGzEsUqH+Do/2ylbjZaP6qJNpDdX5G/2uVMlJjna3xVef9wxRZKH2SMIRR0E3ne94IrzyzMIKbIhLQlRg==" saltValue="xH7/4qUi4jxWDB6KqcUnBQ==" spinCount="100000" sheet="1" objects="1" scenarios="1"/>
  <conditionalFormatting sqref="A6:A16 A18:A20">
    <cfRule type="expression" dxfId="1359" priority="23" stopIfTrue="1">
      <formula>MOD(ROW(),2)=0</formula>
    </cfRule>
    <cfRule type="expression" dxfId="1358" priority="24" stopIfTrue="1">
      <formula>MOD(ROW(),2)&lt;&gt;0</formula>
    </cfRule>
  </conditionalFormatting>
  <conditionalFormatting sqref="B6:C21">
    <cfRule type="expression" dxfId="1357" priority="25" stopIfTrue="1">
      <formula>MOD(ROW(),2)=0</formula>
    </cfRule>
    <cfRule type="expression" dxfId="1356" priority="26" stopIfTrue="1">
      <formula>MOD(ROW(),2)&lt;&gt;0</formula>
    </cfRule>
  </conditionalFormatting>
  <conditionalFormatting sqref="B17">
    <cfRule type="expression" dxfId="1355" priority="17" stopIfTrue="1">
      <formula>MOD(ROW(),2)=0</formula>
    </cfRule>
    <cfRule type="expression" dxfId="1354" priority="18" stopIfTrue="1">
      <formula>MOD(ROW(),2)&lt;&gt;0</formula>
    </cfRule>
  </conditionalFormatting>
  <conditionalFormatting sqref="A17">
    <cfRule type="expression" dxfId="1353" priority="15" stopIfTrue="1">
      <formula>MOD(ROW(),2)=0</formula>
    </cfRule>
    <cfRule type="expression" dxfId="1352" priority="16" stopIfTrue="1">
      <formula>MOD(ROW(),2)&lt;&gt;0</formula>
    </cfRule>
  </conditionalFormatting>
  <conditionalFormatting sqref="B18">
    <cfRule type="expression" dxfId="1351" priority="13" stopIfTrue="1">
      <formula>MOD(ROW(),2)=0</formula>
    </cfRule>
    <cfRule type="expression" dxfId="1350" priority="14" stopIfTrue="1">
      <formula>MOD(ROW(),2)&lt;&gt;0</formula>
    </cfRule>
  </conditionalFormatting>
  <conditionalFormatting sqref="B19">
    <cfRule type="expression" dxfId="1349" priority="9" stopIfTrue="1">
      <formula>MOD(ROW(),2)=0</formula>
    </cfRule>
    <cfRule type="expression" dxfId="1348" priority="10" stopIfTrue="1">
      <formula>MOD(ROW(),2)&lt;&gt;0</formula>
    </cfRule>
  </conditionalFormatting>
  <conditionalFormatting sqref="A26:A85">
    <cfRule type="expression" dxfId="1347" priority="5" stopIfTrue="1">
      <formula>MOD(ROW(),2)=0</formula>
    </cfRule>
    <cfRule type="expression" dxfId="1346" priority="6" stopIfTrue="1">
      <formula>MOD(ROW(),2)&lt;&gt;0</formula>
    </cfRule>
  </conditionalFormatting>
  <conditionalFormatting sqref="B26:C85">
    <cfRule type="expression" dxfId="1345" priority="7" stopIfTrue="1">
      <formula>MOD(ROW(),2)=0</formula>
    </cfRule>
    <cfRule type="expression" dxfId="1344" priority="8" stopIfTrue="1">
      <formula>MOD(ROW(),2)&lt;&gt;0</formula>
    </cfRule>
  </conditionalFormatting>
  <conditionalFormatting sqref="A21">
    <cfRule type="expression" dxfId="1343" priority="1" stopIfTrue="1">
      <formula>MOD(ROW(),2)=0</formula>
    </cfRule>
    <cfRule type="expression" dxfId="1342" priority="2" stopIfTrue="1">
      <formula>MOD(ROW(),2)&lt;&gt;0</formula>
    </cfRule>
  </conditionalFormatting>
  <hyperlinks>
    <hyperlink ref="B24" location="Assumptions!A1" display="Assumptions" xr:uid="{D3ACF5E9-A97A-4E56-A788-E56D3EC549E6}"/>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60"/>
  <dimension ref="A1:G63"/>
  <sheetViews>
    <sheetView showGridLines="0" zoomScale="85" zoomScaleNormal="85" workbookViewId="0">
      <selection activeCell="B18" sqref="B18"/>
    </sheetView>
  </sheetViews>
  <sheetFormatPr defaultColWidth="10" defaultRowHeight="12.5" x14ac:dyDescent="0.25"/>
  <cols>
    <col min="1" max="1" width="31.81640625" style="28" customWidth="1"/>
    <col min="2" max="3" width="22.81640625" style="28" customWidth="1"/>
    <col min="4" max="16384" width="10" style="28"/>
  </cols>
  <sheetData>
    <row r="1" spans="1:7" ht="20" x14ac:dyDescent="0.4">
      <c r="A1" s="40" t="s">
        <v>227</v>
      </c>
      <c r="B1" s="41"/>
      <c r="C1" s="41"/>
      <c r="D1" s="41"/>
      <c r="E1" s="41"/>
      <c r="F1" s="41"/>
      <c r="G1" s="41"/>
    </row>
    <row r="2" spans="1:7" ht="15.5" x14ac:dyDescent="0.35">
      <c r="A2" s="42" t="str">
        <f>IF(title="&gt; Enter workbook title here","Enter workbook title in Cover sheet",title)</f>
        <v>Fire Northern Ireland - Consolidated Factor Spreadsheet</v>
      </c>
      <c r="B2" s="43"/>
      <c r="C2" s="43"/>
      <c r="D2" s="43"/>
      <c r="E2" s="43"/>
      <c r="F2" s="43"/>
      <c r="G2" s="43"/>
    </row>
    <row r="3" spans="1:7" ht="15.5" x14ac:dyDescent="0.35">
      <c r="A3" s="44" t="str">
        <f>TABLE_FACTOR_TYPE_1&amp;" - x-"&amp;TABLE_SERIES_NUMBER_1</f>
        <v>TV In (non-club) - x-220</v>
      </c>
      <c r="B3" s="43"/>
      <c r="C3" s="43"/>
      <c r="D3" s="43"/>
      <c r="E3" s="43"/>
      <c r="F3" s="43"/>
      <c r="G3" s="43"/>
    </row>
    <row r="4" spans="1:7" x14ac:dyDescent="0.25">
      <c r="A4" s="45"/>
    </row>
    <row r="6" spans="1:7" ht="13" x14ac:dyDescent="0.3">
      <c r="A6" s="75" t="s">
        <v>562</v>
      </c>
      <c r="B6" s="159" t="s">
        <v>563</v>
      </c>
      <c r="C6" s="159"/>
    </row>
    <row r="7" spans="1:7" x14ac:dyDescent="0.25">
      <c r="A7" s="77" t="s">
        <v>305</v>
      </c>
      <c r="B7" s="159" t="s">
        <v>319</v>
      </c>
      <c r="C7" s="159"/>
    </row>
    <row r="8" spans="1:7" x14ac:dyDescent="0.25">
      <c r="A8" s="77" t="s">
        <v>306</v>
      </c>
      <c r="B8" s="159">
        <v>2015</v>
      </c>
      <c r="C8" s="159"/>
    </row>
    <row r="9" spans="1:7" x14ac:dyDescent="0.25">
      <c r="A9" s="77" t="s">
        <v>307</v>
      </c>
      <c r="B9" s="159" t="s">
        <v>362</v>
      </c>
      <c r="C9" s="159"/>
    </row>
    <row r="10" spans="1:7" x14ac:dyDescent="0.25">
      <c r="A10" s="77" t="s">
        <v>233</v>
      </c>
      <c r="B10" s="159" t="s">
        <v>363</v>
      </c>
      <c r="C10" s="159"/>
    </row>
    <row r="11" spans="1:7" x14ac:dyDescent="0.25">
      <c r="A11" s="77" t="s">
        <v>308</v>
      </c>
      <c r="B11" s="159" t="s">
        <v>323</v>
      </c>
      <c r="C11" s="159"/>
    </row>
    <row r="12" spans="1:7" x14ac:dyDescent="0.25">
      <c r="A12" s="77" t="s">
        <v>309</v>
      </c>
      <c r="B12" s="159" t="s">
        <v>324</v>
      </c>
      <c r="C12" s="159"/>
    </row>
    <row r="13" spans="1:7" x14ac:dyDescent="0.25">
      <c r="A13" s="77" t="s">
        <v>570</v>
      </c>
      <c r="B13" s="159">
        <v>0</v>
      </c>
      <c r="C13" s="159"/>
    </row>
    <row r="14" spans="1:7" x14ac:dyDescent="0.25">
      <c r="A14" s="77" t="s">
        <v>311</v>
      </c>
      <c r="B14" s="159">
        <v>220</v>
      </c>
      <c r="C14" s="159"/>
    </row>
    <row r="15" spans="1:7" x14ac:dyDescent="0.25">
      <c r="A15" s="77" t="s">
        <v>573</v>
      </c>
      <c r="B15" s="159" t="s">
        <v>364</v>
      </c>
      <c r="C15" s="159"/>
    </row>
    <row r="16" spans="1:7" x14ac:dyDescent="0.25">
      <c r="A16" s="77" t="s">
        <v>313</v>
      </c>
      <c r="B16" s="159" t="s">
        <v>365</v>
      </c>
      <c r="C16" s="159"/>
    </row>
    <row r="17" spans="1:3" ht="39.65" customHeight="1" x14ac:dyDescent="0.25">
      <c r="A17" s="160" t="s">
        <v>642</v>
      </c>
      <c r="B17" s="159"/>
      <c r="C17" s="159"/>
    </row>
    <row r="18" spans="1:3" x14ac:dyDescent="0.25">
      <c r="A18" s="77" t="s">
        <v>315</v>
      </c>
      <c r="B18" s="161">
        <v>45106</v>
      </c>
      <c r="C18" s="159"/>
    </row>
    <row r="19" spans="1:3" x14ac:dyDescent="0.25">
      <c r="A19" s="77" t="s">
        <v>316</v>
      </c>
      <c r="B19" s="161">
        <v>45014</v>
      </c>
      <c r="C19" s="159"/>
    </row>
    <row r="20" spans="1:3" x14ac:dyDescent="0.25">
      <c r="A20" s="77" t="s">
        <v>317</v>
      </c>
      <c r="B20" s="159" t="s">
        <v>327</v>
      </c>
      <c r="C20" s="159"/>
    </row>
    <row r="21" spans="1:3" x14ac:dyDescent="0.25">
      <c r="A21" s="77" t="s">
        <v>318</v>
      </c>
      <c r="B21" s="159" t="s">
        <v>328</v>
      </c>
      <c r="C21" s="159"/>
    </row>
    <row r="23" spans="1:3" x14ac:dyDescent="0.25">
      <c r="B23" s="91" t="str">
        <f>HYPERLINK("#'Factor List'!A1","Back to Factor List")</f>
        <v>Back to Factor List</v>
      </c>
    </row>
    <row r="24" spans="1:3" x14ac:dyDescent="0.25">
      <c r="B24" s="91" t="s">
        <v>240</v>
      </c>
    </row>
    <row r="25" spans="1:3" x14ac:dyDescent="0.25">
      <c r="B25" s="91"/>
    </row>
    <row r="26" spans="1:3" ht="26" x14ac:dyDescent="0.25">
      <c r="A26" s="87" t="s">
        <v>643</v>
      </c>
      <c r="B26" s="87" t="s">
        <v>652</v>
      </c>
      <c r="C26" s="87" t="s">
        <v>651</v>
      </c>
    </row>
    <row r="27" spans="1:3" x14ac:dyDescent="0.25">
      <c r="A27" s="88">
        <v>18</v>
      </c>
      <c r="B27" s="89">
        <v>26.49</v>
      </c>
      <c r="C27" s="89">
        <v>3.84</v>
      </c>
    </row>
    <row r="28" spans="1:3" x14ac:dyDescent="0.25">
      <c r="A28" s="88">
        <v>19</v>
      </c>
      <c r="B28" s="89">
        <v>26.42</v>
      </c>
      <c r="C28" s="89">
        <v>4.04</v>
      </c>
    </row>
    <row r="29" spans="1:3" x14ac:dyDescent="0.25">
      <c r="A29" s="88">
        <v>20</v>
      </c>
      <c r="B29" s="89">
        <v>26.36</v>
      </c>
      <c r="C29" s="89">
        <v>4.05</v>
      </c>
    </row>
    <row r="30" spans="1:3" x14ac:dyDescent="0.25">
      <c r="A30" s="88">
        <v>21</v>
      </c>
      <c r="B30" s="89">
        <v>26.29</v>
      </c>
      <c r="C30" s="89">
        <v>4.05</v>
      </c>
    </row>
    <row r="31" spans="1:3" x14ac:dyDescent="0.25">
      <c r="A31" s="88">
        <v>22</v>
      </c>
      <c r="B31" s="89">
        <v>26.22</v>
      </c>
      <c r="C31" s="89">
        <v>4.05</v>
      </c>
    </row>
    <row r="32" spans="1:3" x14ac:dyDescent="0.25">
      <c r="A32" s="88">
        <v>23</v>
      </c>
      <c r="B32" s="89">
        <v>26.15</v>
      </c>
      <c r="C32" s="89">
        <v>4.05</v>
      </c>
    </row>
    <row r="33" spans="1:3" x14ac:dyDescent="0.25">
      <c r="A33" s="88">
        <v>24</v>
      </c>
      <c r="B33" s="89">
        <v>26.08</v>
      </c>
      <c r="C33" s="89">
        <v>4.05</v>
      </c>
    </row>
    <row r="34" spans="1:3" x14ac:dyDescent="0.25">
      <c r="A34" s="88">
        <v>25</v>
      </c>
      <c r="B34" s="89">
        <v>26.01</v>
      </c>
      <c r="C34" s="89">
        <v>4.05</v>
      </c>
    </row>
    <row r="35" spans="1:3" x14ac:dyDescent="0.25">
      <c r="A35" s="88">
        <v>26</v>
      </c>
      <c r="B35" s="89">
        <v>25.94</v>
      </c>
      <c r="C35" s="89">
        <v>4.0599999999999996</v>
      </c>
    </row>
    <row r="36" spans="1:3" x14ac:dyDescent="0.25">
      <c r="A36" s="88">
        <v>27</v>
      </c>
      <c r="B36" s="89">
        <v>25.87</v>
      </c>
      <c r="C36" s="89">
        <v>4.0599999999999996</v>
      </c>
    </row>
    <row r="37" spans="1:3" x14ac:dyDescent="0.25">
      <c r="A37" s="88">
        <v>28</v>
      </c>
      <c r="B37" s="89">
        <v>25.8</v>
      </c>
      <c r="C37" s="89">
        <v>4.0599999999999996</v>
      </c>
    </row>
    <row r="38" spans="1:3" x14ac:dyDescent="0.25">
      <c r="A38" s="88">
        <v>29</v>
      </c>
      <c r="B38" s="89">
        <v>25.73</v>
      </c>
      <c r="C38" s="89">
        <v>4.0599999999999996</v>
      </c>
    </row>
    <row r="39" spans="1:3" x14ac:dyDescent="0.25">
      <c r="A39" s="88">
        <v>30</v>
      </c>
      <c r="B39" s="89">
        <v>25.65</v>
      </c>
      <c r="C39" s="89">
        <v>4.0599999999999996</v>
      </c>
    </row>
    <row r="40" spans="1:3" x14ac:dyDescent="0.25">
      <c r="A40" s="88">
        <v>31</v>
      </c>
      <c r="B40" s="89">
        <v>25.58</v>
      </c>
      <c r="C40" s="89">
        <v>4.0599999999999996</v>
      </c>
    </row>
    <row r="41" spans="1:3" x14ac:dyDescent="0.25">
      <c r="A41" s="88">
        <v>32</v>
      </c>
      <c r="B41" s="89">
        <v>25.51</v>
      </c>
      <c r="C41" s="89">
        <v>4.0599999999999996</v>
      </c>
    </row>
    <row r="42" spans="1:3" x14ac:dyDescent="0.25">
      <c r="A42" s="88">
        <v>33</v>
      </c>
      <c r="B42" s="89">
        <v>25.43</v>
      </c>
      <c r="C42" s="89">
        <v>4.0599999999999996</v>
      </c>
    </row>
    <row r="43" spans="1:3" x14ac:dyDescent="0.25">
      <c r="A43" s="88">
        <v>34</v>
      </c>
      <c r="B43" s="89">
        <v>25.35</v>
      </c>
      <c r="C43" s="89">
        <v>4.0599999999999996</v>
      </c>
    </row>
    <row r="44" spans="1:3" x14ac:dyDescent="0.25">
      <c r="A44" s="88">
        <v>35</v>
      </c>
      <c r="B44" s="89">
        <v>25.28</v>
      </c>
      <c r="C44" s="89">
        <v>4.0599999999999996</v>
      </c>
    </row>
    <row r="45" spans="1:3" x14ac:dyDescent="0.25">
      <c r="A45" s="88">
        <v>36</v>
      </c>
      <c r="B45" s="89">
        <v>25.2</v>
      </c>
      <c r="C45" s="89">
        <v>4.0599999999999996</v>
      </c>
    </row>
    <row r="46" spans="1:3" x14ac:dyDescent="0.25">
      <c r="A46" s="88">
        <v>37</v>
      </c>
      <c r="B46" s="89">
        <v>25.12</v>
      </c>
      <c r="C46" s="89">
        <v>4.0599999999999996</v>
      </c>
    </row>
    <row r="47" spans="1:3" x14ac:dyDescent="0.25">
      <c r="A47" s="88">
        <v>38</v>
      </c>
      <c r="B47" s="89">
        <v>25.03</v>
      </c>
      <c r="C47" s="89">
        <v>4.0599999999999996</v>
      </c>
    </row>
    <row r="48" spans="1:3" x14ac:dyDescent="0.25">
      <c r="A48" s="88">
        <v>39</v>
      </c>
      <c r="B48" s="89">
        <v>24.95</v>
      </c>
      <c r="C48" s="89">
        <v>4.0599999999999996</v>
      </c>
    </row>
    <row r="49" spans="1:3" x14ac:dyDescent="0.25">
      <c r="A49" s="88">
        <v>40</v>
      </c>
      <c r="B49" s="89">
        <v>24.87</v>
      </c>
      <c r="C49" s="89">
        <v>4.0599999999999996</v>
      </c>
    </row>
    <row r="50" spans="1:3" x14ac:dyDescent="0.25">
      <c r="A50" s="88">
        <v>41</v>
      </c>
      <c r="B50" s="89">
        <v>24.78</v>
      </c>
      <c r="C50" s="89">
        <v>4.05</v>
      </c>
    </row>
    <row r="51" spans="1:3" x14ac:dyDescent="0.25">
      <c r="A51" s="88">
        <v>42</v>
      </c>
      <c r="B51" s="89">
        <v>24.69</v>
      </c>
      <c r="C51" s="89">
        <v>4.05</v>
      </c>
    </row>
    <row r="52" spans="1:3" x14ac:dyDescent="0.25">
      <c r="A52" s="88">
        <v>43</v>
      </c>
      <c r="B52" s="89">
        <v>24.6</v>
      </c>
      <c r="C52" s="89">
        <v>4.05</v>
      </c>
    </row>
    <row r="53" spans="1:3" x14ac:dyDescent="0.25">
      <c r="A53" s="88">
        <v>44</v>
      </c>
      <c r="B53" s="89">
        <v>24.51</v>
      </c>
      <c r="C53" s="89">
        <v>4.05</v>
      </c>
    </row>
    <row r="54" spans="1:3" x14ac:dyDescent="0.25">
      <c r="A54" s="88">
        <v>45</v>
      </c>
      <c r="B54" s="89">
        <v>24.42</v>
      </c>
      <c r="C54" s="89">
        <v>4.04</v>
      </c>
    </row>
    <row r="55" spans="1:3" x14ac:dyDescent="0.25">
      <c r="A55" s="88">
        <v>46</v>
      </c>
      <c r="B55" s="89">
        <v>24.33</v>
      </c>
      <c r="C55" s="89">
        <v>4.04</v>
      </c>
    </row>
    <row r="56" spans="1:3" x14ac:dyDescent="0.25">
      <c r="A56" s="88">
        <v>47</v>
      </c>
      <c r="B56" s="89">
        <v>24.24</v>
      </c>
      <c r="C56" s="89">
        <v>4.03</v>
      </c>
    </row>
    <row r="57" spans="1:3" x14ac:dyDescent="0.25">
      <c r="A57" s="88">
        <v>48</v>
      </c>
      <c r="B57" s="89">
        <v>24.15</v>
      </c>
      <c r="C57" s="89">
        <v>4.03</v>
      </c>
    </row>
    <row r="58" spans="1:3" x14ac:dyDescent="0.25">
      <c r="A58" s="88">
        <v>49</v>
      </c>
      <c r="B58" s="89">
        <v>24.06</v>
      </c>
      <c r="C58" s="89">
        <v>4.0199999999999996</v>
      </c>
    </row>
    <row r="59" spans="1:3" x14ac:dyDescent="0.25">
      <c r="A59" s="88">
        <v>50</v>
      </c>
      <c r="B59" s="89">
        <v>23.97</v>
      </c>
      <c r="C59" s="89">
        <v>4.01</v>
      </c>
    </row>
    <row r="60" spans="1:3" x14ac:dyDescent="0.25">
      <c r="A60" s="88">
        <v>51</v>
      </c>
      <c r="B60" s="89">
        <v>23.89</v>
      </c>
      <c r="C60" s="89">
        <v>4</v>
      </c>
    </row>
    <row r="61" spans="1:3" x14ac:dyDescent="0.25">
      <c r="A61" s="88">
        <v>52</v>
      </c>
      <c r="B61" s="89">
        <v>23.81</v>
      </c>
      <c r="C61" s="89">
        <v>3.99</v>
      </c>
    </row>
    <row r="62" spans="1:3" x14ac:dyDescent="0.25">
      <c r="A62" s="88">
        <v>53</v>
      </c>
      <c r="B62" s="89">
        <v>23.74</v>
      </c>
      <c r="C62" s="89">
        <v>3.98</v>
      </c>
    </row>
    <row r="63" spans="1:3" x14ac:dyDescent="0.25">
      <c r="A63" s="88">
        <v>54</v>
      </c>
      <c r="B63" s="89">
        <v>23.68</v>
      </c>
      <c r="C63" s="89">
        <v>3.96</v>
      </c>
    </row>
  </sheetData>
  <sheetProtection algorithmName="SHA-512" hashValue="3Ul/pkZKITmWIo74XMs5dY3JmPpfhf89poTtWxPMMrzpVATR1ndRpMui9fXm0rsOjYCZhiOoPG9FZAmJYXzyqQ==" saltValue="25EB2ieudAwwCdW4KTYvIg==" spinCount="100000" sheet="1" objects="1" scenarios="1"/>
  <conditionalFormatting sqref="A6:A16 A18:A20">
    <cfRule type="expression" dxfId="1341" priority="21" stopIfTrue="1">
      <formula>MOD(ROW(),2)=0</formula>
    </cfRule>
    <cfRule type="expression" dxfId="1340" priority="22" stopIfTrue="1">
      <formula>MOD(ROW(),2)&lt;&gt;0</formula>
    </cfRule>
  </conditionalFormatting>
  <conditionalFormatting sqref="B6:C21">
    <cfRule type="expression" dxfId="1339" priority="23" stopIfTrue="1">
      <formula>MOD(ROW(),2)=0</formula>
    </cfRule>
    <cfRule type="expression" dxfId="1338" priority="24" stopIfTrue="1">
      <formula>MOD(ROW(),2)&lt;&gt;0</formula>
    </cfRule>
  </conditionalFormatting>
  <conditionalFormatting sqref="A17">
    <cfRule type="expression" dxfId="1337" priority="15" stopIfTrue="1">
      <formula>MOD(ROW(),2)=0</formula>
    </cfRule>
    <cfRule type="expression" dxfId="1336" priority="16" stopIfTrue="1">
      <formula>MOD(ROW(),2)&lt;&gt;0</formula>
    </cfRule>
  </conditionalFormatting>
  <conditionalFormatting sqref="B19">
    <cfRule type="expression" dxfId="1335" priority="11" stopIfTrue="1">
      <formula>MOD(ROW(),2)=0</formula>
    </cfRule>
    <cfRule type="expression" dxfId="1334" priority="12" stopIfTrue="1">
      <formula>MOD(ROW(),2)&lt;&gt;0</formula>
    </cfRule>
  </conditionalFormatting>
  <conditionalFormatting sqref="A26:A63">
    <cfRule type="expression" dxfId="1333" priority="7" stopIfTrue="1">
      <formula>MOD(ROW(),2)=0</formula>
    </cfRule>
    <cfRule type="expression" dxfId="1332" priority="8" stopIfTrue="1">
      <formula>MOD(ROW(),2)&lt;&gt;0</formula>
    </cfRule>
  </conditionalFormatting>
  <conditionalFormatting sqref="B26:C63">
    <cfRule type="expression" dxfId="1331" priority="9" stopIfTrue="1">
      <formula>MOD(ROW(),2)=0</formula>
    </cfRule>
    <cfRule type="expression" dxfId="1330" priority="10" stopIfTrue="1">
      <formula>MOD(ROW(),2)&lt;&gt;0</formula>
    </cfRule>
  </conditionalFormatting>
  <conditionalFormatting sqref="C17">
    <cfRule type="expression" dxfId="1329" priority="5" stopIfTrue="1">
      <formula>MOD(ROW(),2)=0</formula>
    </cfRule>
    <cfRule type="expression" dxfId="1328" priority="6" stopIfTrue="1">
      <formula>MOD(ROW(),2)&lt;&gt;0</formula>
    </cfRule>
  </conditionalFormatting>
  <conditionalFormatting sqref="A21">
    <cfRule type="expression" dxfId="1327" priority="1" stopIfTrue="1">
      <formula>MOD(ROW(),2)=0</formula>
    </cfRule>
    <cfRule type="expression" dxfId="1326" priority="2" stopIfTrue="1">
      <formula>MOD(ROW(),2)&lt;&gt;0</formula>
    </cfRule>
  </conditionalFormatting>
  <hyperlinks>
    <hyperlink ref="B24" location="Assumptions!A1" display="Assumptions" xr:uid="{A9C32F19-B20B-4A01-8A01-5A1C1D2D1557}"/>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61"/>
  <dimension ref="A1:G63"/>
  <sheetViews>
    <sheetView showGridLines="0" zoomScale="85" zoomScaleNormal="85" workbookViewId="0">
      <selection activeCell="B18" sqref="B18"/>
    </sheetView>
  </sheetViews>
  <sheetFormatPr defaultColWidth="10" defaultRowHeight="12.5" x14ac:dyDescent="0.25"/>
  <cols>
    <col min="1" max="1" width="31.81640625" style="28" customWidth="1"/>
    <col min="2" max="3" width="22.81640625" style="28" customWidth="1"/>
    <col min="4" max="16384" width="10" style="28"/>
  </cols>
  <sheetData>
    <row r="1" spans="1:7" ht="20" x14ac:dyDescent="0.4">
      <c r="A1" s="40" t="s">
        <v>227</v>
      </c>
      <c r="B1" s="41"/>
      <c r="C1" s="41"/>
      <c r="D1" s="41"/>
      <c r="E1" s="41"/>
      <c r="F1" s="41"/>
      <c r="G1" s="41"/>
    </row>
    <row r="2" spans="1:7" ht="15.5" x14ac:dyDescent="0.35">
      <c r="A2" s="42" t="str">
        <f>IF(title="&gt; Enter workbook title here","Enter workbook title in Cover sheet",title)</f>
        <v>Fire Northern Ireland - Consolidated Factor Spreadsheet</v>
      </c>
      <c r="B2" s="43"/>
      <c r="C2" s="43"/>
      <c r="D2" s="43"/>
      <c r="E2" s="43"/>
      <c r="F2" s="43"/>
      <c r="G2" s="43"/>
    </row>
    <row r="3" spans="1:7" ht="15.5" x14ac:dyDescent="0.35">
      <c r="A3" s="44" t="str">
        <f>TABLE_FACTOR_TYPE_1&amp;" - x-"&amp;TABLE_SERIES_NUMBER_1</f>
        <v>TV In (non-club) - x-221</v>
      </c>
      <c r="B3" s="43"/>
      <c r="C3" s="43"/>
      <c r="D3" s="43"/>
      <c r="E3" s="43"/>
      <c r="F3" s="43"/>
      <c r="G3" s="43"/>
    </row>
    <row r="4" spans="1:7" x14ac:dyDescent="0.25">
      <c r="A4" s="45"/>
    </row>
    <row r="6" spans="1:7" ht="13" x14ac:dyDescent="0.3">
      <c r="A6" s="75" t="s">
        <v>562</v>
      </c>
      <c r="B6" s="159" t="s">
        <v>563</v>
      </c>
      <c r="C6" s="159"/>
    </row>
    <row r="7" spans="1:7" x14ac:dyDescent="0.25">
      <c r="A7" s="77" t="s">
        <v>305</v>
      </c>
      <c r="B7" s="159" t="s">
        <v>319</v>
      </c>
      <c r="C7" s="159"/>
    </row>
    <row r="8" spans="1:7" x14ac:dyDescent="0.25">
      <c r="A8" s="77" t="s">
        <v>306</v>
      </c>
      <c r="B8" s="159">
        <v>2015</v>
      </c>
      <c r="C8" s="159"/>
    </row>
    <row r="9" spans="1:7" x14ac:dyDescent="0.25">
      <c r="A9" s="77" t="s">
        <v>307</v>
      </c>
      <c r="B9" s="159" t="s">
        <v>362</v>
      </c>
      <c r="C9" s="159"/>
    </row>
    <row r="10" spans="1:7" x14ac:dyDescent="0.25">
      <c r="A10" s="77" t="s">
        <v>233</v>
      </c>
      <c r="B10" s="159" t="s">
        <v>363</v>
      </c>
      <c r="C10" s="159"/>
    </row>
    <row r="11" spans="1:7" x14ac:dyDescent="0.25">
      <c r="A11" s="77" t="s">
        <v>308</v>
      </c>
      <c r="B11" s="159" t="s">
        <v>329</v>
      </c>
      <c r="C11" s="159"/>
    </row>
    <row r="12" spans="1:7" x14ac:dyDescent="0.25">
      <c r="A12" s="77" t="s">
        <v>309</v>
      </c>
      <c r="B12" s="159" t="s">
        <v>324</v>
      </c>
      <c r="C12" s="159"/>
    </row>
    <row r="13" spans="1:7" x14ac:dyDescent="0.25">
      <c r="A13" s="77" t="s">
        <v>570</v>
      </c>
      <c r="B13" s="159">
        <v>0</v>
      </c>
      <c r="C13" s="159"/>
    </row>
    <row r="14" spans="1:7" x14ac:dyDescent="0.25">
      <c r="A14" s="77" t="s">
        <v>311</v>
      </c>
      <c r="B14" s="159">
        <v>221</v>
      </c>
      <c r="C14" s="159"/>
    </row>
    <row r="15" spans="1:7" x14ac:dyDescent="0.25">
      <c r="A15" s="77" t="s">
        <v>573</v>
      </c>
      <c r="B15" s="159" t="s">
        <v>366</v>
      </c>
      <c r="C15" s="159"/>
    </row>
    <row r="16" spans="1:7" x14ac:dyDescent="0.25">
      <c r="A16" s="77" t="s">
        <v>313</v>
      </c>
      <c r="B16" s="159" t="s">
        <v>367</v>
      </c>
      <c r="C16" s="159"/>
    </row>
    <row r="17" spans="1:3" ht="43.5" customHeight="1" x14ac:dyDescent="0.25">
      <c r="A17" s="160" t="s">
        <v>642</v>
      </c>
      <c r="B17" s="159"/>
      <c r="C17" s="159"/>
    </row>
    <row r="18" spans="1:3" x14ac:dyDescent="0.25">
      <c r="A18" s="77" t="s">
        <v>315</v>
      </c>
      <c r="B18" s="161">
        <v>45106</v>
      </c>
      <c r="C18" s="159"/>
    </row>
    <row r="19" spans="1:3" x14ac:dyDescent="0.25">
      <c r="A19" s="77" t="s">
        <v>316</v>
      </c>
      <c r="B19" s="161">
        <v>45014</v>
      </c>
      <c r="C19" s="159"/>
    </row>
    <row r="20" spans="1:3" x14ac:dyDescent="0.25">
      <c r="A20" s="77" t="s">
        <v>317</v>
      </c>
      <c r="B20" s="159" t="s">
        <v>327</v>
      </c>
      <c r="C20" s="159"/>
    </row>
    <row r="21" spans="1:3" x14ac:dyDescent="0.25">
      <c r="A21" s="77" t="s">
        <v>318</v>
      </c>
      <c r="B21" s="159" t="s">
        <v>328</v>
      </c>
      <c r="C21" s="159"/>
    </row>
    <row r="23" spans="1:3" x14ac:dyDescent="0.25">
      <c r="B23" s="91" t="str">
        <f>HYPERLINK("#'Factor List'!A1","Back to Factor List")</f>
        <v>Back to Factor List</v>
      </c>
    </row>
    <row r="24" spans="1:3" x14ac:dyDescent="0.25">
      <c r="B24" s="91" t="s">
        <v>240</v>
      </c>
    </row>
    <row r="25" spans="1:3" x14ac:dyDescent="0.25">
      <c r="B25" s="91"/>
    </row>
    <row r="26" spans="1:3" ht="26" x14ac:dyDescent="0.25">
      <c r="A26" s="87" t="s">
        <v>643</v>
      </c>
      <c r="B26" s="87" t="s">
        <v>652</v>
      </c>
      <c r="C26" s="87" t="s">
        <v>651</v>
      </c>
    </row>
    <row r="27" spans="1:3" x14ac:dyDescent="0.25">
      <c r="A27" s="88">
        <v>18</v>
      </c>
      <c r="B27" s="89">
        <v>26.49</v>
      </c>
      <c r="C27" s="89">
        <v>3.75</v>
      </c>
    </row>
    <row r="28" spans="1:3" x14ac:dyDescent="0.25">
      <c r="A28" s="88">
        <v>19</v>
      </c>
      <c r="B28" s="89">
        <v>26.42</v>
      </c>
      <c r="C28" s="89">
        <v>3.95</v>
      </c>
    </row>
    <row r="29" spans="1:3" x14ac:dyDescent="0.25">
      <c r="A29" s="88">
        <v>20</v>
      </c>
      <c r="B29" s="89">
        <v>26.36</v>
      </c>
      <c r="C29" s="89">
        <v>3.96</v>
      </c>
    </row>
    <row r="30" spans="1:3" x14ac:dyDescent="0.25">
      <c r="A30" s="88">
        <v>21</v>
      </c>
      <c r="B30" s="89">
        <v>26.29</v>
      </c>
      <c r="C30" s="89">
        <v>3.96</v>
      </c>
    </row>
    <row r="31" spans="1:3" x14ac:dyDescent="0.25">
      <c r="A31" s="88">
        <v>22</v>
      </c>
      <c r="B31" s="89">
        <v>26.22</v>
      </c>
      <c r="C31" s="89">
        <v>3.96</v>
      </c>
    </row>
    <row r="32" spans="1:3" x14ac:dyDescent="0.25">
      <c r="A32" s="88">
        <v>23</v>
      </c>
      <c r="B32" s="89">
        <v>26.15</v>
      </c>
      <c r="C32" s="89">
        <v>3.96</v>
      </c>
    </row>
    <row r="33" spans="1:3" x14ac:dyDescent="0.25">
      <c r="A33" s="88">
        <v>24</v>
      </c>
      <c r="B33" s="89">
        <v>26.08</v>
      </c>
      <c r="C33" s="89">
        <v>3.96</v>
      </c>
    </row>
    <row r="34" spans="1:3" x14ac:dyDescent="0.25">
      <c r="A34" s="88">
        <v>25</v>
      </c>
      <c r="B34" s="89">
        <v>26.01</v>
      </c>
      <c r="C34" s="89">
        <v>3.97</v>
      </c>
    </row>
    <row r="35" spans="1:3" x14ac:dyDescent="0.25">
      <c r="A35" s="88">
        <v>26</v>
      </c>
      <c r="B35" s="89">
        <v>25.94</v>
      </c>
      <c r="C35" s="89">
        <v>3.97</v>
      </c>
    </row>
    <row r="36" spans="1:3" x14ac:dyDescent="0.25">
      <c r="A36" s="88">
        <v>27</v>
      </c>
      <c r="B36" s="89">
        <v>25.87</v>
      </c>
      <c r="C36" s="89">
        <v>3.97</v>
      </c>
    </row>
    <row r="37" spans="1:3" x14ac:dyDescent="0.25">
      <c r="A37" s="88">
        <v>28</v>
      </c>
      <c r="B37" s="89">
        <v>25.8</v>
      </c>
      <c r="C37" s="89">
        <v>3.97</v>
      </c>
    </row>
    <row r="38" spans="1:3" x14ac:dyDescent="0.25">
      <c r="A38" s="88">
        <v>29</v>
      </c>
      <c r="B38" s="89">
        <v>25.73</v>
      </c>
      <c r="C38" s="89">
        <v>3.97</v>
      </c>
    </row>
    <row r="39" spans="1:3" x14ac:dyDescent="0.25">
      <c r="A39" s="88">
        <v>30</v>
      </c>
      <c r="B39" s="89">
        <v>25.65</v>
      </c>
      <c r="C39" s="89">
        <v>3.97</v>
      </c>
    </row>
    <row r="40" spans="1:3" x14ac:dyDescent="0.25">
      <c r="A40" s="88">
        <v>31</v>
      </c>
      <c r="B40" s="89">
        <v>25.58</v>
      </c>
      <c r="C40" s="89">
        <v>3.97</v>
      </c>
    </row>
    <row r="41" spans="1:3" x14ac:dyDescent="0.25">
      <c r="A41" s="88">
        <v>32</v>
      </c>
      <c r="B41" s="89">
        <v>25.51</v>
      </c>
      <c r="C41" s="89">
        <v>3.97</v>
      </c>
    </row>
    <row r="42" spans="1:3" x14ac:dyDescent="0.25">
      <c r="A42" s="88">
        <v>33</v>
      </c>
      <c r="B42" s="89">
        <v>25.43</v>
      </c>
      <c r="C42" s="89">
        <v>3.97</v>
      </c>
    </row>
    <row r="43" spans="1:3" x14ac:dyDescent="0.25">
      <c r="A43" s="88">
        <v>34</v>
      </c>
      <c r="B43" s="89">
        <v>25.35</v>
      </c>
      <c r="C43" s="89">
        <v>3.97</v>
      </c>
    </row>
    <row r="44" spans="1:3" x14ac:dyDescent="0.25">
      <c r="A44" s="88">
        <v>35</v>
      </c>
      <c r="B44" s="89">
        <v>25.28</v>
      </c>
      <c r="C44" s="89">
        <v>3.97</v>
      </c>
    </row>
    <row r="45" spans="1:3" x14ac:dyDescent="0.25">
      <c r="A45" s="88">
        <v>36</v>
      </c>
      <c r="B45" s="89">
        <v>25.2</v>
      </c>
      <c r="C45" s="89">
        <v>3.97</v>
      </c>
    </row>
    <row r="46" spans="1:3" x14ac:dyDescent="0.25">
      <c r="A46" s="88">
        <v>37</v>
      </c>
      <c r="B46" s="89">
        <v>25.12</v>
      </c>
      <c r="C46" s="89">
        <v>3.97</v>
      </c>
    </row>
    <row r="47" spans="1:3" x14ac:dyDescent="0.25">
      <c r="A47" s="88">
        <v>38</v>
      </c>
      <c r="B47" s="89">
        <v>25.03</v>
      </c>
      <c r="C47" s="89">
        <v>3.97</v>
      </c>
    </row>
    <row r="48" spans="1:3" x14ac:dyDescent="0.25">
      <c r="A48" s="88">
        <v>39</v>
      </c>
      <c r="B48" s="89">
        <v>24.95</v>
      </c>
      <c r="C48" s="89">
        <v>3.97</v>
      </c>
    </row>
    <row r="49" spans="1:3" x14ac:dyDescent="0.25">
      <c r="A49" s="88">
        <v>40</v>
      </c>
      <c r="B49" s="89">
        <v>24.87</v>
      </c>
      <c r="C49" s="89">
        <v>3.97</v>
      </c>
    </row>
    <row r="50" spans="1:3" x14ac:dyDescent="0.25">
      <c r="A50" s="88">
        <v>41</v>
      </c>
      <c r="B50" s="89">
        <v>24.78</v>
      </c>
      <c r="C50" s="89">
        <v>3.97</v>
      </c>
    </row>
    <row r="51" spans="1:3" x14ac:dyDescent="0.25">
      <c r="A51" s="88">
        <v>42</v>
      </c>
      <c r="B51" s="89">
        <v>24.69</v>
      </c>
      <c r="C51" s="89">
        <v>3.97</v>
      </c>
    </row>
    <row r="52" spans="1:3" x14ac:dyDescent="0.25">
      <c r="A52" s="88">
        <v>43</v>
      </c>
      <c r="B52" s="89">
        <v>24.6</v>
      </c>
      <c r="C52" s="89">
        <v>3.96</v>
      </c>
    </row>
    <row r="53" spans="1:3" x14ac:dyDescent="0.25">
      <c r="A53" s="88">
        <v>44</v>
      </c>
      <c r="B53" s="89">
        <v>24.51</v>
      </c>
      <c r="C53" s="89">
        <v>3.96</v>
      </c>
    </row>
    <row r="54" spans="1:3" x14ac:dyDescent="0.25">
      <c r="A54" s="88">
        <v>45</v>
      </c>
      <c r="B54" s="89">
        <v>24.42</v>
      </c>
      <c r="C54" s="89">
        <v>3.96</v>
      </c>
    </row>
    <row r="55" spans="1:3" x14ac:dyDescent="0.25">
      <c r="A55" s="88">
        <v>46</v>
      </c>
      <c r="B55" s="89">
        <v>24.33</v>
      </c>
      <c r="C55" s="89">
        <v>3.95</v>
      </c>
    </row>
    <row r="56" spans="1:3" x14ac:dyDescent="0.25">
      <c r="A56" s="88">
        <v>47</v>
      </c>
      <c r="B56" s="89">
        <v>24.24</v>
      </c>
      <c r="C56" s="89">
        <v>3.95</v>
      </c>
    </row>
    <row r="57" spans="1:3" x14ac:dyDescent="0.25">
      <c r="A57" s="88">
        <v>48</v>
      </c>
      <c r="B57" s="89">
        <v>24.15</v>
      </c>
      <c r="C57" s="89">
        <v>3.94</v>
      </c>
    </row>
    <row r="58" spans="1:3" x14ac:dyDescent="0.25">
      <c r="A58" s="88">
        <v>49</v>
      </c>
      <c r="B58" s="89">
        <v>24.06</v>
      </c>
      <c r="C58" s="89">
        <v>3.94</v>
      </c>
    </row>
    <row r="59" spans="1:3" x14ac:dyDescent="0.25">
      <c r="A59" s="88">
        <v>50</v>
      </c>
      <c r="B59" s="89">
        <v>23.97</v>
      </c>
      <c r="C59" s="89">
        <v>3.93</v>
      </c>
    </row>
    <row r="60" spans="1:3" x14ac:dyDescent="0.25">
      <c r="A60" s="88">
        <v>51</v>
      </c>
      <c r="B60" s="89">
        <v>23.89</v>
      </c>
      <c r="C60" s="89">
        <v>3.92</v>
      </c>
    </row>
    <row r="61" spans="1:3" x14ac:dyDescent="0.25">
      <c r="A61" s="88">
        <v>52</v>
      </c>
      <c r="B61" s="89">
        <v>23.81</v>
      </c>
      <c r="C61" s="89">
        <v>3.91</v>
      </c>
    </row>
    <row r="62" spans="1:3" x14ac:dyDescent="0.25">
      <c r="A62" s="88">
        <v>53</v>
      </c>
      <c r="B62" s="89">
        <v>23.74</v>
      </c>
      <c r="C62" s="89">
        <v>3.9</v>
      </c>
    </row>
    <row r="63" spans="1:3" x14ac:dyDescent="0.25">
      <c r="A63" s="88">
        <v>54</v>
      </c>
      <c r="B63" s="89">
        <v>23.68</v>
      </c>
      <c r="C63" s="89">
        <v>3.89</v>
      </c>
    </row>
  </sheetData>
  <sheetProtection algorithmName="SHA-512" hashValue="fhRYRtHT+ulnNVzOuWcAN1fP10lFJtfbJUWobdFt7KktlXI2MVEv4V3voG1zxw564vBADs28fSd0Sfm8rosu9g==" saltValue="UuzJ5lRrIR5goiHZV5yLPQ==" spinCount="100000" sheet="1" objects="1" scenarios="1"/>
  <conditionalFormatting sqref="A6:A16 A18:A20">
    <cfRule type="expression" dxfId="1325" priority="27" stopIfTrue="1">
      <formula>MOD(ROW(),2)=0</formula>
    </cfRule>
    <cfRule type="expression" dxfId="1324" priority="28" stopIfTrue="1">
      <formula>MOD(ROW(),2)&lt;&gt;0</formula>
    </cfRule>
  </conditionalFormatting>
  <conditionalFormatting sqref="B6:C21">
    <cfRule type="expression" dxfId="1323" priority="29" stopIfTrue="1">
      <formula>MOD(ROW(),2)=0</formula>
    </cfRule>
    <cfRule type="expression" dxfId="1322" priority="30" stopIfTrue="1">
      <formula>MOD(ROW(),2)&lt;&gt;0</formula>
    </cfRule>
  </conditionalFormatting>
  <conditionalFormatting sqref="A17">
    <cfRule type="expression" dxfId="1321" priority="21" stopIfTrue="1">
      <formula>MOD(ROW(),2)=0</formula>
    </cfRule>
    <cfRule type="expression" dxfId="1320" priority="22" stopIfTrue="1">
      <formula>MOD(ROW(),2)&lt;&gt;0</formula>
    </cfRule>
  </conditionalFormatting>
  <conditionalFormatting sqref="B18:C18 C19 B20:C21">
    <cfRule type="expression" dxfId="1319" priority="19" stopIfTrue="1">
      <formula>MOD(ROW(),2)=0</formula>
    </cfRule>
    <cfRule type="expression" dxfId="1318" priority="20" stopIfTrue="1">
      <formula>MOD(ROW(),2)&lt;&gt;0</formula>
    </cfRule>
  </conditionalFormatting>
  <conditionalFormatting sqref="B17">
    <cfRule type="expression" dxfId="1317" priority="17" stopIfTrue="1">
      <formula>MOD(ROW(),2)=0</formula>
    </cfRule>
    <cfRule type="expression" dxfId="1316" priority="18" stopIfTrue="1">
      <formula>MOD(ROW(),2)&lt;&gt;0</formula>
    </cfRule>
  </conditionalFormatting>
  <conditionalFormatting sqref="A26:A63">
    <cfRule type="expression" dxfId="1315" priority="9" stopIfTrue="1">
      <formula>MOD(ROW(),2)=0</formula>
    </cfRule>
    <cfRule type="expression" dxfId="1314" priority="10" stopIfTrue="1">
      <formula>MOD(ROW(),2)&lt;&gt;0</formula>
    </cfRule>
  </conditionalFormatting>
  <conditionalFormatting sqref="B26:C63">
    <cfRule type="expression" dxfId="1313" priority="11" stopIfTrue="1">
      <formula>MOD(ROW(),2)=0</formula>
    </cfRule>
    <cfRule type="expression" dxfId="1312" priority="12" stopIfTrue="1">
      <formula>MOD(ROW(),2)&lt;&gt;0</formula>
    </cfRule>
  </conditionalFormatting>
  <conditionalFormatting sqref="C17">
    <cfRule type="expression" dxfId="1311" priority="7" stopIfTrue="1">
      <formula>MOD(ROW(),2)=0</formula>
    </cfRule>
    <cfRule type="expression" dxfId="1310" priority="8" stopIfTrue="1">
      <formula>MOD(ROW(),2)&lt;&gt;0</formula>
    </cfRule>
  </conditionalFormatting>
  <conditionalFormatting sqref="B19">
    <cfRule type="expression" dxfId="1309" priority="5" stopIfTrue="1">
      <formula>MOD(ROW(),2)=0</formula>
    </cfRule>
    <cfRule type="expression" dxfId="1308" priority="6" stopIfTrue="1">
      <formula>MOD(ROW(),2)&lt;&gt;0</formula>
    </cfRule>
  </conditionalFormatting>
  <conditionalFormatting sqref="A21">
    <cfRule type="expression" dxfId="1307" priority="1" stopIfTrue="1">
      <formula>MOD(ROW(),2)=0</formula>
    </cfRule>
    <cfRule type="expression" dxfId="1306" priority="2" stopIfTrue="1">
      <formula>MOD(ROW(),2)&lt;&gt;0</formula>
    </cfRule>
  </conditionalFormatting>
  <hyperlinks>
    <hyperlink ref="B24" location="Assumptions!A1" display="Assumptions" xr:uid="{29EEF7C5-0A1D-494B-A358-DE81E2195BC5}"/>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44"/>
  <dimension ref="A1:I65"/>
  <sheetViews>
    <sheetView showGridLines="0" zoomScale="85" zoomScaleNormal="85" workbookViewId="0">
      <selection activeCell="B18" sqref="B18"/>
    </sheetView>
  </sheetViews>
  <sheetFormatPr defaultColWidth="10" defaultRowHeight="12.5" x14ac:dyDescent="0.25"/>
  <cols>
    <col min="1" max="1" width="31.81640625" style="28" customWidth="1"/>
    <col min="2" max="6" width="22.81640625" style="28" customWidth="1"/>
    <col min="7" max="16384" width="10" style="28"/>
  </cols>
  <sheetData>
    <row r="1" spans="1:9" ht="20" x14ac:dyDescent="0.4">
      <c r="A1" s="40" t="s">
        <v>227</v>
      </c>
      <c r="B1" s="41"/>
      <c r="C1" s="41"/>
      <c r="D1" s="41"/>
      <c r="E1" s="41"/>
      <c r="F1" s="41"/>
      <c r="G1" s="41"/>
      <c r="H1" s="41"/>
      <c r="I1" s="41"/>
    </row>
    <row r="2" spans="1:9" ht="15.5" x14ac:dyDescent="0.35">
      <c r="A2" s="42" t="str">
        <f>IF(title="&gt; Enter workbook title here","Enter workbook title in Cover sheet",title)</f>
        <v>Fire Northern Ireland - Consolidated Factor Spreadsheet</v>
      </c>
      <c r="B2" s="43"/>
      <c r="C2" s="43"/>
      <c r="D2" s="43"/>
      <c r="E2" s="43"/>
      <c r="F2" s="43"/>
      <c r="G2" s="43"/>
      <c r="H2" s="43"/>
      <c r="I2" s="43"/>
    </row>
    <row r="3" spans="1:9" ht="15.5" x14ac:dyDescent="0.35">
      <c r="A3" s="44" t="str">
        <f>TABLE_FACTOR_TYPE_1&amp;" - x-"&amp;TABLE_SERIES_NUMBER_1</f>
        <v>Pensioner Cash Equivalent - x-301</v>
      </c>
      <c r="B3" s="43"/>
      <c r="C3" s="43"/>
      <c r="D3" s="43"/>
      <c r="E3" s="43"/>
      <c r="F3" s="43"/>
      <c r="G3" s="43"/>
      <c r="H3" s="43"/>
      <c r="I3" s="43"/>
    </row>
    <row r="4" spans="1:9" x14ac:dyDescent="0.25">
      <c r="A4" s="45"/>
    </row>
    <row r="6" spans="1:9" ht="13" x14ac:dyDescent="0.3">
      <c r="A6" s="155" t="s">
        <v>562</v>
      </c>
      <c r="B6" s="154" t="s">
        <v>563</v>
      </c>
      <c r="C6" s="154"/>
      <c r="D6" s="154"/>
      <c r="E6" s="154"/>
      <c r="F6" s="154"/>
    </row>
    <row r="7" spans="1:9" x14ac:dyDescent="0.25">
      <c r="A7" s="156" t="s">
        <v>305</v>
      </c>
      <c r="B7" s="154" t="s">
        <v>319</v>
      </c>
      <c r="C7" s="154"/>
      <c r="D7" s="154"/>
      <c r="E7" s="154"/>
      <c r="F7" s="154"/>
    </row>
    <row r="8" spans="1:9" x14ac:dyDescent="0.25">
      <c r="A8" s="156" t="s">
        <v>306</v>
      </c>
      <c r="B8" s="154" t="s">
        <v>320</v>
      </c>
      <c r="C8" s="154"/>
      <c r="D8" s="154"/>
      <c r="E8" s="154"/>
      <c r="F8" s="154"/>
    </row>
    <row r="9" spans="1:9" x14ac:dyDescent="0.25">
      <c r="A9" s="156" t="s">
        <v>307</v>
      </c>
      <c r="B9" s="154" t="s">
        <v>368</v>
      </c>
      <c r="C9" s="154"/>
      <c r="D9" s="154"/>
      <c r="E9" s="154"/>
      <c r="F9" s="154"/>
    </row>
    <row r="10" spans="1:9" x14ac:dyDescent="0.25">
      <c r="A10" s="156" t="s">
        <v>233</v>
      </c>
      <c r="B10" s="154" t="s">
        <v>369</v>
      </c>
      <c r="C10" s="154"/>
      <c r="D10" s="154"/>
      <c r="E10" s="154"/>
      <c r="F10" s="154"/>
    </row>
    <row r="11" spans="1:9" x14ac:dyDescent="0.25">
      <c r="A11" s="156" t="s">
        <v>308</v>
      </c>
      <c r="B11" s="154" t="s">
        <v>323</v>
      </c>
      <c r="C11" s="154"/>
      <c r="D11" s="154"/>
      <c r="E11" s="154"/>
      <c r="F11" s="154"/>
    </row>
    <row r="12" spans="1:9" x14ac:dyDescent="0.25">
      <c r="A12" s="156" t="s">
        <v>309</v>
      </c>
      <c r="B12" s="154" t="s">
        <v>324</v>
      </c>
      <c r="C12" s="154"/>
      <c r="D12" s="154"/>
      <c r="E12" s="154"/>
      <c r="F12" s="154"/>
    </row>
    <row r="13" spans="1:9" x14ac:dyDescent="0.25">
      <c r="A13" s="156" t="s">
        <v>570</v>
      </c>
      <c r="B13" s="154">
        <v>2</v>
      </c>
      <c r="C13" s="154"/>
      <c r="D13" s="154"/>
      <c r="E13" s="154"/>
      <c r="F13" s="154"/>
    </row>
    <row r="14" spans="1:9" x14ac:dyDescent="0.25">
      <c r="A14" s="156" t="s">
        <v>311</v>
      </c>
      <c r="B14" s="154">
        <v>301</v>
      </c>
      <c r="C14" s="154"/>
      <c r="D14" s="154"/>
      <c r="E14" s="154"/>
      <c r="F14" s="154"/>
    </row>
    <row r="15" spans="1:9" x14ac:dyDescent="0.25">
      <c r="A15" s="156" t="s">
        <v>573</v>
      </c>
      <c r="B15" s="154" t="s">
        <v>370</v>
      </c>
      <c r="C15" s="154"/>
      <c r="D15" s="154"/>
      <c r="E15" s="154"/>
      <c r="F15" s="154"/>
    </row>
    <row r="16" spans="1:9" x14ac:dyDescent="0.25">
      <c r="A16" s="156" t="s">
        <v>313</v>
      </c>
      <c r="B16" s="154" t="s">
        <v>371</v>
      </c>
      <c r="C16" s="154"/>
      <c r="D16" s="154"/>
      <c r="E16" s="154"/>
      <c r="F16" s="154"/>
    </row>
    <row r="17" spans="1:6" ht="71.900000000000006" customHeight="1" x14ac:dyDescent="0.25">
      <c r="A17" s="156" t="s">
        <v>642</v>
      </c>
      <c r="B17" s="154"/>
      <c r="C17" s="154"/>
      <c r="D17" s="154"/>
      <c r="E17" s="154"/>
      <c r="F17" s="154"/>
    </row>
    <row r="18" spans="1:6" x14ac:dyDescent="0.25">
      <c r="A18" s="156" t="s">
        <v>315</v>
      </c>
      <c r="B18" s="157">
        <v>45070</v>
      </c>
      <c r="C18" s="154"/>
      <c r="D18" s="154"/>
      <c r="E18" s="154"/>
      <c r="F18" s="154"/>
    </row>
    <row r="19" spans="1:6" x14ac:dyDescent="0.25">
      <c r="A19" s="156" t="s">
        <v>316</v>
      </c>
      <c r="B19" s="157">
        <v>45014</v>
      </c>
      <c r="C19" s="154"/>
      <c r="D19" s="154"/>
      <c r="E19" s="154"/>
      <c r="F19" s="154"/>
    </row>
    <row r="20" spans="1:6" x14ac:dyDescent="0.25">
      <c r="A20" s="156" t="s">
        <v>317</v>
      </c>
      <c r="B20" s="154" t="s">
        <v>327</v>
      </c>
      <c r="C20" s="154"/>
      <c r="D20" s="154"/>
      <c r="E20" s="154"/>
      <c r="F20" s="154"/>
    </row>
    <row r="21" spans="1:6" x14ac:dyDescent="0.25">
      <c r="A21" s="77" t="s">
        <v>318</v>
      </c>
      <c r="B21" s="154" t="s">
        <v>328</v>
      </c>
      <c r="C21" s="154"/>
      <c r="D21" s="154"/>
      <c r="E21" s="154"/>
      <c r="F21" s="154"/>
    </row>
    <row r="23" spans="1:6" x14ac:dyDescent="0.25">
      <c r="B23" s="91" t="str">
        <f>HYPERLINK("#'Factor List'!A1","Back to Factor List")</f>
        <v>Back to Factor List</v>
      </c>
    </row>
    <row r="24" spans="1:6" x14ac:dyDescent="0.25">
      <c r="B24" s="91" t="s">
        <v>240</v>
      </c>
    </row>
    <row r="25" spans="1:6" x14ac:dyDescent="0.25">
      <c r="B25" s="91"/>
    </row>
    <row r="26" spans="1:6" ht="39" x14ac:dyDescent="0.25">
      <c r="A26" s="87" t="s">
        <v>643</v>
      </c>
      <c r="B26" s="87" t="s">
        <v>653</v>
      </c>
      <c r="C26" s="87" t="s">
        <v>654</v>
      </c>
      <c r="D26" s="87" t="s">
        <v>655</v>
      </c>
      <c r="E26" s="87" t="s">
        <v>656</v>
      </c>
      <c r="F26" s="87" t="s">
        <v>646</v>
      </c>
    </row>
    <row r="27" spans="1:6" x14ac:dyDescent="0.25">
      <c r="A27" s="88">
        <v>50</v>
      </c>
      <c r="B27" s="89">
        <v>26.01</v>
      </c>
      <c r="C27" s="89">
        <v>21.86</v>
      </c>
      <c r="D27" s="89">
        <v>3.58</v>
      </c>
      <c r="E27" s="89"/>
      <c r="F27" s="89">
        <v>0</v>
      </c>
    </row>
    <row r="28" spans="1:6" x14ac:dyDescent="0.25">
      <c r="A28" s="88">
        <v>51</v>
      </c>
      <c r="B28" s="89">
        <v>25.53</v>
      </c>
      <c r="C28" s="89">
        <v>22.23</v>
      </c>
      <c r="D28" s="89">
        <v>3.61</v>
      </c>
      <c r="E28" s="89"/>
      <c r="F28" s="89">
        <v>0</v>
      </c>
    </row>
    <row r="29" spans="1:6" x14ac:dyDescent="0.25">
      <c r="A29" s="88">
        <v>52</v>
      </c>
      <c r="B29" s="89">
        <v>25.03</v>
      </c>
      <c r="C29" s="89">
        <v>22.61</v>
      </c>
      <c r="D29" s="89">
        <v>3.64</v>
      </c>
      <c r="E29" s="89"/>
      <c r="F29" s="89">
        <v>0</v>
      </c>
    </row>
    <row r="30" spans="1:6" x14ac:dyDescent="0.25">
      <c r="A30" s="88">
        <v>53</v>
      </c>
      <c r="B30" s="89">
        <v>24.5</v>
      </c>
      <c r="C30" s="89">
        <v>23.01</v>
      </c>
      <c r="D30" s="89">
        <v>3.67</v>
      </c>
      <c r="E30" s="89"/>
      <c r="F30" s="89">
        <v>0</v>
      </c>
    </row>
    <row r="31" spans="1:6" x14ac:dyDescent="0.25">
      <c r="A31" s="88">
        <v>54</v>
      </c>
      <c r="B31" s="89">
        <v>23.92</v>
      </c>
      <c r="C31" s="89">
        <v>23.41</v>
      </c>
      <c r="D31" s="89">
        <v>3.69</v>
      </c>
      <c r="E31" s="89"/>
      <c r="F31" s="89">
        <v>0</v>
      </c>
    </row>
    <row r="32" spans="1:6" x14ac:dyDescent="0.25">
      <c r="A32" s="88">
        <v>55</v>
      </c>
      <c r="B32" s="89">
        <v>23.33</v>
      </c>
      <c r="C32" s="89"/>
      <c r="D32" s="89">
        <v>3.72</v>
      </c>
      <c r="E32" s="89"/>
      <c r="F32" s="89">
        <v>0</v>
      </c>
    </row>
    <row r="33" spans="1:6" x14ac:dyDescent="0.25">
      <c r="A33" s="88">
        <v>56</v>
      </c>
      <c r="B33" s="89">
        <v>22.74</v>
      </c>
      <c r="C33" s="89"/>
      <c r="D33" s="89">
        <v>3.75</v>
      </c>
      <c r="E33" s="89"/>
      <c r="F33" s="89">
        <v>0</v>
      </c>
    </row>
    <row r="34" spans="1:6" x14ac:dyDescent="0.25">
      <c r="A34" s="88">
        <v>57</v>
      </c>
      <c r="B34" s="89">
        <v>22.14</v>
      </c>
      <c r="C34" s="89"/>
      <c r="D34" s="89">
        <v>3.77</v>
      </c>
      <c r="E34" s="89"/>
      <c r="F34" s="89">
        <v>0</v>
      </c>
    </row>
    <row r="35" spans="1:6" x14ac:dyDescent="0.25">
      <c r="A35" s="88">
        <v>58</v>
      </c>
      <c r="B35" s="89">
        <v>21.54</v>
      </c>
      <c r="C35" s="89"/>
      <c r="D35" s="89">
        <v>3.8</v>
      </c>
      <c r="E35" s="89"/>
      <c r="F35" s="89">
        <v>0</v>
      </c>
    </row>
    <row r="36" spans="1:6" x14ac:dyDescent="0.25">
      <c r="A36" s="88">
        <v>59</v>
      </c>
      <c r="B36" s="89">
        <v>20.93</v>
      </c>
      <c r="C36" s="89"/>
      <c r="D36" s="89">
        <v>3.82</v>
      </c>
      <c r="E36" s="89"/>
      <c r="F36" s="89">
        <v>0</v>
      </c>
    </row>
    <row r="37" spans="1:6" x14ac:dyDescent="0.25">
      <c r="A37" s="88">
        <v>60</v>
      </c>
      <c r="B37" s="89">
        <v>20.32</v>
      </c>
      <c r="C37" s="89"/>
      <c r="D37" s="89">
        <v>3.84</v>
      </c>
      <c r="E37" s="89"/>
      <c r="F37" s="89">
        <v>0</v>
      </c>
    </row>
    <row r="38" spans="1:6" x14ac:dyDescent="0.25">
      <c r="A38" s="88">
        <v>61</v>
      </c>
      <c r="B38" s="89">
        <v>19.7</v>
      </c>
      <c r="C38" s="89"/>
      <c r="D38" s="89">
        <v>3.86</v>
      </c>
      <c r="E38" s="89"/>
      <c r="F38" s="89">
        <v>0</v>
      </c>
    </row>
    <row r="39" spans="1:6" x14ac:dyDescent="0.25">
      <c r="A39" s="88">
        <v>62</v>
      </c>
      <c r="B39" s="89">
        <v>19.079999999999998</v>
      </c>
      <c r="C39" s="89"/>
      <c r="D39" s="89">
        <v>3.87</v>
      </c>
      <c r="E39" s="89"/>
      <c r="F39" s="89">
        <v>0</v>
      </c>
    </row>
    <row r="40" spans="1:6" x14ac:dyDescent="0.25">
      <c r="A40" s="88">
        <v>63</v>
      </c>
      <c r="B40" s="89">
        <v>18.46</v>
      </c>
      <c r="C40" s="89"/>
      <c r="D40" s="89">
        <v>3.88</v>
      </c>
      <c r="E40" s="89"/>
      <c r="F40" s="89">
        <v>0</v>
      </c>
    </row>
    <row r="41" spans="1:6" x14ac:dyDescent="0.25">
      <c r="A41" s="88">
        <v>64</v>
      </c>
      <c r="B41" s="89">
        <v>17.829999999999998</v>
      </c>
      <c r="C41" s="89"/>
      <c r="D41" s="89">
        <v>3.89</v>
      </c>
      <c r="E41" s="89"/>
      <c r="F41" s="89">
        <v>0</v>
      </c>
    </row>
    <row r="42" spans="1:6" x14ac:dyDescent="0.25">
      <c r="A42" s="88">
        <v>65</v>
      </c>
      <c r="B42" s="89">
        <v>17.2</v>
      </c>
      <c r="C42" s="89"/>
      <c r="D42" s="89">
        <v>3.89</v>
      </c>
      <c r="E42" s="89"/>
      <c r="F42" s="89"/>
    </row>
    <row r="43" spans="1:6" x14ac:dyDescent="0.25">
      <c r="A43" s="88">
        <v>66</v>
      </c>
      <c r="B43" s="89">
        <v>16.57</v>
      </c>
      <c r="C43" s="89"/>
      <c r="D43" s="89">
        <v>3.89</v>
      </c>
      <c r="E43" s="89"/>
      <c r="F43" s="89"/>
    </row>
    <row r="44" spans="1:6" x14ac:dyDescent="0.25">
      <c r="A44" s="88">
        <v>67</v>
      </c>
      <c r="B44" s="89">
        <v>15.94</v>
      </c>
      <c r="C44" s="89"/>
      <c r="D44" s="89">
        <v>3.89</v>
      </c>
      <c r="E44" s="89"/>
      <c r="F44" s="89"/>
    </row>
    <row r="45" spans="1:6" x14ac:dyDescent="0.25">
      <c r="A45" s="88">
        <v>68</v>
      </c>
      <c r="B45" s="89">
        <v>15.31</v>
      </c>
      <c r="C45" s="89"/>
      <c r="D45" s="89">
        <v>3.88</v>
      </c>
      <c r="E45" s="89"/>
      <c r="F45" s="89"/>
    </row>
    <row r="46" spans="1:6" x14ac:dyDescent="0.25">
      <c r="A46" s="88">
        <v>69</v>
      </c>
      <c r="B46" s="89">
        <v>14.67</v>
      </c>
      <c r="C46" s="89"/>
      <c r="D46" s="89">
        <v>3.86</v>
      </c>
      <c r="E46" s="89">
        <v>3.01</v>
      </c>
      <c r="F46" s="89"/>
    </row>
    <row r="47" spans="1:6" x14ac:dyDescent="0.25">
      <c r="A47" s="88">
        <v>70</v>
      </c>
      <c r="B47" s="89">
        <v>14.04</v>
      </c>
      <c r="C47" s="89"/>
      <c r="D47" s="89">
        <v>3.84</v>
      </c>
      <c r="E47" s="89">
        <v>2.8</v>
      </c>
      <c r="F47" s="89"/>
    </row>
    <row r="48" spans="1:6" x14ac:dyDescent="0.25">
      <c r="A48" s="88">
        <v>71</v>
      </c>
      <c r="B48" s="89">
        <v>13.42</v>
      </c>
      <c r="C48" s="89"/>
      <c r="D48" s="89">
        <v>3.82</v>
      </c>
      <c r="E48" s="89">
        <v>2.6</v>
      </c>
      <c r="F48" s="89"/>
    </row>
    <row r="49" spans="1:6" x14ac:dyDescent="0.25">
      <c r="A49" s="88">
        <v>72</v>
      </c>
      <c r="B49" s="89">
        <v>12.79</v>
      </c>
      <c r="C49" s="89"/>
      <c r="D49" s="89">
        <v>3.79</v>
      </c>
      <c r="E49" s="89">
        <v>2.41</v>
      </c>
      <c r="F49" s="89"/>
    </row>
    <row r="50" spans="1:6" x14ac:dyDescent="0.25">
      <c r="A50" s="88">
        <v>73</v>
      </c>
      <c r="B50" s="89">
        <v>12.17</v>
      </c>
      <c r="C50" s="89"/>
      <c r="D50" s="89">
        <v>3.75</v>
      </c>
      <c r="E50" s="89">
        <v>2.23</v>
      </c>
      <c r="F50" s="89"/>
    </row>
    <row r="51" spans="1:6" x14ac:dyDescent="0.25">
      <c r="A51" s="88">
        <v>74</v>
      </c>
      <c r="B51" s="89">
        <v>11.56</v>
      </c>
      <c r="C51" s="89"/>
      <c r="D51" s="89">
        <v>3.61</v>
      </c>
      <c r="E51" s="89">
        <v>2.04</v>
      </c>
      <c r="F51" s="89"/>
    </row>
    <row r="52" spans="1:6" x14ac:dyDescent="0.25">
      <c r="A52" s="88">
        <v>75</v>
      </c>
      <c r="B52" s="89">
        <v>10.95</v>
      </c>
      <c r="C52" s="89"/>
      <c r="D52" s="89">
        <v>3.47</v>
      </c>
      <c r="E52" s="89">
        <v>1.86</v>
      </c>
      <c r="F52" s="89"/>
    </row>
    <row r="53" spans="1:6" x14ac:dyDescent="0.25">
      <c r="A53" s="88">
        <v>76</v>
      </c>
      <c r="B53" s="89">
        <v>10.36</v>
      </c>
      <c r="C53" s="89"/>
      <c r="D53" s="89">
        <v>3.41</v>
      </c>
      <c r="E53" s="89">
        <v>1.7</v>
      </c>
      <c r="F53" s="89"/>
    </row>
    <row r="54" spans="1:6" x14ac:dyDescent="0.25">
      <c r="A54" s="88">
        <v>77</v>
      </c>
      <c r="B54" s="89">
        <v>9.77</v>
      </c>
      <c r="C54" s="89"/>
      <c r="D54" s="89">
        <v>3.35</v>
      </c>
      <c r="E54" s="89">
        <v>1.54</v>
      </c>
      <c r="F54" s="89"/>
    </row>
    <row r="55" spans="1:6" x14ac:dyDescent="0.25">
      <c r="A55" s="88">
        <v>78</v>
      </c>
      <c r="B55" s="89">
        <v>9.19</v>
      </c>
      <c r="C55" s="89"/>
      <c r="D55" s="89">
        <v>3.29</v>
      </c>
      <c r="E55" s="89">
        <v>1.4</v>
      </c>
      <c r="F55" s="89"/>
    </row>
    <row r="56" spans="1:6" x14ac:dyDescent="0.25">
      <c r="A56" s="88">
        <v>79</v>
      </c>
      <c r="B56" s="89">
        <v>8.6300000000000008</v>
      </c>
      <c r="C56" s="89"/>
      <c r="D56" s="89">
        <v>3.04</v>
      </c>
      <c r="E56" s="89">
        <v>1.25</v>
      </c>
      <c r="F56" s="89"/>
    </row>
    <row r="57" spans="1:6" x14ac:dyDescent="0.25">
      <c r="A57" s="88">
        <v>80</v>
      </c>
      <c r="B57" s="89">
        <v>8.09</v>
      </c>
      <c r="C57" s="89"/>
      <c r="D57" s="89">
        <v>2.78</v>
      </c>
      <c r="E57" s="89">
        <v>1.1100000000000001</v>
      </c>
      <c r="F57" s="89"/>
    </row>
    <row r="58" spans="1:6" x14ac:dyDescent="0.25">
      <c r="A58" s="88">
        <v>81</v>
      </c>
      <c r="B58" s="89">
        <v>7.56</v>
      </c>
      <c r="C58" s="89"/>
      <c r="D58" s="89">
        <v>2.7</v>
      </c>
      <c r="E58" s="89">
        <v>0.99</v>
      </c>
      <c r="F58" s="89"/>
    </row>
    <row r="59" spans="1:6" x14ac:dyDescent="0.25">
      <c r="A59" s="88">
        <v>82</v>
      </c>
      <c r="B59" s="89">
        <v>7.05</v>
      </c>
      <c r="C59" s="89"/>
      <c r="D59" s="89">
        <v>2.61</v>
      </c>
      <c r="E59" s="89">
        <v>0.88</v>
      </c>
      <c r="F59" s="89"/>
    </row>
    <row r="60" spans="1:6" x14ac:dyDescent="0.25">
      <c r="A60" s="88">
        <v>83</v>
      </c>
      <c r="B60" s="89">
        <v>6.56</v>
      </c>
      <c r="C60" s="89"/>
      <c r="D60" s="89">
        <v>2.52</v>
      </c>
      <c r="E60" s="89">
        <v>0.79</v>
      </c>
      <c r="F60" s="89"/>
    </row>
    <row r="61" spans="1:6" x14ac:dyDescent="0.25">
      <c r="A61" s="88">
        <v>84</v>
      </c>
      <c r="B61" s="89">
        <v>6.1</v>
      </c>
      <c r="C61" s="89"/>
      <c r="D61" s="89">
        <v>2.2000000000000002</v>
      </c>
      <c r="E61" s="89">
        <v>0.68</v>
      </c>
      <c r="F61" s="89"/>
    </row>
    <row r="62" spans="1:6" x14ac:dyDescent="0.25">
      <c r="A62" s="88">
        <v>85</v>
      </c>
      <c r="B62" s="89">
        <v>5.65</v>
      </c>
      <c r="C62" s="89"/>
      <c r="D62" s="89">
        <v>1.88</v>
      </c>
      <c r="E62" s="89">
        <v>0.57999999999999996</v>
      </c>
      <c r="F62" s="89"/>
    </row>
    <row r="63" spans="1:6" x14ac:dyDescent="0.25">
      <c r="A63"/>
      <c r="B63"/>
    </row>
    <row r="64" spans="1:6" x14ac:dyDescent="0.25">
      <c r="A64"/>
      <c r="B64"/>
    </row>
    <row r="65" spans="1:2" x14ac:dyDescent="0.25">
      <c r="A65"/>
      <c r="B65"/>
    </row>
  </sheetData>
  <sheetProtection algorithmName="SHA-512" hashValue="7AsBvx5TdTahvGEjzyBRRh1y2x4sx14I7mc8sZmLzbGIEm0137xIE6XnQUrbdWHohQjEXPeei1Qp/il2EBMr6Q==" saltValue="r9f0W0RCOI9mnxLJ6hnHGw==" spinCount="100000" sheet="1" objects="1" scenarios="1"/>
  <conditionalFormatting sqref="A6:A16 A18:A20">
    <cfRule type="expression" dxfId="1305" priority="27" stopIfTrue="1">
      <formula>MOD(ROW(),2)=0</formula>
    </cfRule>
    <cfRule type="expression" dxfId="1304" priority="28" stopIfTrue="1">
      <formula>MOD(ROW(),2)&lt;&gt;0</formula>
    </cfRule>
  </conditionalFormatting>
  <conditionalFormatting sqref="B6:F21">
    <cfRule type="expression" dxfId="1303" priority="29" stopIfTrue="1">
      <formula>MOD(ROW(),2)=0</formula>
    </cfRule>
    <cfRule type="expression" dxfId="1302" priority="30" stopIfTrue="1">
      <formula>MOD(ROW(),2)&lt;&gt;0</formula>
    </cfRule>
  </conditionalFormatting>
  <conditionalFormatting sqref="B17">
    <cfRule type="expression" dxfId="1301" priority="19" stopIfTrue="1">
      <formula>MOD(ROW(),2)=0</formula>
    </cfRule>
    <cfRule type="expression" dxfId="1300" priority="20" stopIfTrue="1">
      <formula>MOD(ROW(),2)&lt;&gt;0</formula>
    </cfRule>
  </conditionalFormatting>
  <conditionalFormatting sqref="A17">
    <cfRule type="expression" dxfId="1299" priority="21" stopIfTrue="1">
      <formula>MOD(ROW(),2)=0</formula>
    </cfRule>
    <cfRule type="expression" dxfId="1298" priority="22" stopIfTrue="1">
      <formula>MOD(ROW(),2)&lt;&gt;0</formula>
    </cfRule>
  </conditionalFormatting>
  <conditionalFormatting sqref="B18">
    <cfRule type="expression" dxfId="1297" priority="17" stopIfTrue="1">
      <formula>MOD(ROW(),2)=0</formula>
    </cfRule>
    <cfRule type="expression" dxfId="1296" priority="18" stopIfTrue="1">
      <formula>MOD(ROW(),2)&lt;&gt;0</formula>
    </cfRule>
  </conditionalFormatting>
  <conditionalFormatting sqref="A26:A62">
    <cfRule type="expression" dxfId="1295" priority="11" stopIfTrue="1">
      <formula>MOD(ROW(),2)=0</formula>
    </cfRule>
    <cfRule type="expression" dxfId="1294" priority="12" stopIfTrue="1">
      <formula>MOD(ROW(),2)&lt;&gt;0</formula>
    </cfRule>
  </conditionalFormatting>
  <conditionalFormatting sqref="B26:F45 B46:D62 F46:F62">
    <cfRule type="expression" dxfId="1293" priority="13" stopIfTrue="1">
      <formula>MOD(ROW(),2)=0</formula>
    </cfRule>
    <cfRule type="expression" dxfId="1292" priority="14" stopIfTrue="1">
      <formula>MOD(ROW(),2)&lt;&gt;0</formula>
    </cfRule>
  </conditionalFormatting>
  <conditionalFormatting sqref="E46:E62">
    <cfRule type="expression" dxfId="1291" priority="9" stopIfTrue="1">
      <formula>MOD(ROW(),2)=0</formula>
    </cfRule>
    <cfRule type="expression" dxfId="1290" priority="10" stopIfTrue="1">
      <formula>MOD(ROW(),2)&lt;&gt;0</formula>
    </cfRule>
  </conditionalFormatting>
  <conditionalFormatting sqref="C17:F17">
    <cfRule type="expression" dxfId="1289" priority="7" stopIfTrue="1">
      <formula>MOD(ROW(),2)=0</formula>
    </cfRule>
    <cfRule type="expression" dxfId="1288" priority="8" stopIfTrue="1">
      <formula>MOD(ROW(),2)&lt;&gt;0</formula>
    </cfRule>
  </conditionalFormatting>
  <conditionalFormatting sqref="B19">
    <cfRule type="expression" dxfId="1287" priority="5" stopIfTrue="1">
      <formula>MOD(ROW(),2)=0</formula>
    </cfRule>
    <cfRule type="expression" dxfId="1286" priority="6" stopIfTrue="1">
      <formula>MOD(ROW(),2)&lt;&gt;0</formula>
    </cfRule>
  </conditionalFormatting>
  <conditionalFormatting sqref="A21">
    <cfRule type="expression" dxfId="1285" priority="1" stopIfTrue="1">
      <formula>MOD(ROW(),2)=0</formula>
    </cfRule>
    <cfRule type="expression" dxfId="1284" priority="2" stopIfTrue="1">
      <formula>MOD(ROW(),2)&lt;&gt;0</formula>
    </cfRule>
  </conditionalFormatting>
  <hyperlinks>
    <hyperlink ref="B24" location="Assumptions!A1" display="Assumptions" xr:uid="{F3C1CD03-82F6-48BB-ABEF-277C01FC3DFB}"/>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45"/>
  <dimension ref="A1:I65"/>
  <sheetViews>
    <sheetView showGridLines="0" zoomScale="85" zoomScaleNormal="85" workbookViewId="0">
      <selection activeCell="B18" sqref="B18"/>
    </sheetView>
  </sheetViews>
  <sheetFormatPr defaultColWidth="10" defaultRowHeight="12.5" x14ac:dyDescent="0.25"/>
  <cols>
    <col min="1" max="1" width="31.81640625" style="28" customWidth="1"/>
    <col min="2" max="6" width="22.81640625" style="28" customWidth="1"/>
    <col min="7" max="16384" width="10" style="28"/>
  </cols>
  <sheetData>
    <row r="1" spans="1:9" ht="20" x14ac:dyDescent="0.4">
      <c r="A1" s="40" t="s">
        <v>227</v>
      </c>
      <c r="B1" s="41"/>
      <c r="C1" s="41"/>
      <c r="D1" s="41"/>
      <c r="E1" s="41"/>
      <c r="F1" s="41"/>
      <c r="G1" s="41"/>
      <c r="H1" s="41"/>
      <c r="I1" s="41"/>
    </row>
    <row r="2" spans="1:9" ht="15.5" x14ac:dyDescent="0.35">
      <c r="A2" s="42" t="str">
        <f>IF(title="&gt; Enter workbook title here","Enter workbook title in Cover sheet",title)</f>
        <v>Fire Northern Ireland - Consolidated Factor Spreadsheet</v>
      </c>
      <c r="B2" s="43"/>
      <c r="C2" s="43"/>
      <c r="D2" s="43"/>
      <c r="E2" s="43"/>
      <c r="F2" s="43"/>
      <c r="G2" s="43"/>
      <c r="H2" s="43"/>
      <c r="I2" s="43"/>
    </row>
    <row r="3" spans="1:9" ht="15.5" x14ac:dyDescent="0.35">
      <c r="A3" s="44" t="str">
        <f>TABLE_FACTOR_TYPE_1&amp;" - x-"&amp;TABLE_SERIES_NUMBER_1</f>
        <v>Pensioner Cash Equivalent - x-302</v>
      </c>
      <c r="B3" s="43"/>
      <c r="C3" s="43"/>
      <c r="D3" s="43"/>
      <c r="E3" s="43"/>
      <c r="F3" s="43"/>
      <c r="G3" s="43"/>
      <c r="H3" s="43"/>
      <c r="I3" s="43"/>
    </row>
    <row r="4" spans="1:9" x14ac:dyDescent="0.25">
      <c r="A4" s="45"/>
    </row>
    <row r="6" spans="1:9" ht="13" x14ac:dyDescent="0.3">
      <c r="A6" s="155" t="s">
        <v>562</v>
      </c>
      <c r="B6" s="154" t="s">
        <v>563</v>
      </c>
      <c r="C6" s="154"/>
      <c r="D6" s="154"/>
      <c r="E6" s="154"/>
      <c r="F6" s="154"/>
    </row>
    <row r="7" spans="1:9" x14ac:dyDescent="0.25">
      <c r="A7" s="156" t="s">
        <v>305</v>
      </c>
      <c r="B7" s="154" t="s">
        <v>319</v>
      </c>
      <c r="C7" s="154"/>
      <c r="D7" s="154"/>
      <c r="E7" s="154"/>
      <c r="F7" s="154"/>
    </row>
    <row r="8" spans="1:9" x14ac:dyDescent="0.25">
      <c r="A8" s="156" t="s">
        <v>306</v>
      </c>
      <c r="B8" s="154" t="s">
        <v>320</v>
      </c>
      <c r="C8" s="154"/>
      <c r="D8" s="154"/>
      <c r="E8" s="154"/>
      <c r="F8" s="154"/>
    </row>
    <row r="9" spans="1:9" x14ac:dyDescent="0.25">
      <c r="A9" s="156" t="s">
        <v>307</v>
      </c>
      <c r="B9" s="154" t="s">
        <v>368</v>
      </c>
      <c r="C9" s="154"/>
      <c r="D9" s="154"/>
      <c r="E9" s="154"/>
      <c r="F9" s="154"/>
    </row>
    <row r="10" spans="1:9" x14ac:dyDescent="0.25">
      <c r="A10" s="156" t="s">
        <v>233</v>
      </c>
      <c r="B10" s="154" t="s">
        <v>369</v>
      </c>
      <c r="C10" s="154"/>
      <c r="D10" s="154"/>
      <c r="E10" s="154"/>
      <c r="F10" s="154"/>
    </row>
    <row r="11" spans="1:9" x14ac:dyDescent="0.25">
      <c r="A11" s="156" t="s">
        <v>308</v>
      </c>
      <c r="B11" s="154" t="s">
        <v>329</v>
      </c>
      <c r="C11" s="154"/>
      <c r="D11" s="154"/>
      <c r="E11" s="154"/>
      <c r="F11" s="154"/>
    </row>
    <row r="12" spans="1:9" x14ac:dyDescent="0.25">
      <c r="A12" s="156" t="s">
        <v>309</v>
      </c>
      <c r="B12" s="154" t="s">
        <v>324</v>
      </c>
      <c r="C12" s="154"/>
      <c r="D12" s="154"/>
      <c r="E12" s="154"/>
      <c r="F12" s="154"/>
    </row>
    <row r="13" spans="1:9" x14ac:dyDescent="0.25">
      <c r="A13" s="156" t="s">
        <v>570</v>
      </c>
      <c r="B13" s="154">
        <v>2</v>
      </c>
      <c r="C13" s="154"/>
      <c r="D13" s="154"/>
      <c r="E13" s="154"/>
      <c r="F13" s="154"/>
    </row>
    <row r="14" spans="1:9" x14ac:dyDescent="0.25">
      <c r="A14" s="156" t="s">
        <v>311</v>
      </c>
      <c r="B14" s="154">
        <v>302</v>
      </c>
      <c r="C14" s="154"/>
      <c r="D14" s="154"/>
      <c r="E14" s="154"/>
      <c r="F14" s="154"/>
    </row>
    <row r="15" spans="1:9" x14ac:dyDescent="0.25">
      <c r="A15" s="156" t="s">
        <v>573</v>
      </c>
      <c r="B15" s="154" t="s">
        <v>372</v>
      </c>
      <c r="C15" s="154"/>
      <c r="D15" s="154"/>
      <c r="E15" s="154"/>
      <c r="F15" s="154"/>
    </row>
    <row r="16" spans="1:9" x14ac:dyDescent="0.25">
      <c r="A16" s="156" t="s">
        <v>313</v>
      </c>
      <c r="B16" s="154" t="s">
        <v>373</v>
      </c>
      <c r="C16" s="154"/>
      <c r="D16" s="154"/>
      <c r="E16" s="154"/>
      <c r="F16" s="154"/>
    </row>
    <row r="17" spans="1:6" ht="66" customHeight="1" x14ac:dyDescent="0.25">
      <c r="A17" s="156" t="s">
        <v>642</v>
      </c>
      <c r="B17" s="154"/>
      <c r="C17" s="154"/>
      <c r="D17" s="154"/>
      <c r="E17" s="154"/>
      <c r="F17" s="154"/>
    </row>
    <row r="18" spans="1:6" x14ac:dyDescent="0.25">
      <c r="A18" s="156" t="s">
        <v>315</v>
      </c>
      <c r="B18" s="157">
        <v>45070</v>
      </c>
      <c r="C18" s="154"/>
      <c r="D18" s="154"/>
      <c r="E18" s="154"/>
      <c r="F18" s="154"/>
    </row>
    <row r="19" spans="1:6" x14ac:dyDescent="0.25">
      <c r="A19" s="156" t="s">
        <v>316</v>
      </c>
      <c r="B19" s="157">
        <v>45014</v>
      </c>
      <c r="C19" s="154"/>
      <c r="D19" s="154"/>
      <c r="E19" s="154"/>
      <c r="F19" s="154"/>
    </row>
    <row r="20" spans="1:6" x14ac:dyDescent="0.25">
      <c r="A20" s="156" t="s">
        <v>317</v>
      </c>
      <c r="B20" s="154" t="s">
        <v>327</v>
      </c>
      <c r="C20" s="154"/>
      <c r="D20" s="154"/>
      <c r="E20" s="154"/>
      <c r="F20" s="154"/>
    </row>
    <row r="21" spans="1:6" x14ac:dyDescent="0.25">
      <c r="A21" s="77" t="s">
        <v>318</v>
      </c>
      <c r="B21" s="154" t="s">
        <v>328</v>
      </c>
      <c r="C21" s="154"/>
      <c r="D21" s="154"/>
      <c r="E21" s="154"/>
      <c r="F21" s="154"/>
    </row>
    <row r="23" spans="1:6" x14ac:dyDescent="0.25">
      <c r="B23" s="91" t="str">
        <f>HYPERLINK("#'Factor List'!A1","Back to Factor List")</f>
        <v>Back to Factor List</v>
      </c>
    </row>
    <row r="24" spans="1:6" x14ac:dyDescent="0.25">
      <c r="B24" s="91" t="s">
        <v>240</v>
      </c>
    </row>
    <row r="25" spans="1:6" x14ac:dyDescent="0.25">
      <c r="B25" s="91"/>
    </row>
    <row r="26" spans="1:6" ht="39" x14ac:dyDescent="0.25">
      <c r="A26" s="87" t="s">
        <v>643</v>
      </c>
      <c r="B26" s="87" t="s">
        <v>653</v>
      </c>
      <c r="C26" s="87" t="s">
        <v>654</v>
      </c>
      <c r="D26" s="87" t="s">
        <v>655</v>
      </c>
      <c r="E26" s="87" t="s">
        <v>656</v>
      </c>
      <c r="F26" s="87" t="s">
        <v>646</v>
      </c>
    </row>
    <row r="27" spans="1:6" x14ac:dyDescent="0.25">
      <c r="A27" s="88">
        <v>50</v>
      </c>
      <c r="B27" s="89">
        <v>26.01</v>
      </c>
      <c r="C27" s="89">
        <v>21.86</v>
      </c>
      <c r="D27" s="89">
        <v>3.58</v>
      </c>
      <c r="E27" s="89"/>
      <c r="F27" s="89">
        <v>0</v>
      </c>
    </row>
    <row r="28" spans="1:6" x14ac:dyDescent="0.25">
      <c r="A28" s="88">
        <v>51</v>
      </c>
      <c r="B28" s="89">
        <v>25.53</v>
      </c>
      <c r="C28" s="89">
        <v>22.23</v>
      </c>
      <c r="D28" s="89">
        <v>3.61</v>
      </c>
      <c r="E28" s="89"/>
      <c r="F28" s="89">
        <v>0</v>
      </c>
    </row>
    <row r="29" spans="1:6" x14ac:dyDescent="0.25">
      <c r="A29" s="88">
        <v>52</v>
      </c>
      <c r="B29" s="89">
        <v>25.03</v>
      </c>
      <c r="C29" s="89">
        <v>22.61</v>
      </c>
      <c r="D29" s="89">
        <v>3.64</v>
      </c>
      <c r="E29" s="89"/>
      <c r="F29" s="89">
        <v>0</v>
      </c>
    </row>
    <row r="30" spans="1:6" x14ac:dyDescent="0.25">
      <c r="A30" s="88">
        <v>53</v>
      </c>
      <c r="B30" s="89">
        <v>24.5</v>
      </c>
      <c r="C30" s="89">
        <v>23.01</v>
      </c>
      <c r="D30" s="89">
        <v>3.67</v>
      </c>
      <c r="E30" s="89"/>
      <c r="F30" s="89">
        <v>0</v>
      </c>
    </row>
    <row r="31" spans="1:6" x14ac:dyDescent="0.25">
      <c r="A31" s="88">
        <v>54</v>
      </c>
      <c r="B31" s="89">
        <v>23.92</v>
      </c>
      <c r="C31" s="89">
        <v>23.41</v>
      </c>
      <c r="D31" s="89">
        <v>3.69</v>
      </c>
      <c r="E31" s="89"/>
      <c r="F31" s="89">
        <v>0</v>
      </c>
    </row>
    <row r="32" spans="1:6" x14ac:dyDescent="0.25">
      <c r="A32" s="88">
        <v>55</v>
      </c>
      <c r="B32" s="89">
        <v>23.33</v>
      </c>
      <c r="C32" s="89"/>
      <c r="D32" s="89">
        <v>3.72</v>
      </c>
      <c r="E32" s="89"/>
      <c r="F32" s="89">
        <v>0</v>
      </c>
    </row>
    <row r="33" spans="1:6" x14ac:dyDescent="0.25">
      <c r="A33" s="88">
        <v>56</v>
      </c>
      <c r="B33" s="89">
        <v>22.74</v>
      </c>
      <c r="C33" s="89"/>
      <c r="D33" s="89">
        <v>3.75</v>
      </c>
      <c r="E33" s="89"/>
      <c r="F33" s="89">
        <v>0</v>
      </c>
    </row>
    <row r="34" spans="1:6" x14ac:dyDescent="0.25">
      <c r="A34" s="88">
        <v>57</v>
      </c>
      <c r="B34" s="89">
        <v>22.14</v>
      </c>
      <c r="C34" s="89"/>
      <c r="D34" s="89">
        <v>3.77</v>
      </c>
      <c r="E34" s="89"/>
      <c r="F34" s="89">
        <v>0</v>
      </c>
    </row>
    <row r="35" spans="1:6" x14ac:dyDescent="0.25">
      <c r="A35" s="88">
        <v>58</v>
      </c>
      <c r="B35" s="89">
        <v>21.54</v>
      </c>
      <c r="C35" s="89"/>
      <c r="D35" s="89">
        <v>3.8</v>
      </c>
      <c r="E35" s="89"/>
      <c r="F35" s="89">
        <v>0</v>
      </c>
    </row>
    <row r="36" spans="1:6" x14ac:dyDescent="0.25">
      <c r="A36" s="88">
        <v>59</v>
      </c>
      <c r="B36" s="89">
        <v>20.93</v>
      </c>
      <c r="C36" s="89"/>
      <c r="D36" s="89">
        <v>3.82</v>
      </c>
      <c r="E36" s="89"/>
      <c r="F36" s="89">
        <v>0</v>
      </c>
    </row>
    <row r="37" spans="1:6" x14ac:dyDescent="0.25">
      <c r="A37" s="88">
        <v>60</v>
      </c>
      <c r="B37" s="89">
        <v>20.32</v>
      </c>
      <c r="C37" s="89"/>
      <c r="D37" s="89">
        <v>3.84</v>
      </c>
      <c r="E37" s="89"/>
      <c r="F37" s="89">
        <v>0</v>
      </c>
    </row>
    <row r="38" spans="1:6" x14ac:dyDescent="0.25">
      <c r="A38" s="88">
        <v>61</v>
      </c>
      <c r="B38" s="89">
        <v>19.7</v>
      </c>
      <c r="C38" s="89"/>
      <c r="D38" s="89">
        <v>3.86</v>
      </c>
      <c r="E38" s="89"/>
      <c r="F38" s="89">
        <v>0</v>
      </c>
    </row>
    <row r="39" spans="1:6" x14ac:dyDescent="0.25">
      <c r="A39" s="88">
        <v>62</v>
      </c>
      <c r="B39" s="89">
        <v>19.079999999999998</v>
      </c>
      <c r="C39" s="89"/>
      <c r="D39" s="89">
        <v>3.87</v>
      </c>
      <c r="E39" s="89"/>
      <c r="F39" s="89">
        <v>0</v>
      </c>
    </row>
    <row r="40" spans="1:6" x14ac:dyDescent="0.25">
      <c r="A40" s="88">
        <v>63</v>
      </c>
      <c r="B40" s="89">
        <v>18.46</v>
      </c>
      <c r="C40" s="89"/>
      <c r="D40" s="89">
        <v>3.88</v>
      </c>
      <c r="E40" s="89"/>
      <c r="F40" s="89">
        <v>0</v>
      </c>
    </row>
    <row r="41" spans="1:6" x14ac:dyDescent="0.25">
      <c r="A41" s="88">
        <v>64</v>
      </c>
      <c r="B41" s="89">
        <v>17.829999999999998</v>
      </c>
      <c r="C41" s="89"/>
      <c r="D41" s="89">
        <v>3.89</v>
      </c>
      <c r="E41" s="89"/>
      <c r="F41" s="89">
        <v>0</v>
      </c>
    </row>
    <row r="42" spans="1:6" x14ac:dyDescent="0.25">
      <c r="A42" s="88">
        <v>65</v>
      </c>
      <c r="B42" s="89">
        <v>17.2</v>
      </c>
      <c r="C42" s="89"/>
      <c r="D42" s="89">
        <v>3.89</v>
      </c>
      <c r="E42" s="89"/>
      <c r="F42" s="89"/>
    </row>
    <row r="43" spans="1:6" x14ac:dyDescent="0.25">
      <c r="A43" s="88">
        <v>66</v>
      </c>
      <c r="B43" s="89">
        <v>16.57</v>
      </c>
      <c r="C43" s="89"/>
      <c r="D43" s="89">
        <v>3.89</v>
      </c>
      <c r="E43" s="89"/>
      <c r="F43" s="89"/>
    </row>
    <row r="44" spans="1:6" x14ac:dyDescent="0.25">
      <c r="A44" s="88">
        <v>67</v>
      </c>
      <c r="B44" s="89">
        <v>15.94</v>
      </c>
      <c r="C44" s="89"/>
      <c r="D44" s="89">
        <v>3.89</v>
      </c>
      <c r="E44" s="89"/>
      <c r="F44" s="89"/>
    </row>
    <row r="45" spans="1:6" x14ac:dyDescent="0.25">
      <c r="A45" s="88">
        <v>68</v>
      </c>
      <c r="B45" s="89">
        <v>15.31</v>
      </c>
      <c r="C45" s="89"/>
      <c r="D45" s="89">
        <v>3.88</v>
      </c>
      <c r="E45" s="89"/>
      <c r="F45" s="89"/>
    </row>
    <row r="46" spans="1:6" x14ac:dyDescent="0.25">
      <c r="A46" s="88">
        <v>69</v>
      </c>
      <c r="B46" s="89">
        <v>14.67</v>
      </c>
      <c r="C46" s="89"/>
      <c r="D46" s="89">
        <v>3.86</v>
      </c>
      <c r="E46" s="89">
        <v>2.82</v>
      </c>
      <c r="F46" s="89"/>
    </row>
    <row r="47" spans="1:6" x14ac:dyDescent="0.25">
      <c r="A47" s="88">
        <v>70</v>
      </c>
      <c r="B47" s="89">
        <v>14.04</v>
      </c>
      <c r="C47" s="89"/>
      <c r="D47" s="89">
        <v>3.84</v>
      </c>
      <c r="E47" s="89">
        <v>2.62</v>
      </c>
      <c r="F47" s="89"/>
    </row>
    <row r="48" spans="1:6" x14ac:dyDescent="0.25">
      <c r="A48" s="88">
        <v>71</v>
      </c>
      <c r="B48" s="89">
        <v>13.42</v>
      </c>
      <c r="C48" s="89"/>
      <c r="D48" s="89">
        <v>3.82</v>
      </c>
      <c r="E48" s="89">
        <v>2.42</v>
      </c>
      <c r="F48" s="89"/>
    </row>
    <row r="49" spans="1:6" x14ac:dyDescent="0.25">
      <c r="A49" s="88">
        <v>72</v>
      </c>
      <c r="B49" s="89">
        <v>12.79</v>
      </c>
      <c r="C49" s="89"/>
      <c r="D49" s="89">
        <v>3.79</v>
      </c>
      <c r="E49" s="89">
        <v>2.23</v>
      </c>
      <c r="F49" s="89"/>
    </row>
    <row r="50" spans="1:6" x14ac:dyDescent="0.25">
      <c r="A50" s="88">
        <v>73</v>
      </c>
      <c r="B50" s="89">
        <v>12.17</v>
      </c>
      <c r="C50" s="89"/>
      <c r="D50" s="89">
        <v>3.75</v>
      </c>
      <c r="E50" s="89">
        <v>2.0499999999999998</v>
      </c>
      <c r="F50" s="89"/>
    </row>
    <row r="51" spans="1:6" x14ac:dyDescent="0.25">
      <c r="A51" s="88">
        <v>74</v>
      </c>
      <c r="B51" s="89">
        <v>11.56</v>
      </c>
      <c r="C51" s="89"/>
      <c r="D51" s="89">
        <v>3.61</v>
      </c>
      <c r="E51" s="89">
        <v>1.88</v>
      </c>
      <c r="F51" s="89"/>
    </row>
    <row r="52" spans="1:6" x14ac:dyDescent="0.25">
      <c r="A52" s="88">
        <v>75</v>
      </c>
      <c r="B52" s="89">
        <v>10.95</v>
      </c>
      <c r="C52" s="89"/>
      <c r="D52" s="89">
        <v>3.47</v>
      </c>
      <c r="E52" s="89">
        <v>1.71</v>
      </c>
      <c r="F52" s="89"/>
    </row>
    <row r="53" spans="1:6" x14ac:dyDescent="0.25">
      <c r="A53" s="88">
        <v>76</v>
      </c>
      <c r="B53" s="89">
        <v>10.36</v>
      </c>
      <c r="C53" s="89"/>
      <c r="D53" s="89">
        <v>3.41</v>
      </c>
      <c r="E53" s="89">
        <v>1.56</v>
      </c>
      <c r="F53" s="89"/>
    </row>
    <row r="54" spans="1:6" x14ac:dyDescent="0.25">
      <c r="A54" s="88">
        <v>77</v>
      </c>
      <c r="B54" s="89">
        <v>9.77</v>
      </c>
      <c r="C54" s="89"/>
      <c r="D54" s="89">
        <v>3.35</v>
      </c>
      <c r="E54" s="89">
        <v>1.41</v>
      </c>
      <c r="F54" s="89"/>
    </row>
    <row r="55" spans="1:6" x14ac:dyDescent="0.25">
      <c r="A55" s="88">
        <v>78</v>
      </c>
      <c r="B55" s="89">
        <v>9.19</v>
      </c>
      <c r="C55" s="89"/>
      <c r="D55" s="89">
        <v>3.29</v>
      </c>
      <c r="E55" s="89">
        <v>1.27</v>
      </c>
      <c r="F55" s="89"/>
    </row>
    <row r="56" spans="1:6" x14ac:dyDescent="0.25">
      <c r="A56" s="88">
        <v>79</v>
      </c>
      <c r="B56" s="89">
        <v>8.6300000000000008</v>
      </c>
      <c r="C56" s="89"/>
      <c r="D56" s="89">
        <v>3.04</v>
      </c>
      <c r="E56" s="89">
        <v>1.1299999999999999</v>
      </c>
      <c r="F56" s="89"/>
    </row>
    <row r="57" spans="1:6" x14ac:dyDescent="0.25">
      <c r="A57" s="88">
        <v>80</v>
      </c>
      <c r="B57" s="89">
        <v>8.09</v>
      </c>
      <c r="C57" s="89"/>
      <c r="D57" s="89">
        <v>2.78</v>
      </c>
      <c r="E57" s="89">
        <v>1.01</v>
      </c>
      <c r="F57" s="89"/>
    </row>
    <row r="58" spans="1:6" x14ac:dyDescent="0.25">
      <c r="A58" s="88">
        <v>81</v>
      </c>
      <c r="B58" s="89">
        <v>7.56</v>
      </c>
      <c r="C58" s="89"/>
      <c r="D58" s="89">
        <v>2.7</v>
      </c>
      <c r="E58" s="89">
        <v>0.9</v>
      </c>
      <c r="F58" s="89"/>
    </row>
    <row r="59" spans="1:6" x14ac:dyDescent="0.25">
      <c r="A59" s="88">
        <v>82</v>
      </c>
      <c r="B59" s="89">
        <v>7.05</v>
      </c>
      <c r="C59" s="89"/>
      <c r="D59" s="89">
        <v>2.61</v>
      </c>
      <c r="E59" s="89">
        <v>0.8</v>
      </c>
      <c r="F59" s="89"/>
    </row>
    <row r="60" spans="1:6" x14ac:dyDescent="0.25">
      <c r="A60" s="88">
        <v>83</v>
      </c>
      <c r="B60" s="89">
        <v>6.56</v>
      </c>
      <c r="C60" s="89"/>
      <c r="D60" s="89">
        <v>2.52</v>
      </c>
      <c r="E60" s="89">
        <v>0.7</v>
      </c>
      <c r="F60" s="89"/>
    </row>
    <row r="61" spans="1:6" x14ac:dyDescent="0.25">
      <c r="A61" s="88">
        <v>84</v>
      </c>
      <c r="B61" s="89">
        <v>6.1</v>
      </c>
      <c r="C61" s="89"/>
      <c r="D61" s="89">
        <v>2.2000000000000002</v>
      </c>
      <c r="E61" s="89">
        <v>0.61</v>
      </c>
      <c r="F61" s="89"/>
    </row>
    <row r="62" spans="1:6" x14ac:dyDescent="0.25">
      <c r="A62" s="88">
        <v>85</v>
      </c>
      <c r="B62" s="89">
        <v>5.65</v>
      </c>
      <c r="C62" s="89"/>
      <c r="D62" s="89">
        <v>1.88</v>
      </c>
      <c r="E62" s="89">
        <v>0.54</v>
      </c>
      <c r="F62" s="89"/>
    </row>
    <row r="63" spans="1:6" x14ac:dyDescent="0.25">
      <c r="A63"/>
      <c r="B63"/>
    </row>
    <row r="64" spans="1:6" x14ac:dyDescent="0.25">
      <c r="A64"/>
      <c r="B64"/>
    </row>
    <row r="65" spans="1:2" x14ac:dyDescent="0.25">
      <c r="A65"/>
      <c r="B65"/>
    </row>
  </sheetData>
  <sheetProtection algorithmName="SHA-512" hashValue="PWQUou5aBjyq36fTOFbcA2BXYbr7qsIyXoBSRi9wfNuiJbC9ApKkAJ556Z64Wd2Tc919lItGIeK2PZV8IITbYg==" saltValue="2zlc5F6NIvFYZUBVv6bUPA==" spinCount="100000" sheet="1" objects="1" scenarios="1"/>
  <conditionalFormatting sqref="A6:A16 A18:A20">
    <cfRule type="expression" dxfId="1283" priority="29" stopIfTrue="1">
      <formula>MOD(ROW(),2)=0</formula>
    </cfRule>
    <cfRule type="expression" dxfId="1282" priority="30" stopIfTrue="1">
      <formula>MOD(ROW(),2)&lt;&gt;0</formula>
    </cfRule>
  </conditionalFormatting>
  <conditionalFormatting sqref="B6:F6 B10:F16 C9:F9 B8:F8 C7:F7 C18:F19 B20:F21">
    <cfRule type="expression" dxfId="1281" priority="31" stopIfTrue="1">
      <formula>MOD(ROW(),2)=0</formula>
    </cfRule>
    <cfRule type="expression" dxfId="1280" priority="32" stopIfTrue="1">
      <formula>MOD(ROW(),2)&lt;&gt;0</formula>
    </cfRule>
  </conditionalFormatting>
  <conditionalFormatting sqref="B9">
    <cfRule type="expression" dxfId="1279" priority="23" stopIfTrue="1">
      <formula>MOD(ROW(),2)=0</formula>
    </cfRule>
    <cfRule type="expression" dxfId="1278" priority="24" stopIfTrue="1">
      <formula>MOD(ROW(),2)&lt;&gt;0</formula>
    </cfRule>
  </conditionalFormatting>
  <conditionalFormatting sqref="B6:F21">
    <cfRule type="expression" dxfId="1277" priority="21" stopIfTrue="1">
      <formula>MOD(ROW(),2)=0</formula>
    </cfRule>
    <cfRule type="expression" dxfId="1276" priority="22" stopIfTrue="1">
      <formula>MOD(ROW(),2)&lt;&gt;0</formula>
    </cfRule>
  </conditionalFormatting>
  <conditionalFormatting sqref="B17">
    <cfRule type="expression" dxfId="1275" priority="17" stopIfTrue="1">
      <formula>MOD(ROW(),2)=0</formula>
    </cfRule>
    <cfRule type="expression" dxfId="1274" priority="18" stopIfTrue="1">
      <formula>MOD(ROW(),2)&lt;&gt;0</formula>
    </cfRule>
  </conditionalFormatting>
  <conditionalFormatting sqref="A17">
    <cfRule type="expression" dxfId="1273" priority="19" stopIfTrue="1">
      <formula>MOD(ROW(),2)=0</formula>
    </cfRule>
    <cfRule type="expression" dxfId="1272" priority="20" stopIfTrue="1">
      <formula>MOD(ROW(),2)&lt;&gt;0</formula>
    </cfRule>
  </conditionalFormatting>
  <conditionalFormatting sqref="B18">
    <cfRule type="expression" dxfId="1271" priority="15" stopIfTrue="1">
      <formula>MOD(ROW(),2)=0</formula>
    </cfRule>
    <cfRule type="expression" dxfId="1270" priority="16" stopIfTrue="1">
      <formula>MOD(ROW(),2)&lt;&gt;0</formula>
    </cfRule>
  </conditionalFormatting>
  <conditionalFormatting sqref="A26:A62">
    <cfRule type="expression" dxfId="1269" priority="9" stopIfTrue="1">
      <formula>MOD(ROW(),2)=0</formula>
    </cfRule>
    <cfRule type="expression" dxfId="1268" priority="10" stopIfTrue="1">
      <formula>MOD(ROW(),2)&lt;&gt;0</formula>
    </cfRule>
  </conditionalFormatting>
  <conditionalFormatting sqref="B26:F62">
    <cfRule type="expression" dxfId="1267" priority="11" stopIfTrue="1">
      <formula>MOD(ROW(),2)=0</formula>
    </cfRule>
    <cfRule type="expression" dxfId="1266" priority="12" stopIfTrue="1">
      <formula>MOD(ROW(),2)&lt;&gt;0</formula>
    </cfRule>
  </conditionalFormatting>
  <conditionalFormatting sqref="C17:F17">
    <cfRule type="expression" dxfId="1265" priority="7" stopIfTrue="1">
      <formula>MOD(ROW(),2)=0</formula>
    </cfRule>
    <cfRule type="expression" dxfId="1264" priority="8" stopIfTrue="1">
      <formula>MOD(ROW(),2)&lt;&gt;0</formula>
    </cfRule>
  </conditionalFormatting>
  <conditionalFormatting sqref="B19">
    <cfRule type="expression" dxfId="1263" priority="5" stopIfTrue="1">
      <formula>MOD(ROW(),2)=0</formula>
    </cfRule>
    <cfRule type="expression" dxfId="1262" priority="6" stopIfTrue="1">
      <formula>MOD(ROW(),2)&lt;&gt;0</formula>
    </cfRule>
  </conditionalFormatting>
  <conditionalFormatting sqref="A21">
    <cfRule type="expression" dxfId="1261" priority="1" stopIfTrue="1">
      <formula>MOD(ROW(),2)=0</formula>
    </cfRule>
    <cfRule type="expression" dxfId="1260" priority="2" stopIfTrue="1">
      <formula>MOD(ROW(),2)&lt;&gt;0</formula>
    </cfRule>
  </conditionalFormatting>
  <hyperlinks>
    <hyperlink ref="B24" location="Assumptions!A1" display="Assumptions" xr:uid="{C24C5A40-949E-4C1C-A65A-A2A6BA804F45}"/>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46"/>
  <dimension ref="A1:I92"/>
  <sheetViews>
    <sheetView showGridLines="0" zoomScale="85" zoomScaleNormal="85" workbookViewId="0">
      <selection activeCell="B18" sqref="B18"/>
    </sheetView>
  </sheetViews>
  <sheetFormatPr defaultColWidth="10" defaultRowHeight="12.5" x14ac:dyDescent="0.25"/>
  <cols>
    <col min="1" max="1" width="31.81640625" style="28" customWidth="1"/>
    <col min="2" max="5" width="22.81640625" style="28" customWidth="1"/>
    <col min="6" max="16384" width="10" style="28"/>
  </cols>
  <sheetData>
    <row r="1" spans="1:9" ht="20" x14ac:dyDescent="0.4">
      <c r="A1" s="40" t="s">
        <v>227</v>
      </c>
      <c r="B1" s="41"/>
      <c r="C1" s="41"/>
      <c r="D1" s="41"/>
      <c r="E1" s="41"/>
      <c r="F1" s="41"/>
      <c r="G1" s="41"/>
      <c r="H1" s="41"/>
      <c r="I1" s="41"/>
    </row>
    <row r="2" spans="1:9" ht="15.5" x14ac:dyDescent="0.35">
      <c r="A2" s="42" t="str">
        <f>IF(title="&gt; Enter workbook title here","Enter workbook title in Cover sheet",title)</f>
        <v>Fire Northern Ireland - Consolidated Factor Spreadsheet</v>
      </c>
      <c r="B2" s="43"/>
      <c r="C2" s="43"/>
      <c r="D2" s="43"/>
      <c r="E2" s="43"/>
      <c r="F2" s="43"/>
      <c r="G2" s="43"/>
      <c r="H2" s="43"/>
      <c r="I2" s="43"/>
    </row>
    <row r="3" spans="1:9" ht="15.5" x14ac:dyDescent="0.35">
      <c r="A3" s="44" t="str">
        <f>TABLE_FACTOR_TYPE_1&amp;" - x-"&amp;TABLE_SERIES_NUMBER_1</f>
        <v>Pensioner Cash Equivalent - x-303</v>
      </c>
      <c r="B3" s="43"/>
      <c r="C3" s="43"/>
      <c r="D3" s="43"/>
      <c r="E3" s="43"/>
      <c r="F3" s="43"/>
      <c r="G3" s="43"/>
      <c r="H3" s="43"/>
      <c r="I3" s="43"/>
    </row>
    <row r="4" spans="1:9" x14ac:dyDescent="0.25">
      <c r="A4" s="45"/>
    </row>
    <row r="6" spans="1:9" ht="13" x14ac:dyDescent="0.3">
      <c r="A6" s="155" t="s">
        <v>562</v>
      </c>
      <c r="B6" s="154" t="s">
        <v>563</v>
      </c>
      <c r="C6" s="154"/>
      <c r="D6" s="154"/>
      <c r="E6" s="154"/>
    </row>
    <row r="7" spans="1:9" x14ac:dyDescent="0.25">
      <c r="A7" s="156" t="s">
        <v>305</v>
      </c>
      <c r="B7" s="154" t="s">
        <v>319</v>
      </c>
      <c r="C7" s="154"/>
      <c r="D7" s="154"/>
      <c r="E7" s="154"/>
    </row>
    <row r="8" spans="1:9" x14ac:dyDescent="0.25">
      <c r="A8" s="156" t="s">
        <v>306</v>
      </c>
      <c r="B8" s="154" t="s">
        <v>320</v>
      </c>
      <c r="C8" s="154"/>
      <c r="D8" s="154"/>
      <c r="E8" s="154"/>
    </row>
    <row r="9" spans="1:9" x14ac:dyDescent="0.25">
      <c r="A9" s="156" t="s">
        <v>307</v>
      </c>
      <c r="B9" s="154" t="s">
        <v>368</v>
      </c>
      <c r="C9" s="154"/>
      <c r="D9" s="154"/>
      <c r="E9" s="154"/>
    </row>
    <row r="10" spans="1:9" x14ac:dyDescent="0.25">
      <c r="A10" s="156" t="s">
        <v>233</v>
      </c>
      <c r="B10" s="154" t="s">
        <v>374</v>
      </c>
      <c r="C10" s="154"/>
      <c r="D10" s="154"/>
      <c r="E10" s="154"/>
    </row>
    <row r="11" spans="1:9" x14ac:dyDescent="0.25">
      <c r="A11" s="156" t="s">
        <v>308</v>
      </c>
      <c r="B11" s="154" t="s">
        <v>323</v>
      </c>
      <c r="C11" s="154"/>
      <c r="D11" s="154"/>
      <c r="E11" s="154"/>
    </row>
    <row r="12" spans="1:9" x14ac:dyDescent="0.25">
      <c r="A12" s="156" t="s">
        <v>309</v>
      </c>
      <c r="B12" s="154" t="s">
        <v>324</v>
      </c>
      <c r="C12" s="154"/>
      <c r="D12" s="154"/>
      <c r="E12" s="154"/>
    </row>
    <row r="13" spans="1:9" x14ac:dyDescent="0.25">
      <c r="A13" s="156" t="s">
        <v>570</v>
      </c>
      <c r="B13" s="154">
        <v>2</v>
      </c>
      <c r="C13" s="154"/>
      <c r="D13" s="154"/>
      <c r="E13" s="154"/>
    </row>
    <row r="14" spans="1:9" x14ac:dyDescent="0.25">
      <c r="A14" s="156" t="s">
        <v>311</v>
      </c>
      <c r="B14" s="154">
        <v>303</v>
      </c>
      <c r="C14" s="154"/>
      <c r="D14" s="154"/>
      <c r="E14" s="154"/>
    </row>
    <row r="15" spans="1:9" x14ac:dyDescent="0.25">
      <c r="A15" s="156" t="s">
        <v>573</v>
      </c>
      <c r="B15" s="154" t="s">
        <v>375</v>
      </c>
      <c r="C15" s="154"/>
      <c r="D15" s="154"/>
      <c r="E15" s="154"/>
    </row>
    <row r="16" spans="1:9" x14ac:dyDescent="0.25">
      <c r="A16" s="156" t="s">
        <v>313</v>
      </c>
      <c r="B16" s="154" t="s">
        <v>376</v>
      </c>
      <c r="C16" s="154"/>
      <c r="D16" s="154"/>
      <c r="E16" s="154"/>
    </row>
    <row r="17" spans="1:6" ht="70.5" customHeight="1" x14ac:dyDescent="0.25">
      <c r="A17" s="156" t="s">
        <v>642</v>
      </c>
      <c r="B17" s="154"/>
      <c r="C17" s="154"/>
      <c r="D17" s="154"/>
      <c r="E17" s="154"/>
      <c r="F17" s="73"/>
    </row>
    <row r="18" spans="1:6" x14ac:dyDescent="0.25">
      <c r="A18" s="156" t="s">
        <v>315</v>
      </c>
      <c r="B18" s="157">
        <v>45070</v>
      </c>
      <c r="C18" s="154"/>
      <c r="D18" s="154"/>
      <c r="E18" s="154"/>
    </row>
    <row r="19" spans="1:6" x14ac:dyDescent="0.25">
      <c r="A19" s="156" t="s">
        <v>316</v>
      </c>
      <c r="B19" s="157">
        <v>45014</v>
      </c>
      <c r="C19" s="154"/>
      <c r="D19" s="154"/>
      <c r="E19" s="154"/>
    </row>
    <row r="20" spans="1:6" x14ac:dyDescent="0.25">
      <c r="A20" s="156" t="s">
        <v>317</v>
      </c>
      <c r="B20" s="154" t="s">
        <v>327</v>
      </c>
      <c r="C20" s="154"/>
      <c r="D20" s="154"/>
      <c r="E20" s="154"/>
    </row>
    <row r="21" spans="1:6" x14ac:dyDescent="0.25">
      <c r="A21" s="77" t="s">
        <v>318</v>
      </c>
      <c r="B21" s="154" t="s">
        <v>328</v>
      </c>
      <c r="C21" s="154"/>
      <c r="D21" s="154"/>
      <c r="E21" s="154"/>
    </row>
    <row r="23" spans="1:6" x14ac:dyDescent="0.25">
      <c r="B23" s="91" t="str">
        <f>HYPERLINK("#'Factor List'!A1","Back to Factor List")</f>
        <v>Back to Factor List</v>
      </c>
    </row>
    <row r="24" spans="1:6" x14ac:dyDescent="0.25">
      <c r="B24" s="91" t="s">
        <v>240</v>
      </c>
    </row>
    <row r="25" spans="1:6" x14ac:dyDescent="0.25">
      <c r="B25" s="91"/>
    </row>
    <row r="26" spans="1:6" ht="39" x14ac:dyDescent="0.25">
      <c r="A26" s="87" t="s">
        <v>643</v>
      </c>
      <c r="B26" s="87" t="s">
        <v>657</v>
      </c>
      <c r="C26" s="87" t="s">
        <v>658</v>
      </c>
      <c r="D26" s="87" t="s">
        <v>659</v>
      </c>
      <c r="E26" s="87" t="s">
        <v>646</v>
      </c>
    </row>
    <row r="27" spans="1:6" x14ac:dyDescent="0.25">
      <c r="A27" s="88">
        <v>20</v>
      </c>
      <c r="B27" s="89">
        <v>39.64</v>
      </c>
      <c r="C27" s="89">
        <v>2.4300000000000002</v>
      </c>
      <c r="D27" s="89"/>
      <c r="E27" s="89">
        <v>0</v>
      </c>
    </row>
    <row r="28" spans="1:6" x14ac:dyDescent="0.25">
      <c r="A28" s="88">
        <v>21</v>
      </c>
      <c r="B28" s="89">
        <v>39.28</v>
      </c>
      <c r="C28" s="89">
        <v>2.4700000000000002</v>
      </c>
      <c r="D28" s="89"/>
      <c r="E28" s="89">
        <v>0</v>
      </c>
    </row>
    <row r="29" spans="1:6" x14ac:dyDescent="0.25">
      <c r="A29" s="88">
        <v>22</v>
      </c>
      <c r="B29" s="89">
        <v>38.92</v>
      </c>
      <c r="C29" s="89">
        <v>2.5099999999999998</v>
      </c>
      <c r="D29" s="89"/>
      <c r="E29" s="89">
        <v>0</v>
      </c>
    </row>
    <row r="30" spans="1:6" x14ac:dyDescent="0.25">
      <c r="A30" s="88">
        <v>23</v>
      </c>
      <c r="B30" s="89">
        <v>38.549999999999997</v>
      </c>
      <c r="C30" s="89">
        <v>2.5499999999999998</v>
      </c>
      <c r="D30" s="89"/>
      <c r="E30" s="89">
        <v>0</v>
      </c>
    </row>
    <row r="31" spans="1:6" x14ac:dyDescent="0.25">
      <c r="A31" s="88">
        <v>24</v>
      </c>
      <c r="B31" s="89">
        <v>38.17</v>
      </c>
      <c r="C31" s="89">
        <v>2.59</v>
      </c>
      <c r="D31" s="89"/>
      <c r="E31" s="89">
        <v>0</v>
      </c>
    </row>
    <row r="32" spans="1:6" x14ac:dyDescent="0.25">
      <c r="A32" s="88">
        <v>25</v>
      </c>
      <c r="B32" s="89">
        <v>37.79</v>
      </c>
      <c r="C32" s="89">
        <v>2.63</v>
      </c>
      <c r="D32" s="89"/>
      <c r="E32" s="89">
        <v>0</v>
      </c>
    </row>
    <row r="33" spans="1:5" x14ac:dyDescent="0.25">
      <c r="A33" s="88">
        <v>26</v>
      </c>
      <c r="B33" s="89">
        <v>37.4</v>
      </c>
      <c r="C33" s="89">
        <v>2.68</v>
      </c>
      <c r="D33" s="89"/>
      <c r="E33" s="89">
        <v>0</v>
      </c>
    </row>
    <row r="34" spans="1:5" x14ac:dyDescent="0.25">
      <c r="A34" s="88">
        <v>27</v>
      </c>
      <c r="B34" s="89">
        <v>37.01</v>
      </c>
      <c r="C34" s="89">
        <v>2.72</v>
      </c>
      <c r="D34" s="89"/>
      <c r="E34" s="89">
        <v>0</v>
      </c>
    </row>
    <row r="35" spans="1:5" x14ac:dyDescent="0.25">
      <c r="A35" s="88">
        <v>28</v>
      </c>
      <c r="B35" s="89">
        <v>36.61</v>
      </c>
      <c r="C35" s="89">
        <v>2.76</v>
      </c>
      <c r="D35" s="89"/>
      <c r="E35" s="89">
        <v>0</v>
      </c>
    </row>
    <row r="36" spans="1:5" x14ac:dyDescent="0.25">
      <c r="A36" s="88">
        <v>29</v>
      </c>
      <c r="B36" s="89">
        <v>36.200000000000003</v>
      </c>
      <c r="C36" s="89">
        <v>2.8</v>
      </c>
      <c r="D36" s="89"/>
      <c r="E36" s="89">
        <v>0</v>
      </c>
    </row>
    <row r="37" spans="1:5" x14ac:dyDescent="0.25">
      <c r="A37" s="88">
        <v>30</v>
      </c>
      <c r="B37" s="89">
        <v>35.79</v>
      </c>
      <c r="C37" s="89">
        <v>2.84</v>
      </c>
      <c r="D37" s="89"/>
      <c r="E37" s="89">
        <v>0</v>
      </c>
    </row>
    <row r="38" spans="1:5" x14ac:dyDescent="0.25">
      <c r="A38" s="88">
        <v>31</v>
      </c>
      <c r="B38" s="89">
        <v>35.369999999999997</v>
      </c>
      <c r="C38" s="89">
        <v>2.88</v>
      </c>
      <c r="D38" s="89"/>
      <c r="E38" s="89">
        <v>0</v>
      </c>
    </row>
    <row r="39" spans="1:5" x14ac:dyDescent="0.25">
      <c r="A39" s="88">
        <v>32</v>
      </c>
      <c r="B39" s="89">
        <v>34.950000000000003</v>
      </c>
      <c r="C39" s="89">
        <v>2.92</v>
      </c>
      <c r="D39" s="89"/>
      <c r="E39" s="89">
        <v>0</v>
      </c>
    </row>
    <row r="40" spans="1:5" x14ac:dyDescent="0.25">
      <c r="A40" s="88">
        <v>33</v>
      </c>
      <c r="B40" s="89">
        <v>34.51</v>
      </c>
      <c r="C40" s="89">
        <v>2.96</v>
      </c>
      <c r="D40" s="89"/>
      <c r="E40" s="89">
        <v>0</v>
      </c>
    </row>
    <row r="41" spans="1:5" x14ac:dyDescent="0.25">
      <c r="A41" s="88">
        <v>34</v>
      </c>
      <c r="B41" s="89">
        <v>34.08</v>
      </c>
      <c r="C41" s="89">
        <v>3</v>
      </c>
      <c r="D41" s="89"/>
      <c r="E41" s="89">
        <v>0</v>
      </c>
    </row>
    <row r="42" spans="1:5" x14ac:dyDescent="0.25">
      <c r="A42" s="88">
        <v>35</v>
      </c>
      <c r="B42" s="89">
        <v>33.630000000000003</v>
      </c>
      <c r="C42" s="89">
        <v>3.04</v>
      </c>
      <c r="D42" s="89"/>
      <c r="E42" s="89">
        <v>0</v>
      </c>
    </row>
    <row r="43" spans="1:5" x14ac:dyDescent="0.25">
      <c r="A43" s="88">
        <v>36</v>
      </c>
      <c r="B43" s="89">
        <v>33.18</v>
      </c>
      <c r="C43" s="89">
        <v>3.08</v>
      </c>
      <c r="D43" s="89"/>
      <c r="E43" s="89">
        <v>0</v>
      </c>
    </row>
    <row r="44" spans="1:5" x14ac:dyDescent="0.25">
      <c r="A44" s="88">
        <v>37</v>
      </c>
      <c r="B44" s="89">
        <v>32.72</v>
      </c>
      <c r="C44" s="89">
        <v>3.12</v>
      </c>
      <c r="D44" s="89"/>
      <c r="E44" s="89">
        <v>0</v>
      </c>
    </row>
    <row r="45" spans="1:5" x14ac:dyDescent="0.25">
      <c r="A45" s="88">
        <v>38</v>
      </c>
      <c r="B45" s="89">
        <v>32.26</v>
      </c>
      <c r="C45" s="89">
        <v>3.16</v>
      </c>
      <c r="D45" s="89"/>
      <c r="E45" s="89">
        <v>0</v>
      </c>
    </row>
    <row r="46" spans="1:5" x14ac:dyDescent="0.25">
      <c r="A46" s="88">
        <v>39</v>
      </c>
      <c r="B46" s="89">
        <v>31.79</v>
      </c>
      <c r="C46" s="89">
        <v>3.2</v>
      </c>
      <c r="D46" s="89"/>
      <c r="E46" s="89">
        <v>0</v>
      </c>
    </row>
    <row r="47" spans="1:5" x14ac:dyDescent="0.25">
      <c r="A47" s="88">
        <v>40</v>
      </c>
      <c r="B47" s="89">
        <v>31.31</v>
      </c>
      <c r="C47" s="89">
        <v>3.24</v>
      </c>
      <c r="D47" s="89"/>
      <c r="E47" s="89">
        <v>0</v>
      </c>
    </row>
    <row r="48" spans="1:5" x14ac:dyDescent="0.25">
      <c r="A48" s="88">
        <v>41</v>
      </c>
      <c r="B48" s="89">
        <v>30.82</v>
      </c>
      <c r="C48" s="89">
        <v>3.27</v>
      </c>
      <c r="D48" s="89"/>
      <c r="E48" s="89">
        <v>0</v>
      </c>
    </row>
    <row r="49" spans="1:5" x14ac:dyDescent="0.25">
      <c r="A49" s="88">
        <v>42</v>
      </c>
      <c r="B49" s="89">
        <v>30.33</v>
      </c>
      <c r="C49" s="89">
        <v>3.31</v>
      </c>
      <c r="D49" s="89"/>
      <c r="E49" s="89">
        <v>0</v>
      </c>
    </row>
    <row r="50" spans="1:5" x14ac:dyDescent="0.25">
      <c r="A50" s="88">
        <v>43</v>
      </c>
      <c r="B50" s="89">
        <v>29.83</v>
      </c>
      <c r="C50" s="89">
        <v>3.35</v>
      </c>
      <c r="D50" s="89"/>
      <c r="E50" s="89">
        <v>0</v>
      </c>
    </row>
    <row r="51" spans="1:5" x14ac:dyDescent="0.25">
      <c r="A51" s="88">
        <v>44</v>
      </c>
      <c r="B51" s="89">
        <v>29.33</v>
      </c>
      <c r="C51" s="89">
        <v>3.38</v>
      </c>
      <c r="D51" s="89"/>
      <c r="E51" s="89">
        <v>0</v>
      </c>
    </row>
    <row r="52" spans="1:5" x14ac:dyDescent="0.25">
      <c r="A52" s="88">
        <v>45</v>
      </c>
      <c r="B52" s="89">
        <v>28.82</v>
      </c>
      <c r="C52" s="89">
        <v>3.42</v>
      </c>
      <c r="D52" s="89"/>
      <c r="E52" s="89">
        <v>0</v>
      </c>
    </row>
    <row r="53" spans="1:5" x14ac:dyDescent="0.25">
      <c r="A53" s="88">
        <v>46</v>
      </c>
      <c r="B53" s="89">
        <v>28.3</v>
      </c>
      <c r="C53" s="89">
        <v>3.45</v>
      </c>
      <c r="D53" s="89"/>
      <c r="E53" s="89">
        <v>0</v>
      </c>
    </row>
    <row r="54" spans="1:5" x14ac:dyDescent="0.25">
      <c r="A54" s="88">
        <v>47</v>
      </c>
      <c r="B54" s="89">
        <v>27.78</v>
      </c>
      <c r="C54" s="89">
        <v>3.48</v>
      </c>
      <c r="D54" s="89"/>
      <c r="E54" s="89">
        <v>0</v>
      </c>
    </row>
    <row r="55" spans="1:5" x14ac:dyDescent="0.25">
      <c r="A55" s="88">
        <v>48</v>
      </c>
      <c r="B55" s="89">
        <v>27.25</v>
      </c>
      <c r="C55" s="89">
        <v>3.51</v>
      </c>
      <c r="D55" s="89"/>
      <c r="E55" s="89">
        <v>0</v>
      </c>
    </row>
    <row r="56" spans="1:5" x14ac:dyDescent="0.25">
      <c r="A56" s="88">
        <v>49</v>
      </c>
      <c r="B56" s="89">
        <v>26.71</v>
      </c>
      <c r="C56" s="89">
        <v>3.55</v>
      </c>
      <c r="D56" s="89"/>
      <c r="E56" s="89">
        <v>0</v>
      </c>
    </row>
    <row r="57" spans="1:5" x14ac:dyDescent="0.25">
      <c r="A57" s="88">
        <v>50</v>
      </c>
      <c r="B57" s="89">
        <v>26.16</v>
      </c>
      <c r="C57" s="89">
        <v>3.58</v>
      </c>
      <c r="D57" s="89"/>
      <c r="E57" s="89">
        <v>0</v>
      </c>
    </row>
    <row r="58" spans="1:5" x14ac:dyDescent="0.25">
      <c r="A58" s="88">
        <v>51</v>
      </c>
      <c r="B58" s="89">
        <v>25.61</v>
      </c>
      <c r="C58" s="89">
        <v>3.61</v>
      </c>
      <c r="D58" s="89"/>
      <c r="E58" s="89">
        <v>0</v>
      </c>
    </row>
    <row r="59" spans="1:5" x14ac:dyDescent="0.25">
      <c r="A59" s="88">
        <v>52</v>
      </c>
      <c r="B59" s="89">
        <v>25.05</v>
      </c>
      <c r="C59" s="89">
        <v>3.64</v>
      </c>
      <c r="D59" s="89"/>
      <c r="E59" s="89">
        <v>0</v>
      </c>
    </row>
    <row r="60" spans="1:5" x14ac:dyDescent="0.25">
      <c r="A60" s="88">
        <v>53</v>
      </c>
      <c r="B60" s="89">
        <v>24.48</v>
      </c>
      <c r="C60" s="89">
        <v>3.67</v>
      </c>
      <c r="D60" s="89"/>
      <c r="E60" s="89">
        <v>0</v>
      </c>
    </row>
    <row r="61" spans="1:5" x14ac:dyDescent="0.25">
      <c r="A61" s="88">
        <v>54</v>
      </c>
      <c r="B61" s="89">
        <v>23.91</v>
      </c>
      <c r="C61" s="89">
        <v>3.69</v>
      </c>
      <c r="D61" s="89"/>
      <c r="E61" s="89">
        <v>0</v>
      </c>
    </row>
    <row r="62" spans="1:5" x14ac:dyDescent="0.25">
      <c r="A62" s="88">
        <v>55</v>
      </c>
      <c r="B62" s="89">
        <v>23.33</v>
      </c>
      <c r="C62" s="89">
        <v>3.72</v>
      </c>
      <c r="D62" s="89"/>
      <c r="E62" s="89">
        <v>0</v>
      </c>
    </row>
    <row r="63" spans="1:5" x14ac:dyDescent="0.25">
      <c r="A63" s="88">
        <v>56</v>
      </c>
      <c r="B63" s="89">
        <v>22.74</v>
      </c>
      <c r="C63" s="89">
        <v>3.75</v>
      </c>
      <c r="D63" s="89"/>
      <c r="E63" s="89">
        <v>0</v>
      </c>
    </row>
    <row r="64" spans="1:5" x14ac:dyDescent="0.25">
      <c r="A64" s="88">
        <v>57</v>
      </c>
      <c r="B64" s="89">
        <v>22.14</v>
      </c>
      <c r="C64" s="89">
        <v>3.77</v>
      </c>
      <c r="D64" s="89"/>
      <c r="E64" s="89">
        <v>0</v>
      </c>
    </row>
    <row r="65" spans="1:5" x14ac:dyDescent="0.25">
      <c r="A65" s="88">
        <v>58</v>
      </c>
      <c r="B65" s="89">
        <v>21.54</v>
      </c>
      <c r="C65" s="89">
        <v>3.8</v>
      </c>
      <c r="D65" s="89"/>
      <c r="E65" s="89">
        <v>0</v>
      </c>
    </row>
    <row r="66" spans="1:5" x14ac:dyDescent="0.25">
      <c r="A66" s="88">
        <v>59</v>
      </c>
      <c r="B66" s="89">
        <v>20.93</v>
      </c>
      <c r="C66" s="89">
        <v>3.82</v>
      </c>
      <c r="D66" s="89"/>
      <c r="E66" s="89">
        <v>0</v>
      </c>
    </row>
    <row r="67" spans="1:5" x14ac:dyDescent="0.25">
      <c r="A67" s="88">
        <v>60</v>
      </c>
      <c r="B67" s="89">
        <v>20.32</v>
      </c>
      <c r="C67" s="89">
        <v>3.84</v>
      </c>
      <c r="D67" s="89"/>
      <c r="E67" s="89">
        <v>0</v>
      </c>
    </row>
    <row r="68" spans="1:5" x14ac:dyDescent="0.25">
      <c r="A68" s="88">
        <v>61</v>
      </c>
      <c r="B68" s="89">
        <v>19.7</v>
      </c>
      <c r="C68" s="89">
        <v>3.86</v>
      </c>
      <c r="D68" s="89"/>
      <c r="E68" s="89">
        <v>0</v>
      </c>
    </row>
    <row r="69" spans="1:5" x14ac:dyDescent="0.25">
      <c r="A69" s="88">
        <v>62</v>
      </c>
      <c r="B69" s="89">
        <v>19.079999999999998</v>
      </c>
      <c r="C69" s="89">
        <v>3.87</v>
      </c>
      <c r="D69" s="89"/>
      <c r="E69" s="89">
        <v>0</v>
      </c>
    </row>
    <row r="70" spans="1:5" x14ac:dyDescent="0.25">
      <c r="A70" s="88">
        <v>63</v>
      </c>
      <c r="B70" s="89">
        <v>18.46</v>
      </c>
      <c r="C70" s="89">
        <v>3.88</v>
      </c>
      <c r="D70" s="89"/>
      <c r="E70" s="89">
        <v>0</v>
      </c>
    </row>
    <row r="71" spans="1:5" x14ac:dyDescent="0.25">
      <c r="A71" s="88">
        <v>64</v>
      </c>
      <c r="B71" s="89">
        <v>17.829999999999998</v>
      </c>
      <c r="C71" s="89">
        <v>3.89</v>
      </c>
      <c r="D71" s="89"/>
      <c r="E71" s="89">
        <v>0</v>
      </c>
    </row>
    <row r="72" spans="1:5" x14ac:dyDescent="0.25">
      <c r="A72" s="88">
        <v>65</v>
      </c>
      <c r="B72" s="89">
        <v>17.2</v>
      </c>
      <c r="C72" s="89">
        <v>3.89</v>
      </c>
      <c r="D72" s="89"/>
      <c r="E72" s="89"/>
    </row>
    <row r="73" spans="1:5" x14ac:dyDescent="0.25">
      <c r="A73" s="88">
        <v>66</v>
      </c>
      <c r="B73" s="89">
        <v>16.57</v>
      </c>
      <c r="C73" s="89">
        <v>3.89</v>
      </c>
      <c r="D73" s="89"/>
      <c r="E73" s="89"/>
    </row>
    <row r="74" spans="1:5" x14ac:dyDescent="0.25">
      <c r="A74" s="88">
        <v>67</v>
      </c>
      <c r="B74" s="89">
        <v>15.94</v>
      </c>
      <c r="C74" s="89">
        <v>3.89</v>
      </c>
      <c r="D74" s="89"/>
      <c r="E74" s="89"/>
    </row>
    <row r="75" spans="1:5" x14ac:dyDescent="0.25">
      <c r="A75" s="88">
        <v>68</v>
      </c>
      <c r="B75" s="89">
        <v>15.31</v>
      </c>
      <c r="C75" s="89">
        <v>3.88</v>
      </c>
      <c r="D75" s="89"/>
      <c r="E75" s="89"/>
    </row>
    <row r="76" spans="1:5" x14ac:dyDescent="0.25">
      <c r="A76" s="88">
        <v>69</v>
      </c>
      <c r="B76" s="89">
        <v>14.67</v>
      </c>
      <c r="C76" s="89">
        <v>3.86</v>
      </c>
      <c r="D76" s="89">
        <v>3.01</v>
      </c>
      <c r="E76" s="89"/>
    </row>
    <row r="77" spans="1:5" x14ac:dyDescent="0.25">
      <c r="A77" s="88">
        <v>70</v>
      </c>
      <c r="B77" s="89">
        <v>14.04</v>
      </c>
      <c r="C77" s="89">
        <v>3.84</v>
      </c>
      <c r="D77" s="89">
        <v>2.8</v>
      </c>
      <c r="E77" s="89"/>
    </row>
    <row r="78" spans="1:5" x14ac:dyDescent="0.25">
      <c r="A78" s="88">
        <v>71</v>
      </c>
      <c r="B78" s="89">
        <v>13.42</v>
      </c>
      <c r="C78" s="89">
        <v>3.82</v>
      </c>
      <c r="D78" s="89">
        <v>2.6</v>
      </c>
      <c r="E78" s="89"/>
    </row>
    <row r="79" spans="1:5" x14ac:dyDescent="0.25">
      <c r="A79" s="88">
        <v>72</v>
      </c>
      <c r="B79" s="89">
        <v>12.79</v>
      </c>
      <c r="C79" s="89">
        <v>3.79</v>
      </c>
      <c r="D79" s="89">
        <v>2.41</v>
      </c>
      <c r="E79" s="89"/>
    </row>
    <row r="80" spans="1:5" x14ac:dyDescent="0.25">
      <c r="A80" s="88">
        <v>73</v>
      </c>
      <c r="B80" s="89">
        <v>12.17</v>
      </c>
      <c r="C80" s="89">
        <v>3.75</v>
      </c>
      <c r="D80" s="89">
        <v>2.23</v>
      </c>
      <c r="E80" s="89"/>
    </row>
    <row r="81" spans="1:5" x14ac:dyDescent="0.25">
      <c r="A81" s="88">
        <v>74</v>
      </c>
      <c r="B81" s="89">
        <v>11.56</v>
      </c>
      <c r="C81" s="89">
        <v>3.61</v>
      </c>
      <c r="D81" s="89">
        <v>2.04</v>
      </c>
      <c r="E81" s="89"/>
    </row>
    <row r="82" spans="1:5" x14ac:dyDescent="0.25">
      <c r="A82" s="88">
        <v>75</v>
      </c>
      <c r="B82" s="89">
        <v>10.95</v>
      </c>
      <c r="C82" s="89">
        <v>3.47</v>
      </c>
      <c r="D82" s="89">
        <v>1.86</v>
      </c>
      <c r="E82" s="89"/>
    </row>
    <row r="83" spans="1:5" x14ac:dyDescent="0.25">
      <c r="A83" s="88">
        <v>76</v>
      </c>
      <c r="B83" s="89">
        <v>10.36</v>
      </c>
      <c r="C83" s="89">
        <v>3.41</v>
      </c>
      <c r="D83" s="89">
        <v>1.7</v>
      </c>
      <c r="E83" s="89"/>
    </row>
    <row r="84" spans="1:5" x14ac:dyDescent="0.25">
      <c r="A84" s="88">
        <v>77</v>
      </c>
      <c r="B84" s="89">
        <v>9.77</v>
      </c>
      <c r="C84" s="89">
        <v>3.35</v>
      </c>
      <c r="D84" s="89">
        <v>1.54</v>
      </c>
      <c r="E84" s="89"/>
    </row>
    <row r="85" spans="1:5" x14ac:dyDescent="0.25">
      <c r="A85" s="88">
        <v>78</v>
      </c>
      <c r="B85" s="89">
        <v>9.19</v>
      </c>
      <c r="C85" s="89">
        <v>3.29</v>
      </c>
      <c r="D85" s="89">
        <v>1.4</v>
      </c>
      <c r="E85" s="89"/>
    </row>
    <row r="86" spans="1:5" x14ac:dyDescent="0.25">
      <c r="A86" s="88">
        <v>79</v>
      </c>
      <c r="B86" s="89">
        <v>8.6300000000000008</v>
      </c>
      <c r="C86" s="89">
        <v>3.04</v>
      </c>
      <c r="D86" s="89">
        <v>1.25</v>
      </c>
      <c r="E86" s="89"/>
    </row>
    <row r="87" spans="1:5" x14ac:dyDescent="0.25">
      <c r="A87" s="88">
        <v>80</v>
      </c>
      <c r="B87" s="89">
        <v>8.09</v>
      </c>
      <c r="C87" s="89">
        <v>2.78</v>
      </c>
      <c r="D87" s="89">
        <v>1.1100000000000001</v>
      </c>
      <c r="E87" s="89"/>
    </row>
    <row r="88" spans="1:5" x14ac:dyDescent="0.25">
      <c r="A88" s="88">
        <v>81</v>
      </c>
      <c r="B88" s="89">
        <v>7.56</v>
      </c>
      <c r="C88" s="89">
        <v>2.7</v>
      </c>
      <c r="D88" s="89">
        <v>0.99</v>
      </c>
      <c r="E88" s="89"/>
    </row>
    <row r="89" spans="1:5" x14ac:dyDescent="0.25">
      <c r="A89" s="88">
        <v>82</v>
      </c>
      <c r="B89" s="89">
        <v>7.05</v>
      </c>
      <c r="C89" s="89">
        <v>2.61</v>
      </c>
      <c r="D89" s="89">
        <v>0.88</v>
      </c>
      <c r="E89" s="89"/>
    </row>
    <row r="90" spans="1:5" x14ac:dyDescent="0.25">
      <c r="A90" s="88">
        <v>83</v>
      </c>
      <c r="B90" s="89">
        <v>6.56</v>
      </c>
      <c r="C90" s="89">
        <v>2.52</v>
      </c>
      <c r="D90" s="89">
        <v>0.79</v>
      </c>
      <c r="E90" s="89"/>
    </row>
    <row r="91" spans="1:5" x14ac:dyDescent="0.25">
      <c r="A91" s="88">
        <v>84</v>
      </c>
      <c r="B91" s="89">
        <v>6.1</v>
      </c>
      <c r="C91" s="89">
        <v>2.2000000000000002</v>
      </c>
      <c r="D91" s="89">
        <v>0.68</v>
      </c>
      <c r="E91" s="89"/>
    </row>
    <row r="92" spans="1:5" x14ac:dyDescent="0.25">
      <c r="A92" s="88">
        <v>85</v>
      </c>
      <c r="B92" s="89">
        <v>5.65</v>
      </c>
      <c r="C92" s="89">
        <v>1.88</v>
      </c>
      <c r="D92" s="89">
        <v>0.57999999999999996</v>
      </c>
      <c r="E92" s="89"/>
    </row>
  </sheetData>
  <sheetProtection algorithmName="SHA-512" hashValue="HLLqzsV+6QydesKOoYMOUoYkD/uxPmQJLQZyeZ05uuCZ7q1xSD74ECJc/EPTBvnbvKqJVv4eQSX1tIaI4l9uYQ==" saltValue="mL0O8quIra6oOViv5yqtEg==" spinCount="100000" sheet="1" objects="1" scenarios="1"/>
  <conditionalFormatting sqref="A6:A16 A18:A20">
    <cfRule type="expression" dxfId="1259" priority="31" stopIfTrue="1">
      <formula>MOD(ROW(),2)=0</formula>
    </cfRule>
    <cfRule type="expression" dxfId="1258" priority="32" stopIfTrue="1">
      <formula>MOD(ROW(),2)&lt;&gt;0</formula>
    </cfRule>
  </conditionalFormatting>
  <conditionalFormatting sqref="B6:E6 B10:E16 C9:E9 B8:E8 C7:E7 C18:E19 B20:E21">
    <cfRule type="expression" dxfId="1257" priority="33" stopIfTrue="1">
      <formula>MOD(ROW(),2)=0</formula>
    </cfRule>
    <cfRule type="expression" dxfId="1256" priority="34" stopIfTrue="1">
      <formula>MOD(ROW(),2)&lt;&gt;0</formula>
    </cfRule>
  </conditionalFormatting>
  <conditionalFormatting sqref="B9">
    <cfRule type="expression" dxfId="1255" priority="25" stopIfTrue="1">
      <formula>MOD(ROW(),2)=0</formula>
    </cfRule>
    <cfRule type="expression" dxfId="1254" priority="26" stopIfTrue="1">
      <formula>MOD(ROW(),2)&lt;&gt;0</formula>
    </cfRule>
  </conditionalFormatting>
  <conditionalFormatting sqref="B6:E21">
    <cfRule type="expression" dxfId="1253" priority="23" stopIfTrue="1">
      <formula>MOD(ROW(),2)=0</formula>
    </cfRule>
    <cfRule type="expression" dxfId="1252" priority="24" stopIfTrue="1">
      <formula>MOD(ROW(),2)&lt;&gt;0</formula>
    </cfRule>
  </conditionalFormatting>
  <conditionalFormatting sqref="B17">
    <cfRule type="expression" dxfId="1251" priority="19" stopIfTrue="1">
      <formula>MOD(ROW(),2)=0</formula>
    </cfRule>
    <cfRule type="expression" dxfId="1250" priority="20" stopIfTrue="1">
      <formula>MOD(ROW(),2)&lt;&gt;0</formula>
    </cfRule>
  </conditionalFormatting>
  <conditionalFormatting sqref="A17">
    <cfRule type="expression" dxfId="1249" priority="21" stopIfTrue="1">
      <formula>MOD(ROW(),2)=0</formula>
    </cfRule>
    <cfRule type="expression" dxfId="1248" priority="22" stopIfTrue="1">
      <formula>MOD(ROW(),2)&lt;&gt;0</formula>
    </cfRule>
  </conditionalFormatting>
  <conditionalFormatting sqref="B18">
    <cfRule type="expression" dxfId="1247" priority="17" stopIfTrue="1">
      <formula>MOD(ROW(),2)=0</formula>
    </cfRule>
    <cfRule type="expression" dxfId="1246" priority="18" stopIfTrue="1">
      <formula>MOD(ROW(),2)&lt;&gt;0</formula>
    </cfRule>
  </conditionalFormatting>
  <conditionalFormatting sqref="A26:A92">
    <cfRule type="expression" dxfId="1245" priority="11" stopIfTrue="1">
      <formula>MOD(ROW(),2)=0</formula>
    </cfRule>
    <cfRule type="expression" dxfId="1244" priority="12" stopIfTrue="1">
      <formula>MOD(ROW(),2)&lt;&gt;0</formula>
    </cfRule>
  </conditionalFormatting>
  <conditionalFormatting sqref="B26:E75 B76:C92 E76:E92">
    <cfRule type="expression" dxfId="1243" priority="13" stopIfTrue="1">
      <formula>MOD(ROW(),2)=0</formula>
    </cfRule>
    <cfRule type="expression" dxfId="1242" priority="14" stopIfTrue="1">
      <formula>MOD(ROW(),2)&lt;&gt;0</formula>
    </cfRule>
  </conditionalFormatting>
  <conditionalFormatting sqref="D76:D92">
    <cfRule type="expression" dxfId="1241" priority="9" stopIfTrue="1">
      <formula>MOD(ROW(),2)=0</formula>
    </cfRule>
    <cfRule type="expression" dxfId="1240" priority="10" stopIfTrue="1">
      <formula>MOD(ROW(),2)&lt;&gt;0</formula>
    </cfRule>
  </conditionalFormatting>
  <conditionalFormatting sqref="C17:E17">
    <cfRule type="expression" dxfId="1239" priority="7" stopIfTrue="1">
      <formula>MOD(ROW(),2)=0</formula>
    </cfRule>
    <cfRule type="expression" dxfId="1238" priority="8" stopIfTrue="1">
      <formula>MOD(ROW(),2)&lt;&gt;0</formula>
    </cfRule>
  </conditionalFormatting>
  <conditionalFormatting sqref="B19">
    <cfRule type="expression" dxfId="1237" priority="5" stopIfTrue="1">
      <formula>MOD(ROW(),2)=0</formula>
    </cfRule>
    <cfRule type="expression" dxfId="1236" priority="6" stopIfTrue="1">
      <formula>MOD(ROW(),2)&lt;&gt;0</formula>
    </cfRule>
  </conditionalFormatting>
  <conditionalFormatting sqref="A21">
    <cfRule type="expression" dxfId="1235" priority="1" stopIfTrue="1">
      <formula>MOD(ROW(),2)=0</formula>
    </cfRule>
    <cfRule type="expression" dxfId="1234" priority="2" stopIfTrue="1">
      <formula>MOD(ROW(),2)&lt;&gt;0</formula>
    </cfRule>
  </conditionalFormatting>
  <hyperlinks>
    <hyperlink ref="B24" location="Assumptions!A1" display="Assumptions" xr:uid="{275CBBF3-8796-460B-BF17-83B99CF21972}"/>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47"/>
  <dimension ref="A1:I92"/>
  <sheetViews>
    <sheetView showGridLines="0" zoomScale="85" zoomScaleNormal="85" workbookViewId="0">
      <selection activeCell="B18" sqref="B18"/>
    </sheetView>
  </sheetViews>
  <sheetFormatPr defaultColWidth="10" defaultRowHeight="12.5" x14ac:dyDescent="0.25"/>
  <cols>
    <col min="1" max="1" width="31.81640625" style="28" customWidth="1"/>
    <col min="2" max="5" width="22.81640625" style="28" customWidth="1"/>
    <col min="6" max="16384" width="10" style="28"/>
  </cols>
  <sheetData>
    <row r="1" spans="1:9" ht="20" x14ac:dyDescent="0.4">
      <c r="A1" s="40" t="s">
        <v>227</v>
      </c>
      <c r="B1" s="41"/>
      <c r="C1" s="41"/>
      <c r="D1" s="41"/>
      <c r="E1" s="41"/>
      <c r="F1" s="41"/>
      <c r="G1" s="41"/>
      <c r="H1" s="41"/>
      <c r="I1" s="41"/>
    </row>
    <row r="2" spans="1:9" ht="15.5" x14ac:dyDescent="0.35">
      <c r="A2" s="42" t="str">
        <f>IF(title="&gt; Enter workbook title here","Enter workbook title in Cover sheet",title)</f>
        <v>Fire Northern Ireland - Consolidated Factor Spreadsheet</v>
      </c>
      <c r="B2" s="43"/>
      <c r="C2" s="43"/>
      <c r="D2" s="43"/>
      <c r="E2" s="43"/>
      <c r="F2" s="43"/>
      <c r="G2" s="43"/>
      <c r="H2" s="43"/>
      <c r="I2" s="43"/>
    </row>
    <row r="3" spans="1:9" ht="15.5" x14ac:dyDescent="0.35">
      <c r="A3" s="44" t="str">
        <f>TABLE_FACTOR_TYPE_1&amp;" - x-"&amp;TABLE_SERIES_NUMBER_1</f>
        <v>Pensioner Cash Equivalent - x-304</v>
      </c>
      <c r="B3" s="43"/>
      <c r="C3" s="43"/>
      <c r="D3" s="43"/>
      <c r="E3" s="43"/>
      <c r="F3" s="43"/>
      <c r="G3" s="43"/>
      <c r="H3" s="43"/>
      <c r="I3" s="43"/>
    </row>
    <row r="4" spans="1:9" x14ac:dyDescent="0.25">
      <c r="A4" s="45"/>
    </row>
    <row r="6" spans="1:9" ht="13" x14ac:dyDescent="0.3">
      <c r="A6" s="155" t="s">
        <v>562</v>
      </c>
      <c r="B6" s="154" t="s">
        <v>563</v>
      </c>
      <c r="C6" s="154"/>
      <c r="D6" s="154"/>
      <c r="E6" s="154"/>
    </row>
    <row r="7" spans="1:9" x14ac:dyDescent="0.25">
      <c r="A7" s="156" t="s">
        <v>305</v>
      </c>
      <c r="B7" s="154" t="s">
        <v>319</v>
      </c>
      <c r="C7" s="154"/>
      <c r="D7" s="154"/>
      <c r="E7" s="154"/>
    </row>
    <row r="8" spans="1:9" x14ac:dyDescent="0.25">
      <c r="A8" s="156" t="s">
        <v>306</v>
      </c>
      <c r="B8" s="154" t="s">
        <v>320</v>
      </c>
      <c r="C8" s="154"/>
      <c r="D8" s="154"/>
      <c r="E8" s="154"/>
    </row>
    <row r="9" spans="1:9" x14ac:dyDescent="0.25">
      <c r="A9" s="156" t="s">
        <v>307</v>
      </c>
      <c r="B9" s="154" t="s">
        <v>368</v>
      </c>
      <c r="C9" s="154"/>
      <c r="D9" s="154"/>
      <c r="E9" s="154"/>
    </row>
    <row r="10" spans="1:9" x14ac:dyDescent="0.25">
      <c r="A10" s="156" t="s">
        <v>233</v>
      </c>
      <c r="B10" s="154" t="s">
        <v>374</v>
      </c>
      <c r="C10" s="154"/>
      <c r="D10" s="154"/>
      <c r="E10" s="154"/>
    </row>
    <row r="11" spans="1:9" x14ac:dyDescent="0.25">
      <c r="A11" s="156" t="s">
        <v>308</v>
      </c>
      <c r="B11" s="154" t="s">
        <v>329</v>
      </c>
      <c r="C11" s="154"/>
      <c r="D11" s="154"/>
      <c r="E11" s="154"/>
    </row>
    <row r="12" spans="1:9" x14ac:dyDescent="0.25">
      <c r="A12" s="156" t="s">
        <v>309</v>
      </c>
      <c r="B12" s="154" t="s">
        <v>324</v>
      </c>
      <c r="C12" s="154"/>
      <c r="D12" s="154"/>
      <c r="E12" s="154"/>
    </row>
    <row r="13" spans="1:9" x14ac:dyDescent="0.25">
      <c r="A13" s="156" t="s">
        <v>570</v>
      </c>
      <c r="B13" s="154">
        <v>2</v>
      </c>
      <c r="C13" s="154"/>
      <c r="D13" s="154"/>
      <c r="E13" s="154"/>
    </row>
    <row r="14" spans="1:9" x14ac:dyDescent="0.25">
      <c r="A14" s="156" t="s">
        <v>311</v>
      </c>
      <c r="B14" s="154">
        <v>304</v>
      </c>
      <c r="C14" s="154"/>
      <c r="D14" s="154"/>
      <c r="E14" s="154"/>
    </row>
    <row r="15" spans="1:9" x14ac:dyDescent="0.25">
      <c r="A15" s="156" t="s">
        <v>573</v>
      </c>
      <c r="B15" s="154" t="s">
        <v>377</v>
      </c>
      <c r="C15" s="154"/>
      <c r="D15" s="154"/>
      <c r="E15" s="154"/>
    </row>
    <row r="16" spans="1:9" x14ac:dyDescent="0.25">
      <c r="A16" s="156" t="s">
        <v>313</v>
      </c>
      <c r="B16" s="154" t="s">
        <v>378</v>
      </c>
      <c r="C16" s="154"/>
      <c r="D16" s="154"/>
      <c r="E16" s="154"/>
    </row>
    <row r="17" spans="1:5" ht="64.5" customHeight="1" x14ac:dyDescent="0.25">
      <c r="A17" s="156" t="s">
        <v>642</v>
      </c>
      <c r="B17" s="154"/>
      <c r="C17" s="154"/>
      <c r="D17" s="154"/>
      <c r="E17" s="154"/>
    </row>
    <row r="18" spans="1:5" x14ac:dyDescent="0.25">
      <c r="A18" s="156" t="s">
        <v>315</v>
      </c>
      <c r="B18" s="157">
        <v>45070</v>
      </c>
      <c r="C18" s="154"/>
      <c r="D18" s="154"/>
      <c r="E18" s="154"/>
    </row>
    <row r="19" spans="1:5" x14ac:dyDescent="0.25">
      <c r="A19" s="156" t="s">
        <v>316</v>
      </c>
      <c r="B19" s="157">
        <v>45014</v>
      </c>
      <c r="C19" s="154"/>
      <c r="D19" s="154"/>
      <c r="E19" s="154"/>
    </row>
    <row r="20" spans="1:5" x14ac:dyDescent="0.25">
      <c r="A20" s="156" t="s">
        <v>317</v>
      </c>
      <c r="B20" s="154" t="s">
        <v>327</v>
      </c>
      <c r="C20" s="154"/>
      <c r="D20" s="154"/>
      <c r="E20" s="154"/>
    </row>
    <row r="21" spans="1:5" x14ac:dyDescent="0.25">
      <c r="A21" s="77" t="s">
        <v>318</v>
      </c>
      <c r="B21" s="154" t="s">
        <v>328</v>
      </c>
      <c r="C21" s="154"/>
      <c r="D21" s="154"/>
      <c r="E21" s="154"/>
    </row>
    <row r="23" spans="1:5" x14ac:dyDescent="0.25">
      <c r="B23" s="91" t="str">
        <f>HYPERLINK("#'Factor List'!A1","Back to Factor List")</f>
        <v>Back to Factor List</v>
      </c>
    </row>
    <row r="24" spans="1:5" x14ac:dyDescent="0.25">
      <c r="B24" s="91" t="s">
        <v>240</v>
      </c>
    </row>
    <row r="25" spans="1:5" x14ac:dyDescent="0.25">
      <c r="B25" s="91"/>
    </row>
    <row r="26" spans="1:5" ht="39" x14ac:dyDescent="0.25">
      <c r="A26" s="87" t="s">
        <v>643</v>
      </c>
      <c r="B26" s="87" t="s">
        <v>657</v>
      </c>
      <c r="C26" s="87" t="s">
        <v>658</v>
      </c>
      <c r="D26" s="87" t="s">
        <v>659</v>
      </c>
      <c r="E26" s="87" t="s">
        <v>646</v>
      </c>
    </row>
    <row r="27" spans="1:5" x14ac:dyDescent="0.25">
      <c r="A27" s="88">
        <v>20</v>
      </c>
      <c r="B27" s="89">
        <v>39.64</v>
      </c>
      <c r="C27" s="89">
        <v>2.4300000000000002</v>
      </c>
      <c r="D27" s="89"/>
      <c r="E27" s="89">
        <v>0</v>
      </c>
    </row>
    <row r="28" spans="1:5" x14ac:dyDescent="0.25">
      <c r="A28" s="88">
        <v>21</v>
      </c>
      <c r="B28" s="89">
        <v>39.28</v>
      </c>
      <c r="C28" s="89">
        <v>2.4700000000000002</v>
      </c>
      <c r="D28" s="89"/>
      <c r="E28" s="89">
        <v>0</v>
      </c>
    </row>
    <row r="29" spans="1:5" x14ac:dyDescent="0.25">
      <c r="A29" s="88">
        <v>22</v>
      </c>
      <c r="B29" s="89">
        <v>38.92</v>
      </c>
      <c r="C29" s="89">
        <v>2.5099999999999998</v>
      </c>
      <c r="D29" s="89"/>
      <c r="E29" s="89">
        <v>0</v>
      </c>
    </row>
    <row r="30" spans="1:5" x14ac:dyDescent="0.25">
      <c r="A30" s="88">
        <v>23</v>
      </c>
      <c r="B30" s="89">
        <v>38.549999999999997</v>
      </c>
      <c r="C30" s="89">
        <v>2.5499999999999998</v>
      </c>
      <c r="D30" s="89"/>
      <c r="E30" s="89">
        <v>0</v>
      </c>
    </row>
    <row r="31" spans="1:5" x14ac:dyDescent="0.25">
      <c r="A31" s="88">
        <v>24</v>
      </c>
      <c r="B31" s="89">
        <v>38.17</v>
      </c>
      <c r="C31" s="89">
        <v>2.59</v>
      </c>
      <c r="D31" s="89"/>
      <c r="E31" s="89">
        <v>0</v>
      </c>
    </row>
    <row r="32" spans="1:5" x14ac:dyDescent="0.25">
      <c r="A32" s="88">
        <v>25</v>
      </c>
      <c r="B32" s="89">
        <v>37.79</v>
      </c>
      <c r="C32" s="89">
        <v>2.63</v>
      </c>
      <c r="D32" s="89"/>
      <c r="E32" s="89">
        <v>0</v>
      </c>
    </row>
    <row r="33" spans="1:5" x14ac:dyDescent="0.25">
      <c r="A33" s="88">
        <v>26</v>
      </c>
      <c r="B33" s="89">
        <v>37.4</v>
      </c>
      <c r="C33" s="89">
        <v>2.68</v>
      </c>
      <c r="D33" s="89"/>
      <c r="E33" s="89">
        <v>0</v>
      </c>
    </row>
    <row r="34" spans="1:5" x14ac:dyDescent="0.25">
      <c r="A34" s="88">
        <v>27</v>
      </c>
      <c r="B34" s="89">
        <v>37.01</v>
      </c>
      <c r="C34" s="89">
        <v>2.72</v>
      </c>
      <c r="D34" s="89"/>
      <c r="E34" s="89">
        <v>0</v>
      </c>
    </row>
    <row r="35" spans="1:5" x14ac:dyDescent="0.25">
      <c r="A35" s="88">
        <v>28</v>
      </c>
      <c r="B35" s="89">
        <v>36.61</v>
      </c>
      <c r="C35" s="89">
        <v>2.76</v>
      </c>
      <c r="D35" s="89"/>
      <c r="E35" s="89">
        <v>0</v>
      </c>
    </row>
    <row r="36" spans="1:5" x14ac:dyDescent="0.25">
      <c r="A36" s="88">
        <v>29</v>
      </c>
      <c r="B36" s="89">
        <v>36.200000000000003</v>
      </c>
      <c r="C36" s="89">
        <v>2.8</v>
      </c>
      <c r="D36" s="89"/>
      <c r="E36" s="89">
        <v>0</v>
      </c>
    </row>
    <row r="37" spans="1:5" x14ac:dyDescent="0.25">
      <c r="A37" s="88">
        <v>30</v>
      </c>
      <c r="B37" s="89">
        <v>35.79</v>
      </c>
      <c r="C37" s="89">
        <v>2.84</v>
      </c>
      <c r="D37" s="89"/>
      <c r="E37" s="89">
        <v>0</v>
      </c>
    </row>
    <row r="38" spans="1:5" x14ac:dyDescent="0.25">
      <c r="A38" s="88">
        <v>31</v>
      </c>
      <c r="B38" s="89">
        <v>35.369999999999997</v>
      </c>
      <c r="C38" s="89">
        <v>2.88</v>
      </c>
      <c r="D38" s="89"/>
      <c r="E38" s="89">
        <v>0</v>
      </c>
    </row>
    <row r="39" spans="1:5" x14ac:dyDescent="0.25">
      <c r="A39" s="88">
        <v>32</v>
      </c>
      <c r="B39" s="89">
        <v>34.950000000000003</v>
      </c>
      <c r="C39" s="89">
        <v>2.92</v>
      </c>
      <c r="D39" s="89"/>
      <c r="E39" s="89">
        <v>0</v>
      </c>
    </row>
    <row r="40" spans="1:5" x14ac:dyDescent="0.25">
      <c r="A40" s="88">
        <v>33</v>
      </c>
      <c r="B40" s="89">
        <v>34.51</v>
      </c>
      <c r="C40" s="89">
        <v>2.96</v>
      </c>
      <c r="D40" s="89"/>
      <c r="E40" s="89">
        <v>0</v>
      </c>
    </row>
    <row r="41" spans="1:5" x14ac:dyDescent="0.25">
      <c r="A41" s="88">
        <v>34</v>
      </c>
      <c r="B41" s="89">
        <v>34.08</v>
      </c>
      <c r="C41" s="89">
        <v>3</v>
      </c>
      <c r="D41" s="89"/>
      <c r="E41" s="89">
        <v>0</v>
      </c>
    </row>
    <row r="42" spans="1:5" x14ac:dyDescent="0.25">
      <c r="A42" s="88">
        <v>35</v>
      </c>
      <c r="B42" s="89">
        <v>33.630000000000003</v>
      </c>
      <c r="C42" s="89">
        <v>3.04</v>
      </c>
      <c r="D42" s="89"/>
      <c r="E42" s="89">
        <v>0</v>
      </c>
    </row>
    <row r="43" spans="1:5" x14ac:dyDescent="0.25">
      <c r="A43" s="88">
        <v>36</v>
      </c>
      <c r="B43" s="89">
        <v>33.18</v>
      </c>
      <c r="C43" s="89">
        <v>3.08</v>
      </c>
      <c r="D43" s="89"/>
      <c r="E43" s="89">
        <v>0</v>
      </c>
    </row>
    <row r="44" spans="1:5" x14ac:dyDescent="0.25">
      <c r="A44" s="88">
        <v>37</v>
      </c>
      <c r="B44" s="89">
        <v>32.72</v>
      </c>
      <c r="C44" s="89">
        <v>3.12</v>
      </c>
      <c r="D44" s="89"/>
      <c r="E44" s="89">
        <v>0</v>
      </c>
    </row>
    <row r="45" spans="1:5" x14ac:dyDescent="0.25">
      <c r="A45" s="88">
        <v>38</v>
      </c>
      <c r="B45" s="89">
        <v>32.26</v>
      </c>
      <c r="C45" s="89">
        <v>3.16</v>
      </c>
      <c r="D45" s="89"/>
      <c r="E45" s="89">
        <v>0</v>
      </c>
    </row>
    <row r="46" spans="1:5" x14ac:dyDescent="0.25">
      <c r="A46" s="88">
        <v>39</v>
      </c>
      <c r="B46" s="89">
        <v>31.79</v>
      </c>
      <c r="C46" s="89">
        <v>3.2</v>
      </c>
      <c r="D46" s="89"/>
      <c r="E46" s="89">
        <v>0</v>
      </c>
    </row>
    <row r="47" spans="1:5" x14ac:dyDescent="0.25">
      <c r="A47" s="88">
        <v>40</v>
      </c>
      <c r="B47" s="89">
        <v>31.31</v>
      </c>
      <c r="C47" s="89">
        <v>3.24</v>
      </c>
      <c r="D47" s="89"/>
      <c r="E47" s="89">
        <v>0</v>
      </c>
    </row>
    <row r="48" spans="1:5" x14ac:dyDescent="0.25">
      <c r="A48" s="88">
        <v>41</v>
      </c>
      <c r="B48" s="89">
        <v>30.82</v>
      </c>
      <c r="C48" s="89">
        <v>3.27</v>
      </c>
      <c r="D48" s="89"/>
      <c r="E48" s="89">
        <v>0</v>
      </c>
    </row>
    <row r="49" spans="1:5" x14ac:dyDescent="0.25">
      <c r="A49" s="88">
        <v>42</v>
      </c>
      <c r="B49" s="89">
        <v>30.33</v>
      </c>
      <c r="C49" s="89">
        <v>3.31</v>
      </c>
      <c r="D49" s="89"/>
      <c r="E49" s="89">
        <v>0</v>
      </c>
    </row>
    <row r="50" spans="1:5" x14ac:dyDescent="0.25">
      <c r="A50" s="88">
        <v>43</v>
      </c>
      <c r="B50" s="89">
        <v>29.83</v>
      </c>
      <c r="C50" s="89">
        <v>3.35</v>
      </c>
      <c r="D50" s="89"/>
      <c r="E50" s="89">
        <v>0</v>
      </c>
    </row>
    <row r="51" spans="1:5" x14ac:dyDescent="0.25">
      <c r="A51" s="88">
        <v>44</v>
      </c>
      <c r="B51" s="89">
        <v>29.33</v>
      </c>
      <c r="C51" s="89">
        <v>3.38</v>
      </c>
      <c r="D51" s="89"/>
      <c r="E51" s="89">
        <v>0</v>
      </c>
    </row>
    <row r="52" spans="1:5" x14ac:dyDescent="0.25">
      <c r="A52" s="88">
        <v>45</v>
      </c>
      <c r="B52" s="89">
        <v>28.82</v>
      </c>
      <c r="C52" s="89">
        <v>3.42</v>
      </c>
      <c r="D52" s="89"/>
      <c r="E52" s="89">
        <v>0</v>
      </c>
    </row>
    <row r="53" spans="1:5" x14ac:dyDescent="0.25">
      <c r="A53" s="88">
        <v>46</v>
      </c>
      <c r="B53" s="89">
        <v>28.3</v>
      </c>
      <c r="C53" s="89">
        <v>3.45</v>
      </c>
      <c r="D53" s="89"/>
      <c r="E53" s="89">
        <v>0</v>
      </c>
    </row>
    <row r="54" spans="1:5" x14ac:dyDescent="0.25">
      <c r="A54" s="88">
        <v>47</v>
      </c>
      <c r="B54" s="89">
        <v>27.78</v>
      </c>
      <c r="C54" s="89">
        <v>3.48</v>
      </c>
      <c r="D54" s="89"/>
      <c r="E54" s="89">
        <v>0</v>
      </c>
    </row>
    <row r="55" spans="1:5" x14ac:dyDescent="0.25">
      <c r="A55" s="88">
        <v>48</v>
      </c>
      <c r="B55" s="89">
        <v>27.25</v>
      </c>
      <c r="C55" s="89">
        <v>3.51</v>
      </c>
      <c r="D55" s="89"/>
      <c r="E55" s="89">
        <v>0</v>
      </c>
    </row>
    <row r="56" spans="1:5" x14ac:dyDescent="0.25">
      <c r="A56" s="88">
        <v>49</v>
      </c>
      <c r="B56" s="89">
        <v>26.71</v>
      </c>
      <c r="C56" s="89">
        <v>3.55</v>
      </c>
      <c r="D56" s="89"/>
      <c r="E56" s="89">
        <v>0</v>
      </c>
    </row>
    <row r="57" spans="1:5" x14ac:dyDescent="0.25">
      <c r="A57" s="88">
        <v>50</v>
      </c>
      <c r="B57" s="89">
        <v>26.16</v>
      </c>
      <c r="C57" s="89">
        <v>3.58</v>
      </c>
      <c r="D57" s="89"/>
      <c r="E57" s="89">
        <v>0</v>
      </c>
    </row>
    <row r="58" spans="1:5" x14ac:dyDescent="0.25">
      <c r="A58" s="88">
        <v>51</v>
      </c>
      <c r="B58" s="89">
        <v>25.61</v>
      </c>
      <c r="C58" s="89">
        <v>3.61</v>
      </c>
      <c r="D58" s="89"/>
      <c r="E58" s="89">
        <v>0</v>
      </c>
    </row>
    <row r="59" spans="1:5" x14ac:dyDescent="0.25">
      <c r="A59" s="88">
        <v>52</v>
      </c>
      <c r="B59" s="89">
        <v>25.05</v>
      </c>
      <c r="C59" s="89">
        <v>3.64</v>
      </c>
      <c r="D59" s="89"/>
      <c r="E59" s="89">
        <v>0</v>
      </c>
    </row>
    <row r="60" spans="1:5" x14ac:dyDescent="0.25">
      <c r="A60" s="88">
        <v>53</v>
      </c>
      <c r="B60" s="89">
        <v>24.48</v>
      </c>
      <c r="C60" s="89">
        <v>3.67</v>
      </c>
      <c r="D60" s="89"/>
      <c r="E60" s="89">
        <v>0</v>
      </c>
    </row>
    <row r="61" spans="1:5" x14ac:dyDescent="0.25">
      <c r="A61" s="88">
        <v>54</v>
      </c>
      <c r="B61" s="89">
        <v>23.91</v>
      </c>
      <c r="C61" s="89">
        <v>3.69</v>
      </c>
      <c r="D61" s="89"/>
      <c r="E61" s="89">
        <v>0</v>
      </c>
    </row>
    <row r="62" spans="1:5" x14ac:dyDescent="0.25">
      <c r="A62" s="88">
        <v>55</v>
      </c>
      <c r="B62" s="89">
        <v>23.33</v>
      </c>
      <c r="C62" s="89">
        <v>3.72</v>
      </c>
      <c r="D62" s="89"/>
      <c r="E62" s="89">
        <v>0</v>
      </c>
    </row>
    <row r="63" spans="1:5" x14ac:dyDescent="0.25">
      <c r="A63" s="88">
        <v>56</v>
      </c>
      <c r="B63" s="89">
        <v>22.74</v>
      </c>
      <c r="C63" s="89">
        <v>3.75</v>
      </c>
      <c r="D63" s="89"/>
      <c r="E63" s="89">
        <v>0</v>
      </c>
    </row>
    <row r="64" spans="1:5" x14ac:dyDescent="0.25">
      <c r="A64" s="88">
        <v>57</v>
      </c>
      <c r="B64" s="89">
        <v>22.14</v>
      </c>
      <c r="C64" s="89">
        <v>3.77</v>
      </c>
      <c r="D64" s="89"/>
      <c r="E64" s="89">
        <v>0</v>
      </c>
    </row>
    <row r="65" spans="1:5" x14ac:dyDescent="0.25">
      <c r="A65" s="88">
        <v>58</v>
      </c>
      <c r="B65" s="89">
        <v>21.54</v>
      </c>
      <c r="C65" s="89">
        <v>3.8</v>
      </c>
      <c r="D65" s="89"/>
      <c r="E65" s="89">
        <v>0</v>
      </c>
    </row>
    <row r="66" spans="1:5" x14ac:dyDescent="0.25">
      <c r="A66" s="88">
        <v>59</v>
      </c>
      <c r="B66" s="89">
        <v>20.93</v>
      </c>
      <c r="C66" s="89">
        <v>3.82</v>
      </c>
      <c r="D66" s="89"/>
      <c r="E66" s="89">
        <v>0</v>
      </c>
    </row>
    <row r="67" spans="1:5" x14ac:dyDescent="0.25">
      <c r="A67" s="88">
        <v>60</v>
      </c>
      <c r="B67" s="89">
        <v>20.32</v>
      </c>
      <c r="C67" s="89">
        <v>3.84</v>
      </c>
      <c r="D67" s="89"/>
      <c r="E67" s="89">
        <v>0</v>
      </c>
    </row>
    <row r="68" spans="1:5" x14ac:dyDescent="0.25">
      <c r="A68" s="88">
        <v>61</v>
      </c>
      <c r="B68" s="89">
        <v>19.7</v>
      </c>
      <c r="C68" s="89">
        <v>3.86</v>
      </c>
      <c r="D68" s="89"/>
      <c r="E68" s="89">
        <v>0</v>
      </c>
    </row>
    <row r="69" spans="1:5" x14ac:dyDescent="0.25">
      <c r="A69" s="88">
        <v>62</v>
      </c>
      <c r="B69" s="89">
        <v>19.079999999999998</v>
      </c>
      <c r="C69" s="89">
        <v>3.87</v>
      </c>
      <c r="D69" s="89"/>
      <c r="E69" s="89">
        <v>0</v>
      </c>
    </row>
    <row r="70" spans="1:5" x14ac:dyDescent="0.25">
      <c r="A70" s="88">
        <v>63</v>
      </c>
      <c r="B70" s="89">
        <v>18.46</v>
      </c>
      <c r="C70" s="89">
        <v>3.88</v>
      </c>
      <c r="D70" s="89"/>
      <c r="E70" s="89">
        <v>0</v>
      </c>
    </row>
    <row r="71" spans="1:5" x14ac:dyDescent="0.25">
      <c r="A71" s="88">
        <v>64</v>
      </c>
      <c r="B71" s="89">
        <v>17.829999999999998</v>
      </c>
      <c r="C71" s="89">
        <v>3.89</v>
      </c>
      <c r="D71" s="89"/>
      <c r="E71" s="89">
        <v>0</v>
      </c>
    </row>
    <row r="72" spans="1:5" x14ac:dyDescent="0.25">
      <c r="A72" s="88">
        <v>65</v>
      </c>
      <c r="B72" s="89">
        <v>17.2</v>
      </c>
      <c r="C72" s="89">
        <v>3.89</v>
      </c>
      <c r="D72" s="89"/>
      <c r="E72" s="89"/>
    </row>
    <row r="73" spans="1:5" x14ac:dyDescent="0.25">
      <c r="A73" s="88">
        <v>66</v>
      </c>
      <c r="B73" s="89">
        <v>16.57</v>
      </c>
      <c r="C73" s="89">
        <v>3.89</v>
      </c>
      <c r="D73" s="89"/>
      <c r="E73" s="89"/>
    </row>
    <row r="74" spans="1:5" x14ac:dyDescent="0.25">
      <c r="A74" s="88">
        <v>67</v>
      </c>
      <c r="B74" s="89">
        <v>15.94</v>
      </c>
      <c r="C74" s="89">
        <v>3.89</v>
      </c>
      <c r="D74" s="89"/>
      <c r="E74" s="89"/>
    </row>
    <row r="75" spans="1:5" x14ac:dyDescent="0.25">
      <c r="A75" s="88">
        <v>68</v>
      </c>
      <c r="B75" s="89">
        <v>15.31</v>
      </c>
      <c r="C75" s="89">
        <v>3.88</v>
      </c>
      <c r="D75" s="89"/>
      <c r="E75" s="89"/>
    </row>
    <row r="76" spans="1:5" x14ac:dyDescent="0.25">
      <c r="A76" s="88">
        <v>69</v>
      </c>
      <c r="B76" s="89">
        <v>14.67</v>
      </c>
      <c r="C76" s="89">
        <v>3.86</v>
      </c>
      <c r="D76" s="89">
        <v>2.82</v>
      </c>
      <c r="E76" s="89"/>
    </row>
    <row r="77" spans="1:5" x14ac:dyDescent="0.25">
      <c r="A77" s="88">
        <v>70</v>
      </c>
      <c r="B77" s="89">
        <v>14.04</v>
      </c>
      <c r="C77" s="89">
        <v>3.84</v>
      </c>
      <c r="D77" s="89">
        <v>2.62</v>
      </c>
      <c r="E77" s="89"/>
    </row>
    <row r="78" spans="1:5" x14ac:dyDescent="0.25">
      <c r="A78" s="88">
        <v>71</v>
      </c>
      <c r="B78" s="89">
        <v>13.42</v>
      </c>
      <c r="C78" s="89">
        <v>3.82</v>
      </c>
      <c r="D78" s="89">
        <v>2.42</v>
      </c>
      <c r="E78" s="89"/>
    </row>
    <row r="79" spans="1:5" x14ac:dyDescent="0.25">
      <c r="A79" s="88">
        <v>72</v>
      </c>
      <c r="B79" s="89">
        <v>12.79</v>
      </c>
      <c r="C79" s="89">
        <v>3.79</v>
      </c>
      <c r="D79" s="89">
        <v>2.23</v>
      </c>
      <c r="E79" s="89"/>
    </row>
    <row r="80" spans="1:5" x14ac:dyDescent="0.25">
      <c r="A80" s="88">
        <v>73</v>
      </c>
      <c r="B80" s="89">
        <v>12.17</v>
      </c>
      <c r="C80" s="89">
        <v>3.75</v>
      </c>
      <c r="D80" s="89">
        <v>2.0499999999999998</v>
      </c>
      <c r="E80" s="89"/>
    </row>
    <row r="81" spans="1:5" x14ac:dyDescent="0.25">
      <c r="A81" s="88">
        <v>74</v>
      </c>
      <c r="B81" s="89">
        <v>11.56</v>
      </c>
      <c r="C81" s="89">
        <v>3.61</v>
      </c>
      <c r="D81" s="89">
        <v>1.88</v>
      </c>
      <c r="E81" s="89"/>
    </row>
    <row r="82" spans="1:5" x14ac:dyDescent="0.25">
      <c r="A82" s="88">
        <v>75</v>
      </c>
      <c r="B82" s="89">
        <v>10.95</v>
      </c>
      <c r="C82" s="89">
        <v>3.47</v>
      </c>
      <c r="D82" s="89">
        <v>1.71</v>
      </c>
      <c r="E82" s="89"/>
    </row>
    <row r="83" spans="1:5" x14ac:dyDescent="0.25">
      <c r="A83" s="88">
        <v>76</v>
      </c>
      <c r="B83" s="89">
        <v>10.36</v>
      </c>
      <c r="C83" s="89">
        <v>3.41</v>
      </c>
      <c r="D83" s="89">
        <v>1.56</v>
      </c>
      <c r="E83" s="89"/>
    </row>
    <row r="84" spans="1:5" x14ac:dyDescent="0.25">
      <c r="A84" s="88">
        <v>77</v>
      </c>
      <c r="B84" s="89">
        <v>9.77</v>
      </c>
      <c r="C84" s="89">
        <v>3.35</v>
      </c>
      <c r="D84" s="89">
        <v>1.41</v>
      </c>
      <c r="E84" s="89"/>
    </row>
    <row r="85" spans="1:5" x14ac:dyDescent="0.25">
      <c r="A85" s="88">
        <v>78</v>
      </c>
      <c r="B85" s="89">
        <v>9.19</v>
      </c>
      <c r="C85" s="89">
        <v>3.29</v>
      </c>
      <c r="D85" s="89">
        <v>1.27</v>
      </c>
      <c r="E85" s="89"/>
    </row>
    <row r="86" spans="1:5" x14ac:dyDescent="0.25">
      <c r="A86" s="88">
        <v>79</v>
      </c>
      <c r="B86" s="89">
        <v>8.6300000000000008</v>
      </c>
      <c r="C86" s="89">
        <v>3.04</v>
      </c>
      <c r="D86" s="89">
        <v>1.1299999999999999</v>
      </c>
      <c r="E86" s="89"/>
    </row>
    <row r="87" spans="1:5" x14ac:dyDescent="0.25">
      <c r="A87" s="88">
        <v>80</v>
      </c>
      <c r="B87" s="89">
        <v>8.09</v>
      </c>
      <c r="C87" s="89">
        <v>2.78</v>
      </c>
      <c r="D87" s="89">
        <v>1.01</v>
      </c>
      <c r="E87" s="89"/>
    </row>
    <row r="88" spans="1:5" x14ac:dyDescent="0.25">
      <c r="A88" s="88">
        <v>81</v>
      </c>
      <c r="B88" s="89">
        <v>7.56</v>
      </c>
      <c r="C88" s="89">
        <v>2.7</v>
      </c>
      <c r="D88" s="89">
        <v>0.9</v>
      </c>
      <c r="E88" s="89"/>
    </row>
    <row r="89" spans="1:5" x14ac:dyDescent="0.25">
      <c r="A89" s="88">
        <v>82</v>
      </c>
      <c r="B89" s="89">
        <v>7.05</v>
      </c>
      <c r="C89" s="89">
        <v>2.61</v>
      </c>
      <c r="D89" s="89">
        <v>0.8</v>
      </c>
      <c r="E89" s="89"/>
    </row>
    <row r="90" spans="1:5" x14ac:dyDescent="0.25">
      <c r="A90" s="88">
        <v>83</v>
      </c>
      <c r="B90" s="89">
        <v>6.56</v>
      </c>
      <c r="C90" s="89">
        <v>2.52</v>
      </c>
      <c r="D90" s="89">
        <v>0.7</v>
      </c>
      <c r="E90" s="89"/>
    </row>
    <row r="91" spans="1:5" x14ac:dyDescent="0.25">
      <c r="A91" s="88">
        <v>84</v>
      </c>
      <c r="B91" s="89">
        <v>6.1</v>
      </c>
      <c r="C91" s="89">
        <v>2.2000000000000002</v>
      </c>
      <c r="D91" s="89">
        <v>0.61</v>
      </c>
      <c r="E91" s="89"/>
    </row>
    <row r="92" spans="1:5" x14ac:dyDescent="0.25">
      <c r="A92" s="88">
        <v>85</v>
      </c>
      <c r="B92" s="89">
        <v>5.65</v>
      </c>
      <c r="C92" s="89">
        <v>1.88</v>
      </c>
      <c r="D92" s="89">
        <v>0.54</v>
      </c>
      <c r="E92" s="89"/>
    </row>
  </sheetData>
  <sheetProtection algorithmName="SHA-512" hashValue="Sg09036+3cRLkqxTuX1+6XqVoY8oDn+Iqm/DyKGdQ7vg+uVjKyTUYzi+HxDMr6zGAlyps3PBTqegndcAy80z1A==" saltValue="iAvc/MADmn0R+xXKzzgdrw==" spinCount="100000" sheet="1" objects="1" scenarios="1"/>
  <conditionalFormatting sqref="A6:A16 A18:A20">
    <cfRule type="expression" dxfId="1233" priority="31" stopIfTrue="1">
      <formula>MOD(ROW(),2)=0</formula>
    </cfRule>
    <cfRule type="expression" dxfId="1232" priority="32" stopIfTrue="1">
      <formula>MOD(ROW(),2)&lt;&gt;0</formula>
    </cfRule>
  </conditionalFormatting>
  <conditionalFormatting sqref="B6:E6 B10:E16 C9:E9 B8:E8 C7:E7 C18:E19 B20:E21">
    <cfRule type="expression" dxfId="1231" priority="33" stopIfTrue="1">
      <formula>MOD(ROW(),2)=0</formula>
    </cfRule>
    <cfRule type="expression" dxfId="1230" priority="34" stopIfTrue="1">
      <formula>MOD(ROW(),2)&lt;&gt;0</formula>
    </cfRule>
  </conditionalFormatting>
  <conditionalFormatting sqref="B9">
    <cfRule type="expression" dxfId="1229" priority="25" stopIfTrue="1">
      <formula>MOD(ROW(),2)=0</formula>
    </cfRule>
    <cfRule type="expression" dxfId="1228" priority="26" stopIfTrue="1">
      <formula>MOD(ROW(),2)&lt;&gt;0</formula>
    </cfRule>
  </conditionalFormatting>
  <conditionalFormatting sqref="B6:E21">
    <cfRule type="expression" dxfId="1227" priority="23" stopIfTrue="1">
      <formula>MOD(ROW(),2)=0</formula>
    </cfRule>
    <cfRule type="expression" dxfId="1226" priority="24" stopIfTrue="1">
      <formula>MOD(ROW(),2)&lt;&gt;0</formula>
    </cfRule>
  </conditionalFormatting>
  <conditionalFormatting sqref="B17">
    <cfRule type="expression" dxfId="1225" priority="19" stopIfTrue="1">
      <formula>MOD(ROW(),2)=0</formula>
    </cfRule>
    <cfRule type="expression" dxfId="1224" priority="20" stopIfTrue="1">
      <formula>MOD(ROW(),2)&lt;&gt;0</formula>
    </cfRule>
  </conditionalFormatting>
  <conditionalFormatting sqref="A17">
    <cfRule type="expression" dxfId="1223" priority="21" stopIfTrue="1">
      <formula>MOD(ROW(),2)=0</formula>
    </cfRule>
    <cfRule type="expression" dxfId="1222" priority="22" stopIfTrue="1">
      <formula>MOD(ROW(),2)&lt;&gt;0</formula>
    </cfRule>
  </conditionalFormatting>
  <conditionalFormatting sqref="B18">
    <cfRule type="expression" dxfId="1221" priority="17" stopIfTrue="1">
      <formula>MOD(ROW(),2)=0</formula>
    </cfRule>
    <cfRule type="expression" dxfId="1220" priority="18" stopIfTrue="1">
      <formula>MOD(ROW(),2)&lt;&gt;0</formula>
    </cfRule>
  </conditionalFormatting>
  <conditionalFormatting sqref="A26:A92">
    <cfRule type="expression" dxfId="1219" priority="11" stopIfTrue="1">
      <formula>MOD(ROW(),2)=0</formula>
    </cfRule>
    <cfRule type="expression" dxfId="1218" priority="12" stopIfTrue="1">
      <formula>MOD(ROW(),2)&lt;&gt;0</formula>
    </cfRule>
  </conditionalFormatting>
  <conditionalFormatting sqref="B26:E75 B76:C92 E76:E92">
    <cfRule type="expression" dxfId="1217" priority="13" stopIfTrue="1">
      <formula>MOD(ROW(),2)=0</formula>
    </cfRule>
    <cfRule type="expression" dxfId="1216" priority="14" stopIfTrue="1">
      <formula>MOD(ROW(),2)&lt;&gt;0</formula>
    </cfRule>
  </conditionalFormatting>
  <conditionalFormatting sqref="D76:D92">
    <cfRule type="expression" dxfId="1215" priority="9" stopIfTrue="1">
      <formula>MOD(ROW(),2)=0</formula>
    </cfRule>
    <cfRule type="expression" dxfId="1214" priority="10" stopIfTrue="1">
      <formula>MOD(ROW(),2)&lt;&gt;0</formula>
    </cfRule>
  </conditionalFormatting>
  <conditionalFormatting sqref="C17:E17">
    <cfRule type="expression" dxfId="1213" priority="7" stopIfTrue="1">
      <formula>MOD(ROW(),2)=0</formula>
    </cfRule>
    <cfRule type="expression" dxfId="1212" priority="8" stopIfTrue="1">
      <formula>MOD(ROW(),2)&lt;&gt;0</formula>
    </cfRule>
  </conditionalFormatting>
  <conditionalFormatting sqref="B19">
    <cfRule type="expression" dxfId="1211" priority="5" stopIfTrue="1">
      <formula>MOD(ROW(),2)=0</formula>
    </cfRule>
    <cfRule type="expression" dxfId="1210" priority="6" stopIfTrue="1">
      <formula>MOD(ROW(),2)&lt;&gt;0</formula>
    </cfRule>
  </conditionalFormatting>
  <conditionalFormatting sqref="A21">
    <cfRule type="expression" dxfId="1209" priority="1" stopIfTrue="1">
      <formula>MOD(ROW(),2)=0</formula>
    </cfRule>
    <cfRule type="expression" dxfId="1208" priority="2" stopIfTrue="1">
      <formula>MOD(ROW(),2)&lt;&gt;0</formula>
    </cfRule>
  </conditionalFormatting>
  <hyperlinks>
    <hyperlink ref="B24" location="Assumptions!A1" display="Assumptions" xr:uid="{598E5A3B-87A1-4206-9C9C-082CFC7B5D71}"/>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rgb="FF00B050"/>
  </sheetPr>
  <dimension ref="A1:M12"/>
  <sheetViews>
    <sheetView showGridLines="0" workbookViewId="0">
      <selection activeCell="P12" sqref="P12"/>
    </sheetView>
  </sheetViews>
  <sheetFormatPr defaultRowHeight="12.5" x14ac:dyDescent="0.25"/>
  <sheetData>
    <row r="1" spans="1:13" ht="20" x14ac:dyDescent="0.4">
      <c r="A1" s="4" t="s">
        <v>227</v>
      </c>
      <c r="B1" s="4"/>
      <c r="C1" s="4"/>
      <c r="D1" s="4"/>
      <c r="E1" s="4"/>
      <c r="F1" s="4"/>
      <c r="G1" s="4"/>
      <c r="H1" s="4"/>
      <c r="I1" s="4"/>
      <c r="J1" s="4"/>
      <c r="K1" s="4"/>
      <c r="L1" s="4"/>
      <c r="M1" s="4"/>
    </row>
    <row r="2" spans="1:13" ht="15.5" x14ac:dyDescent="0.35">
      <c r="A2" s="5" t="str">
        <f>IF(title="&gt; Enter workbook title here","Enter workbook title in Cover sheet",title)</f>
        <v>Fire Northern Ireland - Consolidated Factor Spreadsheet</v>
      </c>
      <c r="B2" s="5"/>
      <c r="C2" s="5"/>
      <c r="D2" s="5"/>
      <c r="E2" s="5"/>
      <c r="F2" s="5"/>
      <c r="G2" s="5"/>
      <c r="H2" s="5"/>
      <c r="I2" s="5"/>
      <c r="J2" s="5"/>
      <c r="K2" s="5"/>
      <c r="L2" s="5"/>
      <c r="M2" s="5"/>
    </row>
    <row r="3" spans="1:13" ht="15.5" x14ac:dyDescent="0.35">
      <c r="A3" s="6" t="s">
        <v>258</v>
      </c>
      <c r="B3" s="6"/>
      <c r="C3" s="6"/>
      <c r="D3" s="6"/>
      <c r="E3" s="6"/>
      <c r="F3" s="6"/>
      <c r="G3" s="6"/>
      <c r="H3" s="6"/>
      <c r="I3" s="6"/>
      <c r="J3" s="6"/>
      <c r="K3" s="6"/>
      <c r="L3" s="6"/>
      <c r="M3" s="6"/>
    </row>
    <row r="4" spans="1:13" x14ac:dyDescent="0.25">
      <c r="A4" s="7" t="str">
        <f ca="1">CELL("filename",A1)</f>
        <v>https://tris42.sharepoint.com/sites/gad_wrkgrp_actuarial/pspsactuarialwork/Central/Factors &amp; Guidance/2024 Guidance Review/4. Online portal/3. Import data/3. Factor tables/0_client_friendly/Ready to be uploaded/2025-03/[Fire NI Consolidated Factors 2025-02.xlsm]Purpose of spreadsheet</v>
      </c>
      <c r="B4" s="7"/>
    </row>
    <row r="5" spans="1:13" x14ac:dyDescent="0.25">
      <c r="E5" s="8"/>
      <c r="F5" s="8"/>
      <c r="G5" s="8"/>
    </row>
    <row r="7" spans="1:13" ht="13.4" customHeight="1" x14ac:dyDescent="0.35">
      <c r="A7" s="165" t="s">
        <v>259</v>
      </c>
      <c r="B7" s="166"/>
      <c r="C7" s="166"/>
      <c r="D7" s="166"/>
      <c r="E7" s="166"/>
      <c r="F7" s="166"/>
      <c r="G7" s="166"/>
      <c r="H7" s="166"/>
      <c r="I7" s="166"/>
      <c r="J7" s="166"/>
      <c r="K7" s="166"/>
      <c r="L7" s="166"/>
      <c r="M7" s="167"/>
    </row>
    <row r="8" spans="1:13" x14ac:dyDescent="0.25">
      <c r="A8" s="29"/>
      <c r="M8" s="18"/>
    </row>
    <row r="9" spans="1:13" ht="12.75" customHeight="1" x14ac:dyDescent="0.25">
      <c r="A9" s="168" t="s">
        <v>260</v>
      </c>
      <c r="B9" s="169"/>
      <c r="C9" s="169"/>
      <c r="D9" s="169"/>
      <c r="E9" s="169"/>
      <c r="F9" s="169"/>
      <c r="G9" s="169"/>
      <c r="H9" s="169"/>
      <c r="I9" s="169"/>
      <c r="J9" s="169"/>
      <c r="K9" s="169"/>
      <c r="L9" s="169"/>
      <c r="M9" s="170"/>
    </row>
    <row r="10" spans="1:13" ht="22.5" customHeight="1" x14ac:dyDescent="0.25">
      <c r="A10" s="168"/>
      <c r="B10" s="169"/>
      <c r="C10" s="169"/>
      <c r="D10" s="169"/>
      <c r="E10" s="169"/>
      <c r="F10" s="169"/>
      <c r="G10" s="169"/>
      <c r="H10" s="169"/>
      <c r="I10" s="169"/>
      <c r="J10" s="169"/>
      <c r="K10" s="169"/>
      <c r="L10" s="169"/>
      <c r="M10" s="170"/>
    </row>
    <row r="11" spans="1:13" ht="31.5" customHeight="1" x14ac:dyDescent="0.25">
      <c r="A11" s="168"/>
      <c r="B11" s="169"/>
      <c r="C11" s="169"/>
      <c r="D11" s="169"/>
      <c r="E11" s="169"/>
      <c r="F11" s="169"/>
      <c r="G11" s="169"/>
      <c r="H11" s="169"/>
      <c r="I11" s="169"/>
      <c r="J11" s="169"/>
      <c r="K11" s="169"/>
      <c r="L11" s="169"/>
      <c r="M11" s="170"/>
    </row>
    <row r="12" spans="1:13" ht="133.75" customHeight="1" x14ac:dyDescent="0.25">
      <c r="A12" s="171"/>
      <c r="B12" s="172"/>
      <c r="C12" s="172"/>
      <c r="D12" s="172"/>
      <c r="E12" s="172"/>
      <c r="F12" s="172"/>
      <c r="G12" s="172"/>
      <c r="H12" s="172"/>
      <c r="I12" s="172"/>
      <c r="J12" s="172"/>
      <c r="K12" s="172"/>
      <c r="L12" s="172"/>
      <c r="M12" s="173"/>
    </row>
  </sheetData>
  <sheetProtection algorithmName="SHA-512" hashValue="4T7Xz2WF2Ussrcb7FoJ66cTUvHAF21eZa1NfH84gxNsnz9QdiQ3TAY09SZWb+vF/FwaG9tghDZ7N41i9F3HufA==" saltValue="f21jFo3AP/xTb0LMie93Tg==" spinCount="100000" sheet="1" objects="1" scenarios="1"/>
  <mergeCells count="2">
    <mergeCell ref="A7:M7"/>
    <mergeCell ref="A9:M12"/>
  </mergeCells>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48"/>
  <dimension ref="A1:I65"/>
  <sheetViews>
    <sheetView showGridLines="0" zoomScale="85" zoomScaleNormal="85" workbookViewId="0">
      <selection activeCell="B18" sqref="B18"/>
    </sheetView>
  </sheetViews>
  <sheetFormatPr defaultColWidth="10" defaultRowHeight="12.5" x14ac:dyDescent="0.25"/>
  <cols>
    <col min="1" max="1" width="31.81640625" style="28" customWidth="1"/>
    <col min="2" max="4" width="22.81640625" style="28" customWidth="1"/>
    <col min="5" max="16384" width="10" style="28"/>
  </cols>
  <sheetData>
    <row r="1" spans="1:9" ht="20" x14ac:dyDescent="0.4">
      <c r="A1" s="40" t="s">
        <v>227</v>
      </c>
      <c r="B1" s="41"/>
      <c r="C1" s="41"/>
      <c r="D1" s="41"/>
      <c r="E1" s="41"/>
      <c r="F1" s="41"/>
      <c r="G1" s="41"/>
      <c r="H1" s="41"/>
      <c r="I1" s="41"/>
    </row>
    <row r="2" spans="1:9" ht="15.5" x14ac:dyDescent="0.35">
      <c r="A2" s="42" t="str">
        <f>IF(title="&gt; Enter workbook title here","Enter workbook title in Cover sheet",title)</f>
        <v>Fire Northern Ireland - Consolidated Factor Spreadsheet</v>
      </c>
      <c r="B2" s="43"/>
      <c r="C2" s="43"/>
      <c r="D2" s="43"/>
      <c r="E2" s="43"/>
      <c r="F2" s="43"/>
      <c r="G2" s="43"/>
      <c r="H2" s="43"/>
      <c r="I2" s="43"/>
    </row>
    <row r="3" spans="1:9" ht="15.5" x14ac:dyDescent="0.35">
      <c r="A3" s="44" t="str">
        <f>TABLE_FACTOR_TYPE_1&amp;" - x-"&amp;TABLE_SERIES_NUMBER_1</f>
        <v>Pensioner Cash Equivalent - x-305</v>
      </c>
      <c r="B3" s="43"/>
      <c r="C3" s="43"/>
      <c r="D3" s="43"/>
      <c r="E3" s="43"/>
      <c r="F3" s="43"/>
      <c r="G3" s="43"/>
      <c r="H3" s="43"/>
      <c r="I3" s="43"/>
    </row>
    <row r="4" spans="1:9" x14ac:dyDescent="0.25">
      <c r="A4" s="45"/>
    </row>
    <row r="6" spans="1:9" ht="13" x14ac:dyDescent="0.3">
      <c r="A6" s="155" t="s">
        <v>562</v>
      </c>
      <c r="B6" s="154" t="s">
        <v>563</v>
      </c>
      <c r="C6" s="154"/>
      <c r="D6" s="154"/>
    </row>
    <row r="7" spans="1:9" x14ac:dyDescent="0.25">
      <c r="A7" s="156" t="s">
        <v>305</v>
      </c>
      <c r="B7" s="154" t="s">
        <v>319</v>
      </c>
      <c r="C7" s="154"/>
      <c r="D7" s="154"/>
    </row>
    <row r="8" spans="1:9" x14ac:dyDescent="0.25">
      <c r="A8" s="156" t="s">
        <v>306</v>
      </c>
      <c r="B8" s="154" t="s">
        <v>332</v>
      </c>
      <c r="C8" s="154"/>
      <c r="D8" s="154"/>
    </row>
    <row r="9" spans="1:9" x14ac:dyDescent="0.25">
      <c r="A9" s="156" t="s">
        <v>307</v>
      </c>
      <c r="B9" s="154" t="s">
        <v>368</v>
      </c>
      <c r="C9" s="154"/>
      <c r="D9" s="154"/>
    </row>
    <row r="10" spans="1:9" x14ac:dyDescent="0.25">
      <c r="A10" s="156" t="s">
        <v>233</v>
      </c>
      <c r="B10" s="154" t="s">
        <v>369</v>
      </c>
      <c r="C10" s="154"/>
      <c r="D10" s="154"/>
    </row>
    <row r="11" spans="1:9" x14ac:dyDescent="0.25">
      <c r="A11" s="156" t="s">
        <v>308</v>
      </c>
      <c r="B11" s="154" t="s">
        <v>323</v>
      </c>
      <c r="C11" s="154"/>
      <c r="D11" s="154"/>
    </row>
    <row r="12" spans="1:9" x14ac:dyDescent="0.25">
      <c r="A12" s="156" t="s">
        <v>309</v>
      </c>
      <c r="B12" s="154" t="s">
        <v>324</v>
      </c>
      <c r="C12" s="154"/>
      <c r="D12" s="154"/>
    </row>
    <row r="13" spans="1:9" x14ac:dyDescent="0.25">
      <c r="A13" s="156" t="s">
        <v>570</v>
      </c>
      <c r="B13" s="154">
        <v>1</v>
      </c>
      <c r="C13" s="154"/>
      <c r="D13" s="154"/>
    </row>
    <row r="14" spans="1:9" x14ac:dyDescent="0.25">
      <c r="A14" s="156" t="s">
        <v>311</v>
      </c>
      <c r="B14" s="154">
        <v>305</v>
      </c>
      <c r="C14" s="154"/>
      <c r="D14" s="154"/>
    </row>
    <row r="15" spans="1:9" x14ac:dyDescent="0.25">
      <c r="A15" s="156" t="s">
        <v>573</v>
      </c>
      <c r="B15" s="154" t="s">
        <v>379</v>
      </c>
      <c r="C15" s="154"/>
      <c r="D15" s="154"/>
    </row>
    <row r="16" spans="1:9" x14ac:dyDescent="0.25">
      <c r="A16" s="156" t="s">
        <v>313</v>
      </c>
      <c r="B16" s="154" t="s">
        <v>371</v>
      </c>
      <c r="C16" s="154"/>
      <c r="D16" s="154"/>
    </row>
    <row r="17" spans="1:4" ht="70" customHeight="1" x14ac:dyDescent="0.25">
      <c r="A17" s="156" t="s">
        <v>642</v>
      </c>
      <c r="B17" s="154"/>
      <c r="C17" s="154"/>
      <c r="D17" s="154"/>
    </row>
    <row r="18" spans="1:4" x14ac:dyDescent="0.25">
      <c r="A18" s="156" t="s">
        <v>315</v>
      </c>
      <c r="B18" s="157">
        <v>45070</v>
      </c>
      <c r="C18" s="154"/>
      <c r="D18" s="154"/>
    </row>
    <row r="19" spans="1:4" x14ac:dyDescent="0.25">
      <c r="A19" s="156" t="s">
        <v>316</v>
      </c>
      <c r="B19" s="157">
        <v>45014</v>
      </c>
      <c r="C19" s="154"/>
      <c r="D19" s="154"/>
    </row>
    <row r="20" spans="1:4" x14ac:dyDescent="0.25">
      <c r="A20" s="156" t="s">
        <v>317</v>
      </c>
      <c r="B20" s="154" t="s">
        <v>327</v>
      </c>
      <c r="C20" s="154"/>
      <c r="D20" s="154"/>
    </row>
    <row r="21" spans="1:4" x14ac:dyDescent="0.25">
      <c r="A21" s="77" t="s">
        <v>318</v>
      </c>
      <c r="B21" s="154" t="s">
        <v>328</v>
      </c>
      <c r="C21" s="154"/>
      <c r="D21" s="154"/>
    </row>
    <row r="23" spans="1:4" x14ac:dyDescent="0.25">
      <c r="B23" s="91" t="str">
        <f>HYPERLINK("#'Factor List'!A1","Back to Factor List")</f>
        <v>Back to Factor List</v>
      </c>
    </row>
    <row r="24" spans="1:4" x14ac:dyDescent="0.25">
      <c r="B24" s="91" t="s">
        <v>240</v>
      </c>
    </row>
    <row r="25" spans="1:4" x14ac:dyDescent="0.25">
      <c r="B25" s="91"/>
    </row>
    <row r="26" spans="1:4" ht="26" x14ac:dyDescent="0.25">
      <c r="A26" s="87" t="s">
        <v>643</v>
      </c>
      <c r="B26" s="87" t="s">
        <v>653</v>
      </c>
      <c r="C26" s="87" t="s">
        <v>660</v>
      </c>
      <c r="D26" s="87" t="s">
        <v>656</v>
      </c>
    </row>
    <row r="27" spans="1:4" x14ac:dyDescent="0.25">
      <c r="A27" s="88">
        <v>55</v>
      </c>
      <c r="B27" s="89">
        <v>23.37</v>
      </c>
      <c r="C27" s="89">
        <v>3.97</v>
      </c>
      <c r="D27" s="89"/>
    </row>
    <row r="28" spans="1:4" x14ac:dyDescent="0.25">
      <c r="A28" s="88">
        <v>56</v>
      </c>
      <c r="B28" s="89">
        <v>22.78</v>
      </c>
      <c r="C28" s="89">
        <v>4</v>
      </c>
      <c r="D28" s="89"/>
    </row>
    <row r="29" spans="1:4" x14ac:dyDescent="0.25">
      <c r="A29" s="88">
        <v>57</v>
      </c>
      <c r="B29" s="89">
        <v>22.19</v>
      </c>
      <c r="C29" s="89">
        <v>4.0199999999999996</v>
      </c>
      <c r="D29" s="89"/>
    </row>
    <row r="30" spans="1:4" x14ac:dyDescent="0.25">
      <c r="A30" s="88">
        <v>58</v>
      </c>
      <c r="B30" s="89">
        <v>21.6</v>
      </c>
      <c r="C30" s="89">
        <v>4.05</v>
      </c>
      <c r="D30" s="89"/>
    </row>
    <row r="31" spans="1:4" x14ac:dyDescent="0.25">
      <c r="A31" s="88">
        <v>59</v>
      </c>
      <c r="B31" s="89">
        <v>20.99</v>
      </c>
      <c r="C31" s="89">
        <v>4.07</v>
      </c>
      <c r="D31" s="89"/>
    </row>
    <row r="32" spans="1:4" x14ac:dyDescent="0.25">
      <c r="A32" s="88">
        <v>60</v>
      </c>
      <c r="B32" s="89">
        <v>20.37</v>
      </c>
      <c r="C32" s="89">
        <v>4.09</v>
      </c>
      <c r="D32" s="89"/>
    </row>
    <row r="33" spans="1:4" x14ac:dyDescent="0.25">
      <c r="A33" s="88">
        <v>61</v>
      </c>
      <c r="B33" s="89">
        <v>19.739999999999998</v>
      </c>
      <c r="C33" s="89">
        <v>4.1100000000000003</v>
      </c>
      <c r="D33" s="89"/>
    </row>
    <row r="34" spans="1:4" x14ac:dyDescent="0.25">
      <c r="A34" s="88">
        <v>62</v>
      </c>
      <c r="B34" s="89">
        <v>19.100000000000001</v>
      </c>
      <c r="C34" s="89">
        <v>4.13</v>
      </c>
      <c r="D34" s="89"/>
    </row>
    <row r="35" spans="1:4" x14ac:dyDescent="0.25">
      <c r="A35" s="88">
        <v>63</v>
      </c>
      <c r="B35" s="89">
        <v>18.46</v>
      </c>
      <c r="C35" s="89">
        <v>4.1399999999999997</v>
      </c>
      <c r="D35" s="89"/>
    </row>
    <row r="36" spans="1:4" x14ac:dyDescent="0.25">
      <c r="A36" s="88">
        <v>64</v>
      </c>
      <c r="B36" s="89">
        <v>17.829999999999998</v>
      </c>
      <c r="C36" s="89">
        <v>4.1500000000000004</v>
      </c>
      <c r="D36" s="89"/>
    </row>
    <row r="37" spans="1:4" x14ac:dyDescent="0.25">
      <c r="A37" s="88">
        <v>65</v>
      </c>
      <c r="B37" s="89">
        <v>17.2</v>
      </c>
      <c r="C37" s="89">
        <v>4.1500000000000004</v>
      </c>
      <c r="D37" s="89"/>
    </row>
    <row r="38" spans="1:4" x14ac:dyDescent="0.25">
      <c r="A38" s="88">
        <v>66</v>
      </c>
      <c r="B38" s="89">
        <v>16.57</v>
      </c>
      <c r="C38" s="89">
        <v>4.1500000000000004</v>
      </c>
      <c r="D38" s="89"/>
    </row>
    <row r="39" spans="1:4" x14ac:dyDescent="0.25">
      <c r="A39" s="88">
        <v>67</v>
      </c>
      <c r="B39" s="89">
        <v>15.94</v>
      </c>
      <c r="C39" s="89">
        <v>4.1500000000000004</v>
      </c>
      <c r="D39" s="89"/>
    </row>
    <row r="40" spans="1:4" x14ac:dyDescent="0.25">
      <c r="A40" s="88">
        <v>68</v>
      </c>
      <c r="B40" s="89">
        <v>15.31</v>
      </c>
      <c r="C40" s="89">
        <v>4.1399999999999997</v>
      </c>
      <c r="D40" s="89"/>
    </row>
    <row r="41" spans="1:4" x14ac:dyDescent="0.25">
      <c r="A41" s="88">
        <v>69</v>
      </c>
      <c r="B41" s="89">
        <v>14.67</v>
      </c>
      <c r="C41" s="89">
        <v>4.07</v>
      </c>
      <c r="D41" s="89">
        <v>3.01</v>
      </c>
    </row>
    <row r="42" spans="1:4" x14ac:dyDescent="0.25">
      <c r="A42" s="88">
        <v>70</v>
      </c>
      <c r="B42" s="89">
        <v>14.04</v>
      </c>
      <c r="C42" s="89">
        <v>4</v>
      </c>
      <c r="D42" s="89">
        <v>2.8</v>
      </c>
    </row>
    <row r="43" spans="1:4" x14ac:dyDescent="0.25">
      <c r="A43" s="88">
        <v>71</v>
      </c>
      <c r="B43" s="89">
        <v>13.42</v>
      </c>
      <c r="C43" s="89">
        <v>3.97</v>
      </c>
      <c r="D43" s="89">
        <v>2.6</v>
      </c>
    </row>
    <row r="44" spans="1:4" x14ac:dyDescent="0.25">
      <c r="A44" s="88">
        <v>72</v>
      </c>
      <c r="B44" s="89">
        <v>12.79</v>
      </c>
      <c r="C44" s="89">
        <v>3.94</v>
      </c>
      <c r="D44" s="89">
        <v>2.41</v>
      </c>
    </row>
    <row r="45" spans="1:4" x14ac:dyDescent="0.25">
      <c r="A45" s="88">
        <v>73</v>
      </c>
      <c r="B45" s="89">
        <v>12.17</v>
      </c>
      <c r="C45" s="89">
        <v>3.9</v>
      </c>
      <c r="D45" s="89">
        <v>2.23</v>
      </c>
    </row>
    <row r="46" spans="1:4" x14ac:dyDescent="0.25">
      <c r="A46" s="88">
        <v>74</v>
      </c>
      <c r="B46" s="89">
        <v>11.56</v>
      </c>
      <c r="C46" s="89">
        <v>3.74</v>
      </c>
      <c r="D46" s="89">
        <v>2.04</v>
      </c>
    </row>
    <row r="47" spans="1:4" x14ac:dyDescent="0.25">
      <c r="A47" s="88">
        <v>75</v>
      </c>
      <c r="B47" s="89">
        <v>10.95</v>
      </c>
      <c r="C47" s="89">
        <v>3.56</v>
      </c>
      <c r="D47" s="89">
        <v>1.86</v>
      </c>
    </row>
    <row r="48" spans="1:4" x14ac:dyDescent="0.25">
      <c r="A48" s="88">
        <v>76</v>
      </c>
      <c r="B48" s="89">
        <v>10.36</v>
      </c>
      <c r="C48" s="89">
        <v>3.51</v>
      </c>
      <c r="D48" s="89">
        <v>1.7</v>
      </c>
    </row>
    <row r="49" spans="1:4" x14ac:dyDescent="0.25">
      <c r="A49" s="88">
        <v>77</v>
      </c>
      <c r="B49" s="89">
        <v>9.77</v>
      </c>
      <c r="C49" s="89">
        <v>3.45</v>
      </c>
      <c r="D49" s="89">
        <v>1.54</v>
      </c>
    </row>
    <row r="50" spans="1:4" x14ac:dyDescent="0.25">
      <c r="A50" s="88">
        <v>78</v>
      </c>
      <c r="B50" s="89">
        <v>9.19</v>
      </c>
      <c r="C50" s="89">
        <v>3.38</v>
      </c>
      <c r="D50" s="89">
        <v>1.4</v>
      </c>
    </row>
    <row r="51" spans="1:4" x14ac:dyDescent="0.25">
      <c r="A51" s="88">
        <v>79</v>
      </c>
      <c r="B51" s="89">
        <v>8.6300000000000008</v>
      </c>
      <c r="C51" s="89">
        <v>3.1</v>
      </c>
      <c r="D51" s="89">
        <v>1.25</v>
      </c>
    </row>
    <row r="52" spans="1:4" x14ac:dyDescent="0.25">
      <c r="A52" s="88">
        <v>80</v>
      </c>
      <c r="B52" s="89">
        <v>8.09</v>
      </c>
      <c r="C52" s="89">
        <v>2.82</v>
      </c>
      <c r="D52" s="89">
        <v>1.1100000000000001</v>
      </c>
    </row>
    <row r="53" spans="1:4" x14ac:dyDescent="0.25">
      <c r="A53" s="88">
        <v>81</v>
      </c>
      <c r="B53" s="89">
        <v>7.56</v>
      </c>
      <c r="C53" s="89">
        <v>2.74</v>
      </c>
      <c r="D53" s="89">
        <v>0.99</v>
      </c>
    </row>
    <row r="54" spans="1:4" x14ac:dyDescent="0.25">
      <c r="A54" s="88">
        <v>82</v>
      </c>
      <c r="B54" s="89">
        <v>7.05</v>
      </c>
      <c r="C54" s="89">
        <v>2.66</v>
      </c>
      <c r="D54" s="89">
        <v>0.88</v>
      </c>
    </row>
    <row r="55" spans="1:4" x14ac:dyDescent="0.25">
      <c r="A55" s="88">
        <v>83</v>
      </c>
      <c r="B55" s="89">
        <v>6.56</v>
      </c>
      <c r="C55" s="89">
        <v>2.56</v>
      </c>
      <c r="D55" s="89">
        <v>0.79</v>
      </c>
    </row>
    <row r="56" spans="1:4" x14ac:dyDescent="0.25">
      <c r="A56" s="88">
        <v>84</v>
      </c>
      <c r="B56" s="89">
        <v>6.1</v>
      </c>
      <c r="C56" s="89">
        <v>2.2400000000000002</v>
      </c>
      <c r="D56" s="89">
        <v>0.68</v>
      </c>
    </row>
    <row r="57" spans="1:4" x14ac:dyDescent="0.25">
      <c r="A57" s="88">
        <v>85</v>
      </c>
      <c r="B57" s="89">
        <v>5.65</v>
      </c>
      <c r="C57" s="89">
        <v>1.92</v>
      </c>
      <c r="D57" s="89">
        <v>0.57999999999999996</v>
      </c>
    </row>
    <row r="58" spans="1:4" x14ac:dyDescent="0.25">
      <c r="A58"/>
      <c r="B58"/>
    </row>
    <row r="59" spans="1:4" x14ac:dyDescent="0.25">
      <c r="A59"/>
      <c r="B59"/>
    </row>
    <row r="60" spans="1:4" x14ac:dyDescent="0.25">
      <c r="A60"/>
      <c r="B60"/>
    </row>
    <row r="61" spans="1:4" x14ac:dyDescent="0.25">
      <c r="A61"/>
      <c r="B61"/>
    </row>
    <row r="62" spans="1:4" x14ac:dyDescent="0.25">
      <c r="A62"/>
      <c r="B62"/>
    </row>
    <row r="63" spans="1:4" x14ac:dyDescent="0.25">
      <c r="A63"/>
      <c r="B63"/>
    </row>
    <row r="64" spans="1:4" x14ac:dyDescent="0.25">
      <c r="A64"/>
      <c r="B64"/>
    </row>
    <row r="65" spans="1:2" x14ac:dyDescent="0.25">
      <c r="A65"/>
      <c r="B65"/>
    </row>
  </sheetData>
  <sheetProtection algorithmName="SHA-512" hashValue="1fdNYVrwRxERXouKxNjFnVgrbhvl3a9zgsxGDLHm9xV8bbmkgFJUrXz5Bq/A713yQz+MpYmPGT93qRjzFldJQw==" saltValue="8C9oRW9Fppk4x/jk2gohtw==" spinCount="100000" sheet="1" objects="1" scenarios="1"/>
  <conditionalFormatting sqref="A6:A16 A18:A20">
    <cfRule type="expression" dxfId="1207" priority="27" stopIfTrue="1">
      <formula>MOD(ROW(),2)=0</formula>
    </cfRule>
    <cfRule type="expression" dxfId="1206" priority="28" stopIfTrue="1">
      <formula>MOD(ROW(),2)&lt;&gt;0</formula>
    </cfRule>
  </conditionalFormatting>
  <conditionalFormatting sqref="B6:D6 B10:D17 C9:D9 B8:D8 C7:D7 C18:D19 B20:D21">
    <cfRule type="expression" dxfId="1205" priority="29" stopIfTrue="1">
      <formula>MOD(ROW(),2)=0</formula>
    </cfRule>
    <cfRule type="expression" dxfId="1204" priority="30" stopIfTrue="1">
      <formula>MOD(ROW(),2)&lt;&gt;0</formula>
    </cfRule>
  </conditionalFormatting>
  <conditionalFormatting sqref="B9">
    <cfRule type="expression" dxfId="1203" priority="21" stopIfTrue="1">
      <formula>MOD(ROW(),2)=0</formula>
    </cfRule>
    <cfRule type="expression" dxfId="1202" priority="22" stopIfTrue="1">
      <formula>MOD(ROW(),2)&lt;&gt;0</formula>
    </cfRule>
  </conditionalFormatting>
  <conditionalFormatting sqref="B6:D21">
    <cfRule type="expression" dxfId="1201" priority="19" stopIfTrue="1">
      <formula>MOD(ROW(),2)=0</formula>
    </cfRule>
    <cfRule type="expression" dxfId="1200" priority="20" stopIfTrue="1">
      <formula>MOD(ROW(),2)&lt;&gt;0</formula>
    </cfRule>
  </conditionalFormatting>
  <conditionalFormatting sqref="A17">
    <cfRule type="expression" dxfId="1199" priority="17" stopIfTrue="1">
      <formula>MOD(ROW(),2)=0</formula>
    </cfRule>
    <cfRule type="expression" dxfId="1198" priority="18" stopIfTrue="1">
      <formula>MOD(ROW(),2)&lt;&gt;0</formula>
    </cfRule>
  </conditionalFormatting>
  <conditionalFormatting sqref="B18">
    <cfRule type="expression" dxfId="1197" priority="15" stopIfTrue="1">
      <formula>MOD(ROW(),2)=0</formula>
    </cfRule>
    <cfRule type="expression" dxfId="1196" priority="16" stopIfTrue="1">
      <formula>MOD(ROW(),2)&lt;&gt;0</formula>
    </cfRule>
  </conditionalFormatting>
  <conditionalFormatting sqref="A26:A57">
    <cfRule type="expression" dxfId="1195" priority="9" stopIfTrue="1">
      <formula>MOD(ROW(),2)=0</formula>
    </cfRule>
    <cfRule type="expression" dxfId="1194" priority="10" stopIfTrue="1">
      <formula>MOD(ROW(),2)&lt;&gt;0</formula>
    </cfRule>
  </conditionalFormatting>
  <conditionalFormatting sqref="B26:D40 B41:C57">
    <cfRule type="expression" dxfId="1193" priority="11" stopIfTrue="1">
      <formula>MOD(ROW(),2)=0</formula>
    </cfRule>
    <cfRule type="expression" dxfId="1192" priority="12" stopIfTrue="1">
      <formula>MOD(ROW(),2)&lt;&gt;0</formula>
    </cfRule>
  </conditionalFormatting>
  <conditionalFormatting sqref="D41:D57">
    <cfRule type="expression" dxfId="1191" priority="7" stopIfTrue="1">
      <formula>MOD(ROW(),2)=0</formula>
    </cfRule>
    <cfRule type="expression" dxfId="1190" priority="8" stopIfTrue="1">
      <formula>MOD(ROW(),2)&lt;&gt;0</formula>
    </cfRule>
  </conditionalFormatting>
  <conditionalFormatting sqref="B19">
    <cfRule type="expression" dxfId="1189" priority="5" stopIfTrue="1">
      <formula>MOD(ROW(),2)=0</formula>
    </cfRule>
    <cfRule type="expression" dxfId="1188" priority="6" stopIfTrue="1">
      <formula>MOD(ROW(),2)&lt;&gt;0</formula>
    </cfRule>
  </conditionalFormatting>
  <conditionalFormatting sqref="A21">
    <cfRule type="expression" dxfId="1187" priority="1" stopIfTrue="1">
      <formula>MOD(ROW(),2)=0</formula>
    </cfRule>
    <cfRule type="expression" dxfId="1186" priority="2" stopIfTrue="1">
      <formula>MOD(ROW(),2)&lt;&gt;0</formula>
    </cfRule>
  </conditionalFormatting>
  <hyperlinks>
    <hyperlink ref="B24" location="Assumptions!A1" display="Assumptions" xr:uid="{C9ABDDF6-0BE5-4257-9477-B93DCB73C6CA}"/>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49"/>
  <dimension ref="A1:I65"/>
  <sheetViews>
    <sheetView showGridLines="0" zoomScale="85" zoomScaleNormal="85" workbookViewId="0">
      <selection activeCell="B18" sqref="B18"/>
    </sheetView>
  </sheetViews>
  <sheetFormatPr defaultColWidth="10" defaultRowHeight="12.5" x14ac:dyDescent="0.25"/>
  <cols>
    <col min="1" max="1" width="31.81640625" style="28" customWidth="1"/>
    <col min="2" max="4" width="22.81640625" style="28" customWidth="1"/>
    <col min="5" max="16384" width="10" style="28"/>
  </cols>
  <sheetData>
    <row r="1" spans="1:9" ht="20" x14ac:dyDescent="0.4">
      <c r="A1" s="40" t="s">
        <v>227</v>
      </c>
      <c r="B1" s="41"/>
      <c r="C1" s="41"/>
      <c r="D1" s="41"/>
      <c r="E1" s="41"/>
      <c r="F1" s="41"/>
      <c r="G1" s="41"/>
      <c r="H1" s="41"/>
      <c r="I1" s="41"/>
    </row>
    <row r="2" spans="1:9" ht="15.5" x14ac:dyDescent="0.35">
      <c r="A2" s="42" t="str">
        <f>IF(title="&gt; Enter workbook title here","Enter workbook title in Cover sheet",title)</f>
        <v>Fire Northern Ireland - Consolidated Factor Spreadsheet</v>
      </c>
      <c r="B2" s="43"/>
      <c r="C2" s="43"/>
      <c r="D2" s="43"/>
      <c r="E2" s="43"/>
      <c r="F2" s="43"/>
      <c r="G2" s="43"/>
      <c r="H2" s="43"/>
      <c r="I2" s="43"/>
    </row>
    <row r="3" spans="1:9" ht="15.5" x14ac:dyDescent="0.35">
      <c r="A3" s="44" t="str">
        <f>TABLE_FACTOR_TYPE_1&amp;" - x-"&amp;TABLE_SERIES_NUMBER_1</f>
        <v>Pensioner Cash Equivalent - x-306</v>
      </c>
      <c r="B3" s="43"/>
      <c r="C3" s="43"/>
      <c r="D3" s="43"/>
      <c r="E3" s="43"/>
      <c r="F3" s="43"/>
      <c r="G3" s="43"/>
      <c r="H3" s="43"/>
      <c r="I3" s="43"/>
    </row>
    <row r="4" spans="1:9" x14ac:dyDescent="0.25">
      <c r="A4" s="45"/>
    </row>
    <row r="6" spans="1:9" ht="13" x14ac:dyDescent="0.3">
      <c r="A6" s="155" t="s">
        <v>562</v>
      </c>
      <c r="B6" s="154" t="s">
        <v>563</v>
      </c>
      <c r="C6" s="154"/>
      <c r="D6" s="154"/>
    </row>
    <row r="7" spans="1:9" x14ac:dyDescent="0.25">
      <c r="A7" s="156" t="s">
        <v>305</v>
      </c>
      <c r="B7" s="154" t="s">
        <v>319</v>
      </c>
      <c r="C7" s="154"/>
      <c r="D7" s="154"/>
    </row>
    <row r="8" spans="1:9" x14ac:dyDescent="0.25">
      <c r="A8" s="156" t="s">
        <v>306</v>
      </c>
      <c r="B8" s="154" t="s">
        <v>332</v>
      </c>
      <c r="C8" s="154"/>
      <c r="D8" s="154"/>
    </row>
    <row r="9" spans="1:9" x14ac:dyDescent="0.25">
      <c r="A9" s="156" t="s">
        <v>307</v>
      </c>
      <c r="B9" s="154" t="s">
        <v>368</v>
      </c>
      <c r="C9" s="154"/>
      <c r="D9" s="154"/>
    </row>
    <row r="10" spans="1:9" x14ac:dyDescent="0.25">
      <c r="A10" s="156" t="s">
        <v>233</v>
      </c>
      <c r="B10" s="154" t="s">
        <v>369</v>
      </c>
      <c r="C10" s="154"/>
      <c r="D10" s="154"/>
    </row>
    <row r="11" spans="1:9" x14ac:dyDescent="0.25">
      <c r="A11" s="156" t="s">
        <v>308</v>
      </c>
      <c r="B11" s="154" t="s">
        <v>329</v>
      </c>
      <c r="C11" s="154"/>
      <c r="D11" s="154"/>
    </row>
    <row r="12" spans="1:9" x14ac:dyDescent="0.25">
      <c r="A12" s="156" t="s">
        <v>309</v>
      </c>
      <c r="B12" s="154" t="s">
        <v>324</v>
      </c>
      <c r="C12" s="154"/>
      <c r="D12" s="154"/>
    </row>
    <row r="13" spans="1:9" x14ac:dyDescent="0.25">
      <c r="A13" s="156" t="s">
        <v>570</v>
      </c>
      <c r="B13" s="154">
        <v>1</v>
      </c>
      <c r="C13" s="154"/>
      <c r="D13" s="154"/>
    </row>
    <row r="14" spans="1:9" x14ac:dyDescent="0.25">
      <c r="A14" s="156" t="s">
        <v>311</v>
      </c>
      <c r="B14" s="154">
        <v>306</v>
      </c>
      <c r="C14" s="154"/>
      <c r="D14" s="154"/>
    </row>
    <row r="15" spans="1:9" x14ac:dyDescent="0.25">
      <c r="A15" s="156" t="s">
        <v>573</v>
      </c>
      <c r="B15" s="154" t="s">
        <v>380</v>
      </c>
      <c r="C15" s="154"/>
      <c r="D15" s="154"/>
    </row>
    <row r="16" spans="1:9" x14ac:dyDescent="0.25">
      <c r="A16" s="156" t="s">
        <v>313</v>
      </c>
      <c r="B16" s="154" t="s">
        <v>373</v>
      </c>
      <c r="C16" s="154"/>
      <c r="D16" s="154"/>
    </row>
    <row r="17" spans="1:4" ht="65.150000000000006" customHeight="1" x14ac:dyDescent="0.25">
      <c r="A17" s="156" t="s">
        <v>642</v>
      </c>
      <c r="B17" s="154"/>
      <c r="C17" s="154"/>
      <c r="D17" s="154"/>
    </row>
    <row r="18" spans="1:4" x14ac:dyDescent="0.25">
      <c r="A18" s="156" t="s">
        <v>315</v>
      </c>
      <c r="B18" s="157">
        <v>45070</v>
      </c>
      <c r="C18" s="154"/>
      <c r="D18" s="154"/>
    </row>
    <row r="19" spans="1:4" x14ac:dyDescent="0.25">
      <c r="A19" s="156" t="s">
        <v>316</v>
      </c>
      <c r="B19" s="157">
        <v>45014</v>
      </c>
      <c r="C19" s="154"/>
      <c r="D19" s="154"/>
    </row>
    <row r="20" spans="1:4" x14ac:dyDescent="0.25">
      <c r="A20" s="156" t="s">
        <v>317</v>
      </c>
      <c r="B20" s="154" t="s">
        <v>327</v>
      </c>
      <c r="C20" s="154"/>
      <c r="D20" s="154"/>
    </row>
    <row r="21" spans="1:4" x14ac:dyDescent="0.25">
      <c r="A21" s="77" t="s">
        <v>318</v>
      </c>
      <c r="B21" s="154" t="s">
        <v>328</v>
      </c>
      <c r="C21" s="154"/>
      <c r="D21" s="154"/>
    </row>
    <row r="23" spans="1:4" x14ac:dyDescent="0.25">
      <c r="B23" s="91" t="str">
        <f>HYPERLINK("#'Factor List'!A1","Back to Factor List")</f>
        <v>Back to Factor List</v>
      </c>
    </row>
    <row r="24" spans="1:4" x14ac:dyDescent="0.25">
      <c r="B24" s="91" t="s">
        <v>240</v>
      </c>
    </row>
    <row r="25" spans="1:4" x14ac:dyDescent="0.25">
      <c r="B25" s="91"/>
    </row>
    <row r="26" spans="1:4" ht="26" x14ac:dyDescent="0.25">
      <c r="A26" s="87" t="s">
        <v>643</v>
      </c>
      <c r="B26" s="87" t="s">
        <v>653</v>
      </c>
      <c r="C26" s="87" t="s">
        <v>660</v>
      </c>
      <c r="D26" s="87" t="s">
        <v>656</v>
      </c>
    </row>
    <row r="27" spans="1:4" x14ac:dyDescent="0.25">
      <c r="A27" s="88">
        <v>55</v>
      </c>
      <c r="B27" s="89">
        <v>23.37</v>
      </c>
      <c r="C27" s="89">
        <v>3.97</v>
      </c>
      <c r="D27" s="89"/>
    </row>
    <row r="28" spans="1:4" x14ac:dyDescent="0.25">
      <c r="A28" s="88">
        <v>56</v>
      </c>
      <c r="B28" s="89">
        <v>22.78</v>
      </c>
      <c r="C28" s="89">
        <v>4</v>
      </c>
      <c r="D28" s="89"/>
    </row>
    <row r="29" spans="1:4" x14ac:dyDescent="0.25">
      <c r="A29" s="88">
        <v>57</v>
      </c>
      <c r="B29" s="89">
        <v>22.19</v>
      </c>
      <c r="C29" s="89">
        <v>4.0199999999999996</v>
      </c>
      <c r="D29" s="89"/>
    </row>
    <row r="30" spans="1:4" x14ac:dyDescent="0.25">
      <c r="A30" s="88">
        <v>58</v>
      </c>
      <c r="B30" s="89">
        <v>21.6</v>
      </c>
      <c r="C30" s="89">
        <v>4.05</v>
      </c>
      <c r="D30" s="89"/>
    </row>
    <row r="31" spans="1:4" x14ac:dyDescent="0.25">
      <c r="A31" s="88">
        <v>59</v>
      </c>
      <c r="B31" s="89">
        <v>20.99</v>
      </c>
      <c r="C31" s="89">
        <v>4.07</v>
      </c>
      <c r="D31" s="89"/>
    </row>
    <row r="32" spans="1:4" x14ac:dyDescent="0.25">
      <c r="A32" s="88">
        <v>60</v>
      </c>
      <c r="B32" s="89">
        <v>20.37</v>
      </c>
      <c r="C32" s="89">
        <v>4.09</v>
      </c>
      <c r="D32" s="89"/>
    </row>
    <row r="33" spans="1:4" x14ac:dyDescent="0.25">
      <c r="A33" s="88">
        <v>61</v>
      </c>
      <c r="B33" s="89">
        <v>19.739999999999998</v>
      </c>
      <c r="C33" s="89">
        <v>4.1100000000000003</v>
      </c>
      <c r="D33" s="89"/>
    </row>
    <row r="34" spans="1:4" x14ac:dyDescent="0.25">
      <c r="A34" s="88">
        <v>62</v>
      </c>
      <c r="B34" s="89">
        <v>19.100000000000001</v>
      </c>
      <c r="C34" s="89">
        <v>4.13</v>
      </c>
      <c r="D34" s="89"/>
    </row>
    <row r="35" spans="1:4" x14ac:dyDescent="0.25">
      <c r="A35" s="88">
        <v>63</v>
      </c>
      <c r="B35" s="89">
        <v>18.46</v>
      </c>
      <c r="C35" s="89">
        <v>4.1399999999999997</v>
      </c>
      <c r="D35" s="89"/>
    </row>
    <row r="36" spans="1:4" x14ac:dyDescent="0.25">
      <c r="A36" s="88">
        <v>64</v>
      </c>
      <c r="B36" s="89">
        <v>17.829999999999998</v>
      </c>
      <c r="C36" s="89">
        <v>4.1500000000000004</v>
      </c>
      <c r="D36" s="89"/>
    </row>
    <row r="37" spans="1:4" x14ac:dyDescent="0.25">
      <c r="A37" s="88">
        <v>65</v>
      </c>
      <c r="B37" s="89">
        <v>17.2</v>
      </c>
      <c r="C37" s="89">
        <v>4.1500000000000004</v>
      </c>
      <c r="D37" s="89"/>
    </row>
    <row r="38" spans="1:4" x14ac:dyDescent="0.25">
      <c r="A38" s="88">
        <v>66</v>
      </c>
      <c r="B38" s="89">
        <v>16.57</v>
      </c>
      <c r="C38" s="89">
        <v>4.1500000000000004</v>
      </c>
      <c r="D38" s="89"/>
    </row>
    <row r="39" spans="1:4" x14ac:dyDescent="0.25">
      <c r="A39" s="88">
        <v>67</v>
      </c>
      <c r="B39" s="89">
        <v>15.94</v>
      </c>
      <c r="C39" s="89">
        <v>4.1500000000000004</v>
      </c>
      <c r="D39" s="89"/>
    </row>
    <row r="40" spans="1:4" x14ac:dyDescent="0.25">
      <c r="A40" s="88">
        <v>68</v>
      </c>
      <c r="B40" s="89">
        <v>15.31</v>
      </c>
      <c r="C40" s="89">
        <v>4.1399999999999997</v>
      </c>
      <c r="D40" s="89"/>
    </row>
    <row r="41" spans="1:4" x14ac:dyDescent="0.25">
      <c r="A41" s="88">
        <v>69</v>
      </c>
      <c r="B41" s="89">
        <v>14.67</v>
      </c>
      <c r="C41" s="89">
        <v>4.07</v>
      </c>
      <c r="D41" s="89">
        <v>2.82</v>
      </c>
    </row>
    <row r="42" spans="1:4" x14ac:dyDescent="0.25">
      <c r="A42" s="88">
        <v>70</v>
      </c>
      <c r="B42" s="89">
        <v>14.04</v>
      </c>
      <c r="C42" s="89">
        <v>4</v>
      </c>
      <c r="D42" s="89">
        <v>2.62</v>
      </c>
    </row>
    <row r="43" spans="1:4" x14ac:dyDescent="0.25">
      <c r="A43" s="88">
        <v>71</v>
      </c>
      <c r="B43" s="89">
        <v>13.42</v>
      </c>
      <c r="C43" s="89">
        <v>3.97</v>
      </c>
      <c r="D43" s="89">
        <v>2.42</v>
      </c>
    </row>
    <row r="44" spans="1:4" x14ac:dyDescent="0.25">
      <c r="A44" s="88">
        <v>72</v>
      </c>
      <c r="B44" s="89">
        <v>12.79</v>
      </c>
      <c r="C44" s="89">
        <v>3.94</v>
      </c>
      <c r="D44" s="89">
        <v>2.23</v>
      </c>
    </row>
    <row r="45" spans="1:4" x14ac:dyDescent="0.25">
      <c r="A45" s="88">
        <v>73</v>
      </c>
      <c r="B45" s="89">
        <v>12.17</v>
      </c>
      <c r="C45" s="89">
        <v>3.9</v>
      </c>
      <c r="D45" s="89">
        <v>2.0499999999999998</v>
      </c>
    </row>
    <row r="46" spans="1:4" x14ac:dyDescent="0.25">
      <c r="A46" s="88">
        <v>74</v>
      </c>
      <c r="B46" s="89">
        <v>11.56</v>
      </c>
      <c r="C46" s="89">
        <v>3.74</v>
      </c>
      <c r="D46" s="89">
        <v>1.88</v>
      </c>
    </row>
    <row r="47" spans="1:4" x14ac:dyDescent="0.25">
      <c r="A47" s="88">
        <v>75</v>
      </c>
      <c r="B47" s="89">
        <v>10.95</v>
      </c>
      <c r="C47" s="89">
        <v>3.56</v>
      </c>
      <c r="D47" s="89">
        <v>1.71</v>
      </c>
    </row>
    <row r="48" spans="1:4" x14ac:dyDescent="0.25">
      <c r="A48" s="88">
        <v>76</v>
      </c>
      <c r="B48" s="89">
        <v>10.36</v>
      </c>
      <c r="C48" s="89">
        <v>3.51</v>
      </c>
      <c r="D48" s="89">
        <v>1.56</v>
      </c>
    </row>
    <row r="49" spans="1:4" x14ac:dyDescent="0.25">
      <c r="A49" s="88">
        <v>77</v>
      </c>
      <c r="B49" s="89">
        <v>9.77</v>
      </c>
      <c r="C49" s="89">
        <v>3.45</v>
      </c>
      <c r="D49" s="89">
        <v>1.41</v>
      </c>
    </row>
    <row r="50" spans="1:4" x14ac:dyDescent="0.25">
      <c r="A50" s="88">
        <v>78</v>
      </c>
      <c r="B50" s="89">
        <v>9.19</v>
      </c>
      <c r="C50" s="89">
        <v>3.38</v>
      </c>
      <c r="D50" s="89">
        <v>1.27</v>
      </c>
    </row>
    <row r="51" spans="1:4" x14ac:dyDescent="0.25">
      <c r="A51" s="88">
        <v>79</v>
      </c>
      <c r="B51" s="89">
        <v>8.6300000000000008</v>
      </c>
      <c r="C51" s="89">
        <v>3.1</v>
      </c>
      <c r="D51" s="89">
        <v>1.1299999999999999</v>
      </c>
    </row>
    <row r="52" spans="1:4" x14ac:dyDescent="0.25">
      <c r="A52" s="88">
        <v>80</v>
      </c>
      <c r="B52" s="89">
        <v>8.09</v>
      </c>
      <c r="C52" s="89">
        <v>2.82</v>
      </c>
      <c r="D52" s="89">
        <v>1.01</v>
      </c>
    </row>
    <row r="53" spans="1:4" x14ac:dyDescent="0.25">
      <c r="A53" s="88">
        <v>81</v>
      </c>
      <c r="B53" s="89">
        <v>7.56</v>
      </c>
      <c r="C53" s="89">
        <v>2.74</v>
      </c>
      <c r="D53" s="89">
        <v>0.9</v>
      </c>
    </row>
    <row r="54" spans="1:4" x14ac:dyDescent="0.25">
      <c r="A54" s="88">
        <v>82</v>
      </c>
      <c r="B54" s="89">
        <v>7.05</v>
      </c>
      <c r="C54" s="89">
        <v>2.66</v>
      </c>
      <c r="D54" s="89">
        <v>0.8</v>
      </c>
    </row>
    <row r="55" spans="1:4" x14ac:dyDescent="0.25">
      <c r="A55" s="88">
        <v>83</v>
      </c>
      <c r="B55" s="89">
        <v>6.56</v>
      </c>
      <c r="C55" s="89">
        <v>2.56</v>
      </c>
      <c r="D55" s="89">
        <v>0.7</v>
      </c>
    </row>
    <row r="56" spans="1:4" x14ac:dyDescent="0.25">
      <c r="A56" s="88">
        <v>84</v>
      </c>
      <c r="B56" s="89">
        <v>6.1</v>
      </c>
      <c r="C56" s="89">
        <v>2.2400000000000002</v>
      </c>
      <c r="D56" s="89">
        <v>0.61</v>
      </c>
    </row>
    <row r="57" spans="1:4" x14ac:dyDescent="0.25">
      <c r="A57" s="88">
        <v>85</v>
      </c>
      <c r="B57" s="89">
        <v>5.65</v>
      </c>
      <c r="C57" s="89">
        <v>1.92</v>
      </c>
      <c r="D57" s="89">
        <v>0.54</v>
      </c>
    </row>
    <row r="58" spans="1:4" x14ac:dyDescent="0.25">
      <c r="A58"/>
      <c r="B58"/>
    </row>
    <row r="59" spans="1:4" x14ac:dyDescent="0.25">
      <c r="A59"/>
      <c r="B59"/>
    </row>
    <row r="60" spans="1:4" x14ac:dyDescent="0.25">
      <c r="A60"/>
      <c r="B60"/>
    </row>
    <row r="61" spans="1:4" x14ac:dyDescent="0.25">
      <c r="A61"/>
      <c r="B61"/>
    </row>
    <row r="62" spans="1:4" x14ac:dyDescent="0.25">
      <c r="A62"/>
      <c r="B62"/>
    </row>
    <row r="63" spans="1:4" x14ac:dyDescent="0.25">
      <c r="A63"/>
      <c r="B63"/>
    </row>
    <row r="64" spans="1:4" x14ac:dyDescent="0.25">
      <c r="A64"/>
      <c r="B64"/>
    </row>
    <row r="65" spans="1:2" x14ac:dyDescent="0.25">
      <c r="A65"/>
      <c r="B65"/>
    </row>
  </sheetData>
  <sheetProtection algorithmName="SHA-512" hashValue="E7s0c3i3Sj29crqMBJ60cR/RO3X8IGn0gIWB3bbASXEHagF6kK9WoEhxuEgjI7kxIAIIeA/sHlgXQsfLI46U4g==" saltValue="SAGzn3db2e4wKr1aPw09RA==" spinCount="100000" sheet="1" objects="1" scenarios="1"/>
  <conditionalFormatting sqref="A6:A16 A18:A20">
    <cfRule type="expression" dxfId="1185" priority="27" stopIfTrue="1">
      <formula>MOD(ROW(),2)=0</formula>
    </cfRule>
    <cfRule type="expression" dxfId="1184" priority="28" stopIfTrue="1">
      <formula>MOD(ROW(),2)&lt;&gt;0</formula>
    </cfRule>
  </conditionalFormatting>
  <conditionalFormatting sqref="B6:D6 B10:D16 C9:D9 B8:D8 C7:D7 C17:D19 B20:D21">
    <cfRule type="expression" dxfId="1183" priority="29" stopIfTrue="1">
      <formula>MOD(ROW(),2)=0</formula>
    </cfRule>
    <cfRule type="expression" dxfId="1182" priority="30" stopIfTrue="1">
      <formula>MOD(ROW(),2)&lt;&gt;0</formula>
    </cfRule>
  </conditionalFormatting>
  <conditionalFormatting sqref="B9">
    <cfRule type="expression" dxfId="1181" priority="21" stopIfTrue="1">
      <formula>MOD(ROW(),2)=0</formula>
    </cfRule>
    <cfRule type="expression" dxfId="1180" priority="22" stopIfTrue="1">
      <formula>MOD(ROW(),2)&lt;&gt;0</formula>
    </cfRule>
  </conditionalFormatting>
  <conditionalFormatting sqref="B6:D21">
    <cfRule type="expression" dxfId="1179" priority="19" stopIfTrue="1">
      <formula>MOD(ROW(),2)=0</formula>
    </cfRule>
    <cfRule type="expression" dxfId="1178" priority="20" stopIfTrue="1">
      <formula>MOD(ROW(),2)&lt;&gt;0</formula>
    </cfRule>
  </conditionalFormatting>
  <conditionalFormatting sqref="B17">
    <cfRule type="expression" dxfId="1177" priority="17" stopIfTrue="1">
      <formula>MOD(ROW(),2)=0</formula>
    </cfRule>
    <cfRule type="expression" dxfId="1176" priority="18" stopIfTrue="1">
      <formula>MOD(ROW(),2)&lt;&gt;0</formula>
    </cfRule>
  </conditionalFormatting>
  <conditionalFormatting sqref="A17">
    <cfRule type="expression" dxfId="1175" priority="15" stopIfTrue="1">
      <formula>MOD(ROW(),2)=0</formula>
    </cfRule>
    <cfRule type="expression" dxfId="1174" priority="16" stopIfTrue="1">
      <formula>MOD(ROW(),2)&lt;&gt;0</formula>
    </cfRule>
  </conditionalFormatting>
  <conditionalFormatting sqref="B18">
    <cfRule type="expression" dxfId="1173" priority="13" stopIfTrue="1">
      <formula>MOD(ROW(),2)=0</formula>
    </cfRule>
    <cfRule type="expression" dxfId="1172" priority="14" stopIfTrue="1">
      <formula>MOD(ROW(),2)&lt;&gt;0</formula>
    </cfRule>
  </conditionalFormatting>
  <conditionalFormatting sqref="A26:A57">
    <cfRule type="expression" dxfId="1171" priority="7" stopIfTrue="1">
      <formula>MOD(ROW(),2)=0</formula>
    </cfRule>
    <cfRule type="expression" dxfId="1170" priority="8" stopIfTrue="1">
      <formula>MOD(ROW(),2)&lt;&gt;0</formula>
    </cfRule>
  </conditionalFormatting>
  <conditionalFormatting sqref="B26:D57">
    <cfRule type="expression" dxfId="1169" priority="9" stopIfTrue="1">
      <formula>MOD(ROW(),2)=0</formula>
    </cfRule>
    <cfRule type="expression" dxfId="1168" priority="10" stopIfTrue="1">
      <formula>MOD(ROW(),2)&lt;&gt;0</formula>
    </cfRule>
  </conditionalFormatting>
  <conditionalFormatting sqref="B19">
    <cfRule type="expression" dxfId="1167" priority="5" stopIfTrue="1">
      <formula>MOD(ROW(),2)=0</formula>
    </cfRule>
    <cfRule type="expression" dxfId="1166" priority="6" stopIfTrue="1">
      <formula>MOD(ROW(),2)&lt;&gt;0</formula>
    </cfRule>
  </conditionalFormatting>
  <conditionalFormatting sqref="A21">
    <cfRule type="expression" dxfId="1165" priority="1" stopIfTrue="1">
      <formula>MOD(ROW(),2)=0</formula>
    </cfRule>
    <cfRule type="expression" dxfId="1164" priority="2" stopIfTrue="1">
      <formula>MOD(ROW(),2)&lt;&gt;0</formula>
    </cfRule>
  </conditionalFormatting>
  <hyperlinks>
    <hyperlink ref="B24" location="Assumptions!A1" display="Assumptions" xr:uid="{B619F90E-1B78-433F-9583-07C167DEBEDE}"/>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50"/>
  <dimension ref="A1:I92"/>
  <sheetViews>
    <sheetView showGridLines="0" zoomScale="85" zoomScaleNormal="85" workbookViewId="0">
      <selection activeCell="B18" sqref="B18"/>
    </sheetView>
  </sheetViews>
  <sheetFormatPr defaultColWidth="10" defaultRowHeight="12.5" x14ac:dyDescent="0.25"/>
  <cols>
    <col min="1" max="1" width="31.81640625" style="28" customWidth="1"/>
    <col min="2" max="4" width="22.81640625" style="28" customWidth="1"/>
    <col min="5" max="16384" width="10" style="28"/>
  </cols>
  <sheetData>
    <row r="1" spans="1:9" ht="20" x14ac:dyDescent="0.4">
      <c r="A1" s="40" t="s">
        <v>227</v>
      </c>
      <c r="B1" s="41"/>
      <c r="C1" s="41"/>
      <c r="D1" s="41"/>
      <c r="E1" s="41"/>
      <c r="F1" s="41"/>
      <c r="G1" s="41"/>
      <c r="H1" s="41"/>
      <c r="I1" s="41"/>
    </row>
    <row r="2" spans="1:9" ht="15.5" x14ac:dyDescent="0.35">
      <c r="A2" s="42" t="str">
        <f>IF(title="&gt; Enter workbook title here","Enter workbook title in Cover sheet",title)</f>
        <v>Fire Northern Ireland - Consolidated Factor Spreadsheet</v>
      </c>
      <c r="B2" s="43"/>
      <c r="C2" s="43"/>
      <c r="D2" s="43"/>
      <c r="E2" s="43"/>
      <c r="F2" s="43"/>
      <c r="G2" s="43"/>
      <c r="H2" s="43"/>
      <c r="I2" s="43"/>
    </row>
    <row r="3" spans="1:9" ht="15.5" x14ac:dyDescent="0.35">
      <c r="A3" s="44" t="str">
        <f>TABLE_FACTOR_TYPE_1&amp;" - x-"&amp;TABLE_SERIES_NUMBER_1</f>
        <v>Pensioner Cash Equivalent - x-307</v>
      </c>
      <c r="B3" s="43"/>
      <c r="C3" s="43"/>
      <c r="D3" s="43"/>
      <c r="E3" s="43"/>
      <c r="F3" s="43"/>
      <c r="G3" s="43"/>
      <c r="H3" s="43"/>
      <c r="I3" s="43"/>
    </row>
    <row r="4" spans="1:9" x14ac:dyDescent="0.25">
      <c r="A4" s="45"/>
    </row>
    <row r="6" spans="1:9" ht="13" x14ac:dyDescent="0.3">
      <c r="A6" s="155" t="s">
        <v>562</v>
      </c>
      <c r="B6" s="154" t="s">
        <v>563</v>
      </c>
      <c r="C6" s="154"/>
      <c r="D6" s="154"/>
    </row>
    <row r="7" spans="1:9" x14ac:dyDescent="0.25">
      <c r="A7" s="156" t="s">
        <v>305</v>
      </c>
      <c r="B7" s="154" t="s">
        <v>319</v>
      </c>
      <c r="C7" s="154"/>
      <c r="D7" s="154"/>
    </row>
    <row r="8" spans="1:9" x14ac:dyDescent="0.25">
      <c r="A8" s="156" t="s">
        <v>306</v>
      </c>
      <c r="B8" s="154" t="s">
        <v>332</v>
      </c>
      <c r="C8" s="154"/>
      <c r="D8" s="154"/>
    </row>
    <row r="9" spans="1:9" x14ac:dyDescent="0.25">
      <c r="A9" s="156" t="s">
        <v>307</v>
      </c>
      <c r="B9" s="154" t="s">
        <v>368</v>
      </c>
      <c r="C9" s="154"/>
      <c r="D9" s="154"/>
    </row>
    <row r="10" spans="1:9" x14ac:dyDescent="0.25">
      <c r="A10" s="156" t="s">
        <v>233</v>
      </c>
      <c r="B10" s="154" t="s">
        <v>374</v>
      </c>
      <c r="C10" s="154"/>
      <c r="D10" s="154"/>
    </row>
    <row r="11" spans="1:9" x14ac:dyDescent="0.25">
      <c r="A11" s="156" t="s">
        <v>308</v>
      </c>
      <c r="B11" s="154" t="s">
        <v>323</v>
      </c>
      <c r="C11" s="154"/>
      <c r="D11" s="154"/>
    </row>
    <row r="12" spans="1:9" x14ac:dyDescent="0.25">
      <c r="A12" s="156" t="s">
        <v>309</v>
      </c>
      <c r="B12" s="154" t="s">
        <v>324</v>
      </c>
      <c r="C12" s="154"/>
      <c r="D12" s="154"/>
    </row>
    <row r="13" spans="1:9" x14ac:dyDescent="0.25">
      <c r="A13" s="156" t="s">
        <v>570</v>
      </c>
      <c r="B13" s="154">
        <v>1</v>
      </c>
      <c r="C13" s="154"/>
      <c r="D13" s="154"/>
    </row>
    <row r="14" spans="1:9" x14ac:dyDescent="0.25">
      <c r="A14" s="156" t="s">
        <v>311</v>
      </c>
      <c r="B14" s="154">
        <v>307</v>
      </c>
      <c r="C14" s="154"/>
      <c r="D14" s="154"/>
    </row>
    <row r="15" spans="1:9" x14ac:dyDescent="0.25">
      <c r="A15" s="156" t="s">
        <v>573</v>
      </c>
      <c r="B15" s="154" t="s">
        <v>381</v>
      </c>
      <c r="C15" s="154"/>
      <c r="D15" s="154"/>
    </row>
    <row r="16" spans="1:9" x14ac:dyDescent="0.25">
      <c r="A16" s="156" t="s">
        <v>313</v>
      </c>
      <c r="B16" s="154" t="s">
        <v>376</v>
      </c>
      <c r="C16" s="154"/>
      <c r="D16" s="154"/>
    </row>
    <row r="17" spans="1:4" ht="67" customHeight="1" x14ac:dyDescent="0.25">
      <c r="A17" s="156" t="s">
        <v>642</v>
      </c>
      <c r="B17" s="154"/>
      <c r="C17" s="154"/>
      <c r="D17" s="154"/>
    </row>
    <row r="18" spans="1:4" x14ac:dyDescent="0.25">
      <c r="A18" s="156" t="s">
        <v>315</v>
      </c>
      <c r="B18" s="157">
        <v>45070</v>
      </c>
      <c r="C18" s="154"/>
      <c r="D18" s="154"/>
    </row>
    <row r="19" spans="1:4" x14ac:dyDescent="0.25">
      <c r="A19" s="156" t="s">
        <v>316</v>
      </c>
      <c r="B19" s="157">
        <v>45014</v>
      </c>
      <c r="C19" s="154"/>
      <c r="D19" s="154"/>
    </row>
    <row r="20" spans="1:4" x14ac:dyDescent="0.25">
      <c r="A20" s="156" t="s">
        <v>317</v>
      </c>
      <c r="B20" s="154" t="s">
        <v>327</v>
      </c>
      <c r="C20" s="154"/>
      <c r="D20" s="154"/>
    </row>
    <row r="21" spans="1:4" x14ac:dyDescent="0.25">
      <c r="A21" s="77" t="s">
        <v>318</v>
      </c>
      <c r="B21" s="154" t="s">
        <v>328</v>
      </c>
      <c r="C21" s="154"/>
      <c r="D21" s="154"/>
    </row>
    <row r="23" spans="1:4" x14ac:dyDescent="0.25">
      <c r="B23" s="91" t="str">
        <f>HYPERLINK("#'Factor List'!A1","Back to Factor List")</f>
        <v>Back to Factor List</v>
      </c>
    </row>
    <row r="24" spans="1:4" x14ac:dyDescent="0.25">
      <c r="B24" s="91" t="s">
        <v>240</v>
      </c>
    </row>
    <row r="25" spans="1:4" x14ac:dyDescent="0.25">
      <c r="B25" s="91"/>
    </row>
    <row r="26" spans="1:4" ht="26" x14ac:dyDescent="0.25">
      <c r="A26" s="87" t="s">
        <v>643</v>
      </c>
      <c r="B26" s="87" t="s">
        <v>653</v>
      </c>
      <c r="C26" s="87" t="s">
        <v>660</v>
      </c>
      <c r="D26" s="87" t="s">
        <v>656</v>
      </c>
    </row>
    <row r="27" spans="1:4" x14ac:dyDescent="0.25">
      <c r="A27" s="88">
        <v>20</v>
      </c>
      <c r="B27" s="89">
        <v>39.64</v>
      </c>
      <c r="C27" s="89">
        <v>2.59</v>
      </c>
      <c r="D27" s="89"/>
    </row>
    <row r="28" spans="1:4" x14ac:dyDescent="0.25">
      <c r="A28" s="88">
        <v>21</v>
      </c>
      <c r="B28" s="89">
        <v>39.28</v>
      </c>
      <c r="C28" s="89">
        <v>2.64</v>
      </c>
      <c r="D28" s="89"/>
    </row>
    <row r="29" spans="1:4" x14ac:dyDescent="0.25">
      <c r="A29" s="88">
        <v>22</v>
      </c>
      <c r="B29" s="89">
        <v>38.92</v>
      </c>
      <c r="C29" s="89">
        <v>2.68</v>
      </c>
      <c r="D29" s="89"/>
    </row>
    <row r="30" spans="1:4" x14ac:dyDescent="0.25">
      <c r="A30" s="88">
        <v>23</v>
      </c>
      <c r="B30" s="89">
        <v>38.549999999999997</v>
      </c>
      <c r="C30" s="89">
        <v>2.72</v>
      </c>
      <c r="D30" s="89"/>
    </row>
    <row r="31" spans="1:4" x14ac:dyDescent="0.25">
      <c r="A31" s="88">
        <v>24</v>
      </c>
      <c r="B31" s="89">
        <v>38.17</v>
      </c>
      <c r="C31" s="89">
        <v>2.77</v>
      </c>
      <c r="D31" s="89"/>
    </row>
    <row r="32" spans="1:4" x14ac:dyDescent="0.25">
      <c r="A32" s="88">
        <v>25</v>
      </c>
      <c r="B32" s="89">
        <v>37.79</v>
      </c>
      <c r="C32" s="89">
        <v>2.81</v>
      </c>
      <c r="D32" s="89"/>
    </row>
    <row r="33" spans="1:4" x14ac:dyDescent="0.25">
      <c r="A33" s="88">
        <v>26</v>
      </c>
      <c r="B33" s="89">
        <v>37.4</v>
      </c>
      <c r="C33" s="89">
        <v>2.85</v>
      </c>
      <c r="D33" s="89"/>
    </row>
    <row r="34" spans="1:4" x14ac:dyDescent="0.25">
      <c r="A34" s="88">
        <v>27</v>
      </c>
      <c r="B34" s="89">
        <v>37.01</v>
      </c>
      <c r="C34" s="89">
        <v>2.9</v>
      </c>
      <c r="D34" s="89"/>
    </row>
    <row r="35" spans="1:4" x14ac:dyDescent="0.25">
      <c r="A35" s="88">
        <v>28</v>
      </c>
      <c r="B35" s="89">
        <v>36.61</v>
      </c>
      <c r="C35" s="89">
        <v>2.94</v>
      </c>
      <c r="D35" s="89"/>
    </row>
    <row r="36" spans="1:4" x14ac:dyDescent="0.25">
      <c r="A36" s="88">
        <v>29</v>
      </c>
      <c r="B36" s="89">
        <v>36.200000000000003</v>
      </c>
      <c r="C36" s="89">
        <v>2.99</v>
      </c>
      <c r="D36" s="89"/>
    </row>
    <row r="37" spans="1:4" x14ac:dyDescent="0.25">
      <c r="A37" s="88">
        <v>30</v>
      </c>
      <c r="B37" s="89">
        <v>35.79</v>
      </c>
      <c r="C37" s="89">
        <v>3.03</v>
      </c>
      <c r="D37" s="89"/>
    </row>
    <row r="38" spans="1:4" x14ac:dyDescent="0.25">
      <c r="A38" s="88">
        <v>31</v>
      </c>
      <c r="B38" s="89">
        <v>35.369999999999997</v>
      </c>
      <c r="C38" s="89">
        <v>3.07</v>
      </c>
      <c r="D38" s="89"/>
    </row>
    <row r="39" spans="1:4" x14ac:dyDescent="0.25">
      <c r="A39" s="88">
        <v>32</v>
      </c>
      <c r="B39" s="89">
        <v>34.950000000000003</v>
      </c>
      <c r="C39" s="89">
        <v>3.12</v>
      </c>
      <c r="D39" s="89"/>
    </row>
    <row r="40" spans="1:4" x14ac:dyDescent="0.25">
      <c r="A40" s="88">
        <v>33</v>
      </c>
      <c r="B40" s="89">
        <v>34.51</v>
      </c>
      <c r="C40" s="89">
        <v>3.16</v>
      </c>
      <c r="D40" s="89"/>
    </row>
    <row r="41" spans="1:4" x14ac:dyDescent="0.25">
      <c r="A41" s="88">
        <v>34</v>
      </c>
      <c r="B41" s="89">
        <v>34.08</v>
      </c>
      <c r="C41" s="89">
        <v>3.2</v>
      </c>
      <c r="D41" s="89"/>
    </row>
    <row r="42" spans="1:4" x14ac:dyDescent="0.25">
      <c r="A42" s="88">
        <v>35</v>
      </c>
      <c r="B42" s="89">
        <v>33.630000000000003</v>
      </c>
      <c r="C42" s="89">
        <v>3.24</v>
      </c>
      <c r="D42" s="89"/>
    </row>
    <row r="43" spans="1:4" x14ac:dyDescent="0.25">
      <c r="A43" s="88">
        <v>36</v>
      </c>
      <c r="B43" s="89">
        <v>33.18</v>
      </c>
      <c r="C43" s="89">
        <v>3.29</v>
      </c>
      <c r="D43" s="89"/>
    </row>
    <row r="44" spans="1:4" x14ac:dyDescent="0.25">
      <c r="A44" s="88">
        <v>37</v>
      </c>
      <c r="B44" s="89">
        <v>32.72</v>
      </c>
      <c r="C44" s="89">
        <v>3.33</v>
      </c>
      <c r="D44" s="89"/>
    </row>
    <row r="45" spans="1:4" x14ac:dyDescent="0.25">
      <c r="A45" s="88">
        <v>38</v>
      </c>
      <c r="B45" s="89">
        <v>32.26</v>
      </c>
      <c r="C45" s="89">
        <v>3.37</v>
      </c>
      <c r="D45" s="89"/>
    </row>
    <row r="46" spans="1:4" x14ac:dyDescent="0.25">
      <c r="A46" s="88">
        <v>39</v>
      </c>
      <c r="B46" s="89">
        <v>31.79</v>
      </c>
      <c r="C46" s="89">
        <v>3.41</v>
      </c>
      <c r="D46" s="89"/>
    </row>
    <row r="47" spans="1:4" x14ac:dyDescent="0.25">
      <c r="A47" s="88">
        <v>40</v>
      </c>
      <c r="B47" s="89">
        <v>31.31</v>
      </c>
      <c r="C47" s="89">
        <v>3.45</v>
      </c>
      <c r="D47" s="89"/>
    </row>
    <row r="48" spans="1:4" x14ac:dyDescent="0.25">
      <c r="A48" s="88">
        <v>41</v>
      </c>
      <c r="B48" s="89">
        <v>30.82</v>
      </c>
      <c r="C48" s="89">
        <v>3.49</v>
      </c>
      <c r="D48" s="89"/>
    </row>
    <row r="49" spans="1:4" x14ac:dyDescent="0.25">
      <c r="A49" s="88">
        <v>42</v>
      </c>
      <c r="B49" s="89">
        <v>30.33</v>
      </c>
      <c r="C49" s="89">
        <v>3.53</v>
      </c>
      <c r="D49" s="89"/>
    </row>
    <row r="50" spans="1:4" x14ac:dyDescent="0.25">
      <c r="A50" s="88">
        <v>43</v>
      </c>
      <c r="B50" s="89">
        <v>29.83</v>
      </c>
      <c r="C50" s="89">
        <v>3.57</v>
      </c>
      <c r="D50" s="89"/>
    </row>
    <row r="51" spans="1:4" x14ac:dyDescent="0.25">
      <c r="A51" s="88">
        <v>44</v>
      </c>
      <c r="B51" s="89">
        <v>29.33</v>
      </c>
      <c r="C51" s="89">
        <v>3.61</v>
      </c>
      <c r="D51" s="89"/>
    </row>
    <row r="52" spans="1:4" x14ac:dyDescent="0.25">
      <c r="A52" s="88">
        <v>45</v>
      </c>
      <c r="B52" s="89">
        <v>28.82</v>
      </c>
      <c r="C52" s="89">
        <v>3.64</v>
      </c>
      <c r="D52" s="89"/>
    </row>
    <row r="53" spans="1:4" x14ac:dyDescent="0.25">
      <c r="A53" s="88">
        <v>46</v>
      </c>
      <c r="B53" s="89">
        <v>28.3</v>
      </c>
      <c r="C53" s="89">
        <v>3.68</v>
      </c>
      <c r="D53" s="89"/>
    </row>
    <row r="54" spans="1:4" x14ac:dyDescent="0.25">
      <c r="A54" s="88">
        <v>47</v>
      </c>
      <c r="B54" s="89">
        <v>27.78</v>
      </c>
      <c r="C54" s="89">
        <v>3.71</v>
      </c>
      <c r="D54" s="89"/>
    </row>
    <row r="55" spans="1:4" x14ac:dyDescent="0.25">
      <c r="A55" s="88">
        <v>48</v>
      </c>
      <c r="B55" s="89">
        <v>27.25</v>
      </c>
      <c r="C55" s="89">
        <v>3.75</v>
      </c>
      <c r="D55" s="89"/>
    </row>
    <row r="56" spans="1:4" x14ac:dyDescent="0.25">
      <c r="A56" s="88">
        <v>49</v>
      </c>
      <c r="B56" s="89">
        <v>26.71</v>
      </c>
      <c r="C56" s="89">
        <v>3.78</v>
      </c>
      <c r="D56" s="89"/>
    </row>
    <row r="57" spans="1:4" x14ac:dyDescent="0.25">
      <c r="A57" s="88">
        <v>50</v>
      </c>
      <c r="B57" s="89">
        <v>26.16</v>
      </c>
      <c r="C57" s="89">
        <v>3.82</v>
      </c>
      <c r="D57" s="89"/>
    </row>
    <row r="58" spans="1:4" x14ac:dyDescent="0.25">
      <c r="A58" s="88">
        <v>51</v>
      </c>
      <c r="B58" s="89">
        <v>25.61</v>
      </c>
      <c r="C58" s="89">
        <v>3.85</v>
      </c>
      <c r="D58" s="89"/>
    </row>
    <row r="59" spans="1:4" x14ac:dyDescent="0.25">
      <c r="A59" s="88">
        <v>52</v>
      </c>
      <c r="B59" s="89">
        <v>25.05</v>
      </c>
      <c r="C59" s="89">
        <v>3.88</v>
      </c>
      <c r="D59" s="89"/>
    </row>
    <row r="60" spans="1:4" x14ac:dyDescent="0.25">
      <c r="A60" s="88">
        <v>53</v>
      </c>
      <c r="B60" s="89">
        <v>24.48</v>
      </c>
      <c r="C60" s="89">
        <v>3.91</v>
      </c>
      <c r="D60" s="89"/>
    </row>
    <row r="61" spans="1:4" x14ac:dyDescent="0.25">
      <c r="A61" s="88">
        <v>54</v>
      </c>
      <c r="B61" s="89">
        <v>23.91</v>
      </c>
      <c r="C61" s="89">
        <v>3.94</v>
      </c>
      <c r="D61" s="89"/>
    </row>
    <row r="62" spans="1:4" x14ac:dyDescent="0.25">
      <c r="A62" s="88">
        <v>55</v>
      </c>
      <c r="B62" s="89">
        <v>23.33</v>
      </c>
      <c r="C62" s="89">
        <v>3.97</v>
      </c>
      <c r="D62" s="89"/>
    </row>
    <row r="63" spans="1:4" x14ac:dyDescent="0.25">
      <c r="A63" s="88">
        <v>56</v>
      </c>
      <c r="B63" s="89">
        <v>22.74</v>
      </c>
      <c r="C63" s="89">
        <v>4</v>
      </c>
      <c r="D63" s="89"/>
    </row>
    <row r="64" spans="1:4" x14ac:dyDescent="0.25">
      <c r="A64" s="88">
        <v>57</v>
      </c>
      <c r="B64" s="89">
        <v>22.14</v>
      </c>
      <c r="C64" s="89">
        <v>4.0199999999999996</v>
      </c>
      <c r="D64" s="89"/>
    </row>
    <row r="65" spans="1:4" x14ac:dyDescent="0.25">
      <c r="A65" s="88">
        <v>58</v>
      </c>
      <c r="B65" s="89">
        <v>21.54</v>
      </c>
      <c r="C65" s="89">
        <v>4.05</v>
      </c>
      <c r="D65" s="89"/>
    </row>
    <row r="66" spans="1:4" x14ac:dyDescent="0.25">
      <c r="A66" s="88">
        <v>59</v>
      </c>
      <c r="B66" s="89">
        <v>20.93</v>
      </c>
      <c r="C66" s="89">
        <v>4.07</v>
      </c>
      <c r="D66" s="89"/>
    </row>
    <row r="67" spans="1:4" x14ac:dyDescent="0.25">
      <c r="A67" s="88">
        <v>60</v>
      </c>
      <c r="B67" s="89">
        <v>20.32</v>
      </c>
      <c r="C67" s="89">
        <v>4.09</v>
      </c>
      <c r="D67" s="89"/>
    </row>
    <row r="68" spans="1:4" x14ac:dyDescent="0.25">
      <c r="A68" s="88">
        <v>61</v>
      </c>
      <c r="B68" s="89">
        <v>19.7</v>
      </c>
      <c r="C68" s="89">
        <v>4.1100000000000003</v>
      </c>
      <c r="D68" s="89"/>
    </row>
    <row r="69" spans="1:4" x14ac:dyDescent="0.25">
      <c r="A69" s="88">
        <v>62</v>
      </c>
      <c r="B69" s="89">
        <v>19.079999999999998</v>
      </c>
      <c r="C69" s="89">
        <v>4.13</v>
      </c>
      <c r="D69" s="89"/>
    </row>
    <row r="70" spans="1:4" x14ac:dyDescent="0.25">
      <c r="A70" s="88">
        <v>63</v>
      </c>
      <c r="B70" s="89">
        <v>18.46</v>
      </c>
      <c r="C70" s="89">
        <v>4.1399999999999997</v>
      </c>
      <c r="D70" s="89"/>
    </row>
    <row r="71" spans="1:4" x14ac:dyDescent="0.25">
      <c r="A71" s="88">
        <v>64</v>
      </c>
      <c r="B71" s="89">
        <v>17.829999999999998</v>
      </c>
      <c r="C71" s="89">
        <v>4.1500000000000004</v>
      </c>
      <c r="D71" s="89"/>
    </row>
    <row r="72" spans="1:4" x14ac:dyDescent="0.25">
      <c r="A72" s="88">
        <v>65</v>
      </c>
      <c r="B72" s="89">
        <v>17.2</v>
      </c>
      <c r="C72" s="89">
        <v>4.1500000000000004</v>
      </c>
      <c r="D72" s="89"/>
    </row>
    <row r="73" spans="1:4" x14ac:dyDescent="0.25">
      <c r="A73" s="88">
        <v>66</v>
      </c>
      <c r="B73" s="89">
        <v>16.57</v>
      </c>
      <c r="C73" s="89">
        <v>4.1500000000000004</v>
      </c>
      <c r="D73" s="89"/>
    </row>
    <row r="74" spans="1:4" x14ac:dyDescent="0.25">
      <c r="A74" s="88">
        <v>67</v>
      </c>
      <c r="B74" s="89">
        <v>15.94</v>
      </c>
      <c r="C74" s="89">
        <v>4.1500000000000004</v>
      </c>
      <c r="D74" s="89"/>
    </row>
    <row r="75" spans="1:4" x14ac:dyDescent="0.25">
      <c r="A75" s="88">
        <v>68</v>
      </c>
      <c r="B75" s="89">
        <v>15.31</v>
      </c>
      <c r="C75" s="89">
        <v>4.1399999999999997</v>
      </c>
      <c r="D75" s="89"/>
    </row>
    <row r="76" spans="1:4" x14ac:dyDescent="0.25">
      <c r="A76" s="88">
        <v>69</v>
      </c>
      <c r="B76" s="89">
        <v>14.67</v>
      </c>
      <c r="C76" s="89">
        <v>4.07</v>
      </c>
      <c r="D76" s="89">
        <v>3.01</v>
      </c>
    </row>
    <row r="77" spans="1:4" x14ac:dyDescent="0.25">
      <c r="A77" s="88">
        <v>70</v>
      </c>
      <c r="B77" s="89">
        <v>14.04</v>
      </c>
      <c r="C77" s="89">
        <v>4</v>
      </c>
      <c r="D77" s="89">
        <v>2.8</v>
      </c>
    </row>
    <row r="78" spans="1:4" x14ac:dyDescent="0.25">
      <c r="A78" s="88">
        <v>71</v>
      </c>
      <c r="B78" s="89">
        <v>13.42</v>
      </c>
      <c r="C78" s="89">
        <v>3.97</v>
      </c>
      <c r="D78" s="89">
        <v>2.6</v>
      </c>
    </row>
    <row r="79" spans="1:4" x14ac:dyDescent="0.25">
      <c r="A79" s="88">
        <v>72</v>
      </c>
      <c r="B79" s="89">
        <v>12.79</v>
      </c>
      <c r="C79" s="89">
        <v>3.94</v>
      </c>
      <c r="D79" s="89">
        <v>2.41</v>
      </c>
    </row>
    <row r="80" spans="1:4" x14ac:dyDescent="0.25">
      <c r="A80" s="88">
        <v>73</v>
      </c>
      <c r="B80" s="89">
        <v>12.17</v>
      </c>
      <c r="C80" s="89">
        <v>3.9</v>
      </c>
      <c r="D80" s="89">
        <v>2.23</v>
      </c>
    </row>
    <row r="81" spans="1:4" x14ac:dyDescent="0.25">
      <c r="A81" s="88">
        <v>74</v>
      </c>
      <c r="B81" s="89">
        <v>11.56</v>
      </c>
      <c r="C81" s="89">
        <v>3.74</v>
      </c>
      <c r="D81" s="89">
        <v>2.04</v>
      </c>
    </row>
    <row r="82" spans="1:4" x14ac:dyDescent="0.25">
      <c r="A82" s="88">
        <v>75</v>
      </c>
      <c r="B82" s="89">
        <v>10.95</v>
      </c>
      <c r="C82" s="89">
        <v>3.56</v>
      </c>
      <c r="D82" s="89">
        <v>1.86</v>
      </c>
    </row>
    <row r="83" spans="1:4" x14ac:dyDescent="0.25">
      <c r="A83" s="88">
        <v>76</v>
      </c>
      <c r="B83" s="89">
        <v>10.36</v>
      </c>
      <c r="C83" s="89">
        <v>3.51</v>
      </c>
      <c r="D83" s="89">
        <v>1.7</v>
      </c>
    </row>
    <row r="84" spans="1:4" x14ac:dyDescent="0.25">
      <c r="A84" s="88">
        <v>77</v>
      </c>
      <c r="B84" s="89">
        <v>9.77</v>
      </c>
      <c r="C84" s="89">
        <v>3.45</v>
      </c>
      <c r="D84" s="89">
        <v>1.54</v>
      </c>
    </row>
    <row r="85" spans="1:4" x14ac:dyDescent="0.25">
      <c r="A85" s="88">
        <v>78</v>
      </c>
      <c r="B85" s="89">
        <v>9.19</v>
      </c>
      <c r="C85" s="89">
        <v>3.38</v>
      </c>
      <c r="D85" s="89">
        <v>1.4</v>
      </c>
    </row>
    <row r="86" spans="1:4" x14ac:dyDescent="0.25">
      <c r="A86" s="88">
        <v>79</v>
      </c>
      <c r="B86" s="89">
        <v>8.6300000000000008</v>
      </c>
      <c r="C86" s="89">
        <v>3.1</v>
      </c>
      <c r="D86" s="89">
        <v>1.25</v>
      </c>
    </row>
    <row r="87" spans="1:4" x14ac:dyDescent="0.25">
      <c r="A87" s="88">
        <v>80</v>
      </c>
      <c r="B87" s="89">
        <v>8.09</v>
      </c>
      <c r="C87" s="89">
        <v>2.82</v>
      </c>
      <c r="D87" s="89">
        <v>1.1100000000000001</v>
      </c>
    </row>
    <row r="88" spans="1:4" x14ac:dyDescent="0.25">
      <c r="A88" s="88">
        <v>81</v>
      </c>
      <c r="B88" s="89">
        <v>7.56</v>
      </c>
      <c r="C88" s="89">
        <v>2.74</v>
      </c>
      <c r="D88" s="89">
        <v>0.99</v>
      </c>
    </row>
    <row r="89" spans="1:4" x14ac:dyDescent="0.25">
      <c r="A89" s="88">
        <v>82</v>
      </c>
      <c r="B89" s="89">
        <v>7.05</v>
      </c>
      <c r="C89" s="89">
        <v>2.66</v>
      </c>
      <c r="D89" s="89">
        <v>0.88</v>
      </c>
    </row>
    <row r="90" spans="1:4" x14ac:dyDescent="0.25">
      <c r="A90" s="88">
        <v>83</v>
      </c>
      <c r="B90" s="89">
        <v>6.56</v>
      </c>
      <c r="C90" s="89">
        <v>2.56</v>
      </c>
      <c r="D90" s="89">
        <v>0.79</v>
      </c>
    </row>
    <row r="91" spans="1:4" x14ac:dyDescent="0.25">
      <c r="A91" s="88">
        <v>84</v>
      </c>
      <c r="B91" s="89">
        <v>6.1</v>
      </c>
      <c r="C91" s="89">
        <v>2.2400000000000002</v>
      </c>
      <c r="D91" s="89">
        <v>0.68</v>
      </c>
    </row>
    <row r="92" spans="1:4" x14ac:dyDescent="0.25">
      <c r="A92" s="88">
        <v>85</v>
      </c>
      <c r="B92" s="89">
        <v>5.65</v>
      </c>
      <c r="C92" s="89">
        <v>1.92</v>
      </c>
      <c r="D92" s="89">
        <v>0.57999999999999996</v>
      </c>
    </row>
  </sheetData>
  <sheetProtection algorithmName="SHA-512" hashValue="ou6NmVEDgYc8haSKMmlFnzGK1Co5xMQU8i67OGktjtIV1+US5p4XT27jkzBa6ygLgTxxUq/sqE73yrfykZw5HA==" saltValue="gvN7tBFp1phSDZzCvcH2PA==" spinCount="100000" sheet="1" objects="1" scenarios="1"/>
  <conditionalFormatting sqref="A6:A16 A18:A20">
    <cfRule type="expression" dxfId="1163" priority="29" stopIfTrue="1">
      <formula>MOD(ROW(),2)=0</formula>
    </cfRule>
    <cfRule type="expression" dxfId="1162" priority="30" stopIfTrue="1">
      <formula>MOD(ROW(),2)&lt;&gt;0</formula>
    </cfRule>
  </conditionalFormatting>
  <conditionalFormatting sqref="B6:D6 B10:D16 C9:D9 B8:D8 C7:D7 C17:D19 B20:D21">
    <cfRule type="expression" dxfId="1161" priority="31" stopIfTrue="1">
      <formula>MOD(ROW(),2)=0</formula>
    </cfRule>
    <cfRule type="expression" dxfId="1160" priority="32" stopIfTrue="1">
      <formula>MOD(ROW(),2)&lt;&gt;0</formula>
    </cfRule>
  </conditionalFormatting>
  <conditionalFormatting sqref="B9">
    <cfRule type="expression" dxfId="1159" priority="23" stopIfTrue="1">
      <formula>MOD(ROW(),2)=0</formula>
    </cfRule>
    <cfRule type="expression" dxfId="1158" priority="24" stopIfTrue="1">
      <formula>MOD(ROW(),2)&lt;&gt;0</formula>
    </cfRule>
  </conditionalFormatting>
  <conditionalFormatting sqref="B6:D21">
    <cfRule type="expression" dxfId="1157" priority="21" stopIfTrue="1">
      <formula>MOD(ROW(),2)=0</formula>
    </cfRule>
    <cfRule type="expression" dxfId="1156" priority="22" stopIfTrue="1">
      <formula>MOD(ROW(),2)&lt;&gt;0</formula>
    </cfRule>
  </conditionalFormatting>
  <conditionalFormatting sqref="B17">
    <cfRule type="expression" dxfId="1155" priority="19" stopIfTrue="1">
      <formula>MOD(ROW(),2)=0</formula>
    </cfRule>
    <cfRule type="expression" dxfId="1154" priority="20" stopIfTrue="1">
      <formula>MOD(ROW(),2)&lt;&gt;0</formula>
    </cfRule>
  </conditionalFormatting>
  <conditionalFormatting sqref="A17">
    <cfRule type="expression" dxfId="1153" priority="17" stopIfTrue="1">
      <formula>MOD(ROW(),2)=0</formula>
    </cfRule>
    <cfRule type="expression" dxfId="1152" priority="18" stopIfTrue="1">
      <formula>MOD(ROW(),2)&lt;&gt;0</formula>
    </cfRule>
  </conditionalFormatting>
  <conditionalFormatting sqref="B18">
    <cfRule type="expression" dxfId="1151" priority="15" stopIfTrue="1">
      <formula>MOD(ROW(),2)=0</formula>
    </cfRule>
    <cfRule type="expression" dxfId="1150" priority="16" stopIfTrue="1">
      <formula>MOD(ROW(),2)&lt;&gt;0</formula>
    </cfRule>
  </conditionalFormatting>
  <conditionalFormatting sqref="A26:A92">
    <cfRule type="expression" dxfId="1149" priority="9" stopIfTrue="1">
      <formula>MOD(ROW(),2)=0</formula>
    </cfRule>
    <cfRule type="expression" dxfId="1148" priority="10" stopIfTrue="1">
      <formula>MOD(ROW(),2)&lt;&gt;0</formula>
    </cfRule>
  </conditionalFormatting>
  <conditionalFormatting sqref="B26:D75 B76:C92">
    <cfRule type="expression" dxfId="1147" priority="11" stopIfTrue="1">
      <formula>MOD(ROW(),2)=0</formula>
    </cfRule>
    <cfRule type="expression" dxfId="1146" priority="12" stopIfTrue="1">
      <formula>MOD(ROW(),2)&lt;&gt;0</formula>
    </cfRule>
  </conditionalFormatting>
  <conditionalFormatting sqref="D76:D92">
    <cfRule type="expression" dxfId="1145" priority="7" stopIfTrue="1">
      <formula>MOD(ROW(),2)=0</formula>
    </cfRule>
    <cfRule type="expression" dxfId="1144" priority="8" stopIfTrue="1">
      <formula>MOD(ROW(),2)&lt;&gt;0</formula>
    </cfRule>
  </conditionalFormatting>
  <conditionalFormatting sqref="B19">
    <cfRule type="expression" dxfId="1143" priority="5" stopIfTrue="1">
      <formula>MOD(ROW(),2)=0</formula>
    </cfRule>
    <cfRule type="expression" dxfId="1142" priority="6" stopIfTrue="1">
      <formula>MOD(ROW(),2)&lt;&gt;0</formula>
    </cfRule>
  </conditionalFormatting>
  <conditionalFormatting sqref="A21">
    <cfRule type="expression" dxfId="1141" priority="1" stopIfTrue="1">
      <formula>MOD(ROW(),2)=0</formula>
    </cfRule>
    <cfRule type="expression" dxfId="1140" priority="2" stopIfTrue="1">
      <formula>MOD(ROW(),2)&lt;&gt;0</formula>
    </cfRule>
  </conditionalFormatting>
  <hyperlinks>
    <hyperlink ref="B24" location="Assumptions!A1" display="Assumptions" xr:uid="{1046D097-F1F8-4C75-93A4-923E20665A6D}"/>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51"/>
  <dimension ref="A1:I92"/>
  <sheetViews>
    <sheetView showGridLines="0" zoomScale="85" zoomScaleNormal="85" workbookViewId="0">
      <selection activeCell="B18" sqref="B18"/>
    </sheetView>
  </sheetViews>
  <sheetFormatPr defaultColWidth="10" defaultRowHeight="12.5" x14ac:dyDescent="0.25"/>
  <cols>
    <col min="1" max="1" width="31.81640625" style="28" customWidth="1"/>
    <col min="2" max="4" width="22.81640625" style="28" customWidth="1"/>
    <col min="5" max="16384" width="10" style="28"/>
  </cols>
  <sheetData>
    <row r="1" spans="1:9" ht="20" x14ac:dyDescent="0.4">
      <c r="A1" s="40" t="s">
        <v>227</v>
      </c>
      <c r="B1" s="41"/>
      <c r="C1" s="41"/>
      <c r="D1" s="41"/>
      <c r="E1" s="41"/>
      <c r="F1" s="41"/>
      <c r="G1" s="41"/>
      <c r="H1" s="41"/>
      <c r="I1" s="41"/>
    </row>
    <row r="2" spans="1:9" ht="15.5" x14ac:dyDescent="0.35">
      <c r="A2" s="42" t="str">
        <f>IF(title="&gt; Enter workbook title here","Enter workbook title in Cover sheet",title)</f>
        <v>Fire Northern Ireland - Consolidated Factor Spreadsheet</v>
      </c>
      <c r="B2" s="43"/>
      <c r="C2" s="43"/>
      <c r="D2" s="43"/>
      <c r="E2" s="43"/>
      <c r="F2" s="43"/>
      <c r="G2" s="43"/>
      <c r="H2" s="43"/>
      <c r="I2" s="43"/>
    </row>
    <row r="3" spans="1:9" ht="15.5" x14ac:dyDescent="0.35">
      <c r="A3" s="44" t="str">
        <f>TABLE_FACTOR_TYPE_1&amp;" - x-"&amp;TABLE_SERIES_NUMBER_1</f>
        <v>Pensioner Cash Equivalent - x-308</v>
      </c>
      <c r="B3" s="43"/>
      <c r="C3" s="43"/>
      <c r="D3" s="43"/>
      <c r="E3" s="43"/>
      <c r="F3" s="43"/>
      <c r="G3" s="43"/>
      <c r="H3" s="43"/>
      <c r="I3" s="43"/>
    </row>
    <row r="4" spans="1:9" x14ac:dyDescent="0.25">
      <c r="A4" s="45"/>
    </row>
    <row r="6" spans="1:9" ht="13" x14ac:dyDescent="0.3">
      <c r="A6" s="155" t="s">
        <v>562</v>
      </c>
      <c r="B6" s="154" t="s">
        <v>563</v>
      </c>
      <c r="C6" s="154"/>
      <c r="D6" s="154"/>
    </row>
    <row r="7" spans="1:9" x14ac:dyDescent="0.25">
      <c r="A7" s="156" t="s">
        <v>305</v>
      </c>
      <c r="B7" s="154" t="s">
        <v>319</v>
      </c>
      <c r="C7" s="154"/>
      <c r="D7" s="154"/>
    </row>
    <row r="8" spans="1:9" x14ac:dyDescent="0.25">
      <c r="A8" s="156" t="s">
        <v>306</v>
      </c>
      <c r="B8" s="154" t="s">
        <v>332</v>
      </c>
      <c r="C8" s="154"/>
      <c r="D8" s="154"/>
    </row>
    <row r="9" spans="1:9" x14ac:dyDescent="0.25">
      <c r="A9" s="156" t="s">
        <v>307</v>
      </c>
      <c r="B9" s="154" t="s">
        <v>368</v>
      </c>
      <c r="C9" s="154"/>
      <c r="D9" s="154"/>
    </row>
    <row r="10" spans="1:9" x14ac:dyDescent="0.25">
      <c r="A10" s="156" t="s">
        <v>233</v>
      </c>
      <c r="B10" s="154" t="s">
        <v>374</v>
      </c>
      <c r="C10" s="154"/>
      <c r="D10" s="154"/>
    </row>
    <row r="11" spans="1:9" x14ac:dyDescent="0.25">
      <c r="A11" s="156" t="s">
        <v>308</v>
      </c>
      <c r="B11" s="154" t="s">
        <v>329</v>
      </c>
      <c r="C11" s="154"/>
      <c r="D11" s="154"/>
    </row>
    <row r="12" spans="1:9" x14ac:dyDescent="0.25">
      <c r="A12" s="156" t="s">
        <v>309</v>
      </c>
      <c r="B12" s="154" t="s">
        <v>324</v>
      </c>
      <c r="C12" s="154"/>
      <c r="D12" s="154"/>
    </row>
    <row r="13" spans="1:9" x14ac:dyDescent="0.25">
      <c r="A13" s="156" t="s">
        <v>570</v>
      </c>
      <c r="B13" s="154">
        <v>1</v>
      </c>
      <c r="C13" s="154"/>
      <c r="D13" s="154"/>
    </row>
    <row r="14" spans="1:9" x14ac:dyDescent="0.25">
      <c r="A14" s="156" t="s">
        <v>311</v>
      </c>
      <c r="B14" s="154">
        <v>308</v>
      </c>
      <c r="C14" s="154"/>
      <c r="D14" s="154"/>
    </row>
    <row r="15" spans="1:9" x14ac:dyDescent="0.25">
      <c r="A15" s="156" t="s">
        <v>573</v>
      </c>
      <c r="B15" s="154" t="s">
        <v>382</v>
      </c>
      <c r="C15" s="154"/>
      <c r="D15" s="154"/>
    </row>
    <row r="16" spans="1:9" x14ac:dyDescent="0.25">
      <c r="A16" s="156" t="s">
        <v>313</v>
      </c>
      <c r="B16" s="154" t="s">
        <v>378</v>
      </c>
      <c r="C16" s="154"/>
      <c r="D16" s="154"/>
    </row>
    <row r="17" spans="1:4" ht="66" customHeight="1" x14ac:dyDescent="0.25">
      <c r="A17" s="156" t="s">
        <v>642</v>
      </c>
      <c r="B17" s="154"/>
      <c r="C17" s="154"/>
      <c r="D17" s="154"/>
    </row>
    <row r="18" spans="1:4" x14ac:dyDescent="0.25">
      <c r="A18" s="156" t="s">
        <v>315</v>
      </c>
      <c r="B18" s="157">
        <v>45070</v>
      </c>
      <c r="C18" s="154"/>
      <c r="D18" s="154"/>
    </row>
    <row r="19" spans="1:4" x14ac:dyDescent="0.25">
      <c r="A19" s="156" t="s">
        <v>316</v>
      </c>
      <c r="B19" s="157">
        <v>45014</v>
      </c>
      <c r="C19" s="154"/>
      <c r="D19" s="154"/>
    </row>
    <row r="20" spans="1:4" x14ac:dyDescent="0.25">
      <c r="A20" s="156" t="s">
        <v>317</v>
      </c>
      <c r="B20" s="154" t="s">
        <v>327</v>
      </c>
      <c r="C20" s="154"/>
      <c r="D20" s="154"/>
    </row>
    <row r="21" spans="1:4" x14ac:dyDescent="0.25">
      <c r="A21" s="77" t="s">
        <v>318</v>
      </c>
      <c r="B21" s="154" t="s">
        <v>328</v>
      </c>
      <c r="C21" s="154"/>
      <c r="D21" s="154"/>
    </row>
    <row r="23" spans="1:4" x14ac:dyDescent="0.25">
      <c r="B23" s="91" t="str">
        <f>HYPERLINK("#'Factor List'!A1","Back to Factor List")</f>
        <v>Back to Factor List</v>
      </c>
    </row>
    <row r="24" spans="1:4" x14ac:dyDescent="0.25">
      <c r="B24" s="91" t="s">
        <v>240</v>
      </c>
    </row>
    <row r="25" spans="1:4" x14ac:dyDescent="0.25">
      <c r="B25" s="91"/>
    </row>
    <row r="26" spans="1:4" ht="26" x14ac:dyDescent="0.25">
      <c r="A26" s="87" t="s">
        <v>643</v>
      </c>
      <c r="B26" s="87" t="s">
        <v>653</v>
      </c>
      <c r="C26" s="87" t="s">
        <v>660</v>
      </c>
      <c r="D26" s="87" t="s">
        <v>656</v>
      </c>
    </row>
    <row r="27" spans="1:4" x14ac:dyDescent="0.25">
      <c r="A27" s="88">
        <v>20</v>
      </c>
      <c r="B27" s="89">
        <v>39.64</v>
      </c>
      <c r="C27" s="89">
        <v>2.59</v>
      </c>
      <c r="D27" s="89"/>
    </row>
    <row r="28" spans="1:4" x14ac:dyDescent="0.25">
      <c r="A28" s="88">
        <v>21</v>
      </c>
      <c r="B28" s="89">
        <v>39.28</v>
      </c>
      <c r="C28" s="89">
        <v>2.64</v>
      </c>
      <c r="D28" s="89"/>
    </row>
    <row r="29" spans="1:4" x14ac:dyDescent="0.25">
      <c r="A29" s="88">
        <v>22</v>
      </c>
      <c r="B29" s="89">
        <v>38.92</v>
      </c>
      <c r="C29" s="89">
        <v>2.68</v>
      </c>
      <c r="D29" s="89"/>
    </row>
    <row r="30" spans="1:4" x14ac:dyDescent="0.25">
      <c r="A30" s="88">
        <v>23</v>
      </c>
      <c r="B30" s="89">
        <v>38.549999999999997</v>
      </c>
      <c r="C30" s="89">
        <v>2.72</v>
      </c>
      <c r="D30" s="89"/>
    </row>
    <row r="31" spans="1:4" x14ac:dyDescent="0.25">
      <c r="A31" s="88">
        <v>24</v>
      </c>
      <c r="B31" s="89">
        <v>38.17</v>
      </c>
      <c r="C31" s="89">
        <v>2.77</v>
      </c>
      <c r="D31" s="89"/>
    </row>
    <row r="32" spans="1:4" x14ac:dyDescent="0.25">
      <c r="A32" s="88">
        <v>25</v>
      </c>
      <c r="B32" s="89">
        <v>37.79</v>
      </c>
      <c r="C32" s="89">
        <v>2.81</v>
      </c>
      <c r="D32" s="89"/>
    </row>
    <row r="33" spans="1:4" x14ac:dyDescent="0.25">
      <c r="A33" s="88">
        <v>26</v>
      </c>
      <c r="B33" s="89">
        <v>37.4</v>
      </c>
      <c r="C33" s="89">
        <v>2.85</v>
      </c>
      <c r="D33" s="89"/>
    </row>
    <row r="34" spans="1:4" x14ac:dyDescent="0.25">
      <c r="A34" s="88">
        <v>27</v>
      </c>
      <c r="B34" s="89">
        <v>37.01</v>
      </c>
      <c r="C34" s="89">
        <v>2.9</v>
      </c>
      <c r="D34" s="89"/>
    </row>
    <row r="35" spans="1:4" x14ac:dyDescent="0.25">
      <c r="A35" s="88">
        <v>28</v>
      </c>
      <c r="B35" s="89">
        <v>36.61</v>
      </c>
      <c r="C35" s="89">
        <v>2.94</v>
      </c>
      <c r="D35" s="89"/>
    </row>
    <row r="36" spans="1:4" x14ac:dyDescent="0.25">
      <c r="A36" s="88">
        <v>29</v>
      </c>
      <c r="B36" s="89">
        <v>36.200000000000003</v>
      </c>
      <c r="C36" s="89">
        <v>2.99</v>
      </c>
      <c r="D36" s="89"/>
    </row>
    <row r="37" spans="1:4" x14ac:dyDescent="0.25">
      <c r="A37" s="88">
        <v>30</v>
      </c>
      <c r="B37" s="89">
        <v>35.79</v>
      </c>
      <c r="C37" s="89">
        <v>3.03</v>
      </c>
      <c r="D37" s="89"/>
    </row>
    <row r="38" spans="1:4" x14ac:dyDescent="0.25">
      <c r="A38" s="88">
        <v>31</v>
      </c>
      <c r="B38" s="89">
        <v>35.369999999999997</v>
      </c>
      <c r="C38" s="89">
        <v>3.07</v>
      </c>
      <c r="D38" s="89"/>
    </row>
    <row r="39" spans="1:4" x14ac:dyDescent="0.25">
      <c r="A39" s="88">
        <v>32</v>
      </c>
      <c r="B39" s="89">
        <v>34.950000000000003</v>
      </c>
      <c r="C39" s="89">
        <v>3.12</v>
      </c>
      <c r="D39" s="89"/>
    </row>
    <row r="40" spans="1:4" x14ac:dyDescent="0.25">
      <c r="A40" s="88">
        <v>33</v>
      </c>
      <c r="B40" s="89">
        <v>34.51</v>
      </c>
      <c r="C40" s="89">
        <v>3.16</v>
      </c>
      <c r="D40" s="89"/>
    </row>
    <row r="41" spans="1:4" x14ac:dyDescent="0.25">
      <c r="A41" s="88">
        <v>34</v>
      </c>
      <c r="B41" s="89">
        <v>34.08</v>
      </c>
      <c r="C41" s="89">
        <v>3.2</v>
      </c>
      <c r="D41" s="89"/>
    </row>
    <row r="42" spans="1:4" x14ac:dyDescent="0.25">
      <c r="A42" s="88">
        <v>35</v>
      </c>
      <c r="B42" s="89">
        <v>33.630000000000003</v>
      </c>
      <c r="C42" s="89">
        <v>3.24</v>
      </c>
      <c r="D42" s="89"/>
    </row>
    <row r="43" spans="1:4" x14ac:dyDescent="0.25">
      <c r="A43" s="88">
        <v>36</v>
      </c>
      <c r="B43" s="89">
        <v>33.18</v>
      </c>
      <c r="C43" s="89">
        <v>3.29</v>
      </c>
      <c r="D43" s="89"/>
    </row>
    <row r="44" spans="1:4" x14ac:dyDescent="0.25">
      <c r="A44" s="88">
        <v>37</v>
      </c>
      <c r="B44" s="89">
        <v>32.72</v>
      </c>
      <c r="C44" s="89">
        <v>3.33</v>
      </c>
      <c r="D44" s="89"/>
    </row>
    <row r="45" spans="1:4" x14ac:dyDescent="0.25">
      <c r="A45" s="88">
        <v>38</v>
      </c>
      <c r="B45" s="89">
        <v>32.26</v>
      </c>
      <c r="C45" s="89">
        <v>3.37</v>
      </c>
      <c r="D45" s="89"/>
    </row>
    <row r="46" spans="1:4" x14ac:dyDescent="0.25">
      <c r="A46" s="88">
        <v>39</v>
      </c>
      <c r="B46" s="89">
        <v>31.79</v>
      </c>
      <c r="C46" s="89">
        <v>3.41</v>
      </c>
      <c r="D46" s="89"/>
    </row>
    <row r="47" spans="1:4" x14ac:dyDescent="0.25">
      <c r="A47" s="88">
        <v>40</v>
      </c>
      <c r="B47" s="89">
        <v>31.31</v>
      </c>
      <c r="C47" s="89">
        <v>3.45</v>
      </c>
      <c r="D47" s="89"/>
    </row>
    <row r="48" spans="1:4" x14ac:dyDescent="0.25">
      <c r="A48" s="88">
        <v>41</v>
      </c>
      <c r="B48" s="89">
        <v>30.82</v>
      </c>
      <c r="C48" s="89">
        <v>3.49</v>
      </c>
      <c r="D48" s="89"/>
    </row>
    <row r="49" spans="1:4" x14ac:dyDescent="0.25">
      <c r="A49" s="88">
        <v>42</v>
      </c>
      <c r="B49" s="89">
        <v>30.33</v>
      </c>
      <c r="C49" s="89">
        <v>3.53</v>
      </c>
      <c r="D49" s="89"/>
    </row>
    <row r="50" spans="1:4" x14ac:dyDescent="0.25">
      <c r="A50" s="88">
        <v>43</v>
      </c>
      <c r="B50" s="89">
        <v>29.83</v>
      </c>
      <c r="C50" s="89">
        <v>3.57</v>
      </c>
      <c r="D50" s="89"/>
    </row>
    <row r="51" spans="1:4" x14ac:dyDescent="0.25">
      <c r="A51" s="88">
        <v>44</v>
      </c>
      <c r="B51" s="89">
        <v>29.33</v>
      </c>
      <c r="C51" s="89">
        <v>3.61</v>
      </c>
      <c r="D51" s="89"/>
    </row>
    <row r="52" spans="1:4" x14ac:dyDescent="0.25">
      <c r="A52" s="88">
        <v>45</v>
      </c>
      <c r="B52" s="89">
        <v>28.82</v>
      </c>
      <c r="C52" s="89">
        <v>3.64</v>
      </c>
      <c r="D52" s="89"/>
    </row>
    <row r="53" spans="1:4" x14ac:dyDescent="0.25">
      <c r="A53" s="88">
        <v>46</v>
      </c>
      <c r="B53" s="89">
        <v>28.3</v>
      </c>
      <c r="C53" s="89">
        <v>3.68</v>
      </c>
      <c r="D53" s="89"/>
    </row>
    <row r="54" spans="1:4" x14ac:dyDescent="0.25">
      <c r="A54" s="88">
        <v>47</v>
      </c>
      <c r="B54" s="89">
        <v>27.78</v>
      </c>
      <c r="C54" s="89">
        <v>3.71</v>
      </c>
      <c r="D54" s="89"/>
    </row>
    <row r="55" spans="1:4" x14ac:dyDescent="0.25">
      <c r="A55" s="88">
        <v>48</v>
      </c>
      <c r="B55" s="89">
        <v>27.25</v>
      </c>
      <c r="C55" s="89">
        <v>3.75</v>
      </c>
      <c r="D55" s="89"/>
    </row>
    <row r="56" spans="1:4" x14ac:dyDescent="0.25">
      <c r="A56" s="88">
        <v>49</v>
      </c>
      <c r="B56" s="89">
        <v>26.71</v>
      </c>
      <c r="C56" s="89">
        <v>3.78</v>
      </c>
      <c r="D56" s="89"/>
    </row>
    <row r="57" spans="1:4" x14ac:dyDescent="0.25">
      <c r="A57" s="88">
        <v>50</v>
      </c>
      <c r="B57" s="89">
        <v>26.16</v>
      </c>
      <c r="C57" s="89">
        <v>3.82</v>
      </c>
      <c r="D57" s="89"/>
    </row>
    <row r="58" spans="1:4" x14ac:dyDescent="0.25">
      <c r="A58" s="88">
        <v>51</v>
      </c>
      <c r="B58" s="89">
        <v>25.61</v>
      </c>
      <c r="C58" s="89">
        <v>3.85</v>
      </c>
      <c r="D58" s="89"/>
    </row>
    <row r="59" spans="1:4" x14ac:dyDescent="0.25">
      <c r="A59" s="88">
        <v>52</v>
      </c>
      <c r="B59" s="89">
        <v>25.05</v>
      </c>
      <c r="C59" s="89">
        <v>3.88</v>
      </c>
      <c r="D59" s="89"/>
    </row>
    <row r="60" spans="1:4" x14ac:dyDescent="0.25">
      <c r="A60" s="88">
        <v>53</v>
      </c>
      <c r="B60" s="89">
        <v>24.48</v>
      </c>
      <c r="C60" s="89">
        <v>3.91</v>
      </c>
      <c r="D60" s="89"/>
    </row>
    <row r="61" spans="1:4" x14ac:dyDescent="0.25">
      <c r="A61" s="88">
        <v>54</v>
      </c>
      <c r="B61" s="89">
        <v>23.91</v>
      </c>
      <c r="C61" s="89">
        <v>3.94</v>
      </c>
      <c r="D61" s="89"/>
    </row>
    <row r="62" spans="1:4" x14ac:dyDescent="0.25">
      <c r="A62" s="88">
        <v>55</v>
      </c>
      <c r="B62" s="89">
        <v>23.33</v>
      </c>
      <c r="C62" s="89">
        <v>3.97</v>
      </c>
      <c r="D62" s="89"/>
    </row>
    <row r="63" spans="1:4" x14ac:dyDescent="0.25">
      <c r="A63" s="88">
        <v>56</v>
      </c>
      <c r="B63" s="89">
        <v>22.74</v>
      </c>
      <c r="C63" s="89">
        <v>4</v>
      </c>
      <c r="D63" s="89"/>
    </row>
    <row r="64" spans="1:4" x14ac:dyDescent="0.25">
      <c r="A64" s="88">
        <v>57</v>
      </c>
      <c r="B64" s="89">
        <v>22.14</v>
      </c>
      <c r="C64" s="89">
        <v>4.0199999999999996</v>
      </c>
      <c r="D64" s="89"/>
    </row>
    <row r="65" spans="1:4" x14ac:dyDescent="0.25">
      <c r="A65" s="88">
        <v>58</v>
      </c>
      <c r="B65" s="89">
        <v>21.54</v>
      </c>
      <c r="C65" s="89">
        <v>4.05</v>
      </c>
      <c r="D65" s="89"/>
    </row>
    <row r="66" spans="1:4" x14ac:dyDescent="0.25">
      <c r="A66" s="88">
        <v>59</v>
      </c>
      <c r="B66" s="89">
        <v>20.93</v>
      </c>
      <c r="C66" s="89">
        <v>4.07</v>
      </c>
      <c r="D66" s="89"/>
    </row>
    <row r="67" spans="1:4" x14ac:dyDescent="0.25">
      <c r="A67" s="88">
        <v>60</v>
      </c>
      <c r="B67" s="89">
        <v>20.32</v>
      </c>
      <c r="C67" s="89">
        <v>4.09</v>
      </c>
      <c r="D67" s="89"/>
    </row>
    <row r="68" spans="1:4" x14ac:dyDescent="0.25">
      <c r="A68" s="88">
        <v>61</v>
      </c>
      <c r="B68" s="89">
        <v>19.7</v>
      </c>
      <c r="C68" s="89">
        <v>4.1100000000000003</v>
      </c>
      <c r="D68" s="89"/>
    </row>
    <row r="69" spans="1:4" x14ac:dyDescent="0.25">
      <c r="A69" s="88">
        <v>62</v>
      </c>
      <c r="B69" s="89">
        <v>19.079999999999998</v>
      </c>
      <c r="C69" s="89">
        <v>4.13</v>
      </c>
      <c r="D69" s="89"/>
    </row>
    <row r="70" spans="1:4" x14ac:dyDescent="0.25">
      <c r="A70" s="88">
        <v>63</v>
      </c>
      <c r="B70" s="89">
        <v>18.46</v>
      </c>
      <c r="C70" s="89">
        <v>4.1399999999999997</v>
      </c>
      <c r="D70" s="89"/>
    </row>
    <row r="71" spans="1:4" x14ac:dyDescent="0.25">
      <c r="A71" s="88">
        <v>64</v>
      </c>
      <c r="B71" s="89">
        <v>17.829999999999998</v>
      </c>
      <c r="C71" s="89">
        <v>4.1500000000000004</v>
      </c>
      <c r="D71" s="89"/>
    </row>
    <row r="72" spans="1:4" x14ac:dyDescent="0.25">
      <c r="A72" s="88">
        <v>65</v>
      </c>
      <c r="B72" s="89">
        <v>17.2</v>
      </c>
      <c r="C72" s="89">
        <v>4.1500000000000004</v>
      </c>
      <c r="D72" s="89"/>
    </row>
    <row r="73" spans="1:4" x14ac:dyDescent="0.25">
      <c r="A73" s="88">
        <v>66</v>
      </c>
      <c r="B73" s="89">
        <v>16.57</v>
      </c>
      <c r="C73" s="89">
        <v>4.1500000000000004</v>
      </c>
      <c r="D73" s="89"/>
    </row>
    <row r="74" spans="1:4" x14ac:dyDescent="0.25">
      <c r="A74" s="88">
        <v>67</v>
      </c>
      <c r="B74" s="89">
        <v>15.94</v>
      </c>
      <c r="C74" s="89">
        <v>4.1500000000000004</v>
      </c>
      <c r="D74" s="89"/>
    </row>
    <row r="75" spans="1:4" x14ac:dyDescent="0.25">
      <c r="A75" s="88">
        <v>68</v>
      </c>
      <c r="B75" s="89">
        <v>15.31</v>
      </c>
      <c r="C75" s="89">
        <v>4.1399999999999997</v>
      </c>
      <c r="D75" s="89"/>
    </row>
    <row r="76" spans="1:4" x14ac:dyDescent="0.25">
      <c r="A76" s="88">
        <v>69</v>
      </c>
      <c r="B76" s="89">
        <v>14.67</v>
      </c>
      <c r="C76" s="89">
        <v>4.07</v>
      </c>
      <c r="D76" s="89">
        <v>2.82</v>
      </c>
    </row>
    <row r="77" spans="1:4" x14ac:dyDescent="0.25">
      <c r="A77" s="88">
        <v>70</v>
      </c>
      <c r="B77" s="89">
        <v>14.04</v>
      </c>
      <c r="C77" s="89">
        <v>4</v>
      </c>
      <c r="D77" s="89">
        <v>2.62</v>
      </c>
    </row>
    <row r="78" spans="1:4" x14ac:dyDescent="0.25">
      <c r="A78" s="88">
        <v>71</v>
      </c>
      <c r="B78" s="89">
        <v>13.42</v>
      </c>
      <c r="C78" s="89">
        <v>3.97</v>
      </c>
      <c r="D78" s="89">
        <v>2.42</v>
      </c>
    </row>
    <row r="79" spans="1:4" x14ac:dyDescent="0.25">
      <c r="A79" s="88">
        <v>72</v>
      </c>
      <c r="B79" s="89">
        <v>12.79</v>
      </c>
      <c r="C79" s="89">
        <v>3.94</v>
      </c>
      <c r="D79" s="89">
        <v>2.23</v>
      </c>
    </row>
    <row r="80" spans="1:4" x14ac:dyDescent="0.25">
      <c r="A80" s="88">
        <v>73</v>
      </c>
      <c r="B80" s="89">
        <v>12.17</v>
      </c>
      <c r="C80" s="89">
        <v>3.9</v>
      </c>
      <c r="D80" s="89">
        <v>2.0499999999999998</v>
      </c>
    </row>
    <row r="81" spans="1:4" x14ac:dyDescent="0.25">
      <c r="A81" s="88">
        <v>74</v>
      </c>
      <c r="B81" s="89">
        <v>11.56</v>
      </c>
      <c r="C81" s="89">
        <v>3.74</v>
      </c>
      <c r="D81" s="89">
        <v>1.88</v>
      </c>
    </row>
    <row r="82" spans="1:4" x14ac:dyDescent="0.25">
      <c r="A82" s="88">
        <v>75</v>
      </c>
      <c r="B82" s="89">
        <v>10.95</v>
      </c>
      <c r="C82" s="89">
        <v>3.56</v>
      </c>
      <c r="D82" s="89">
        <v>1.71</v>
      </c>
    </row>
    <row r="83" spans="1:4" x14ac:dyDescent="0.25">
      <c r="A83" s="88">
        <v>76</v>
      </c>
      <c r="B83" s="89">
        <v>10.36</v>
      </c>
      <c r="C83" s="89">
        <v>3.51</v>
      </c>
      <c r="D83" s="89">
        <v>1.56</v>
      </c>
    </row>
    <row r="84" spans="1:4" x14ac:dyDescent="0.25">
      <c r="A84" s="88">
        <v>77</v>
      </c>
      <c r="B84" s="89">
        <v>9.77</v>
      </c>
      <c r="C84" s="89">
        <v>3.45</v>
      </c>
      <c r="D84" s="89">
        <v>1.41</v>
      </c>
    </row>
    <row r="85" spans="1:4" x14ac:dyDescent="0.25">
      <c r="A85" s="88">
        <v>78</v>
      </c>
      <c r="B85" s="89">
        <v>9.19</v>
      </c>
      <c r="C85" s="89">
        <v>3.38</v>
      </c>
      <c r="D85" s="89">
        <v>1.27</v>
      </c>
    </row>
    <row r="86" spans="1:4" x14ac:dyDescent="0.25">
      <c r="A86" s="88">
        <v>79</v>
      </c>
      <c r="B86" s="89">
        <v>8.6300000000000008</v>
      </c>
      <c r="C86" s="89">
        <v>3.1</v>
      </c>
      <c r="D86" s="89">
        <v>1.1299999999999999</v>
      </c>
    </row>
    <row r="87" spans="1:4" x14ac:dyDescent="0.25">
      <c r="A87" s="88">
        <v>80</v>
      </c>
      <c r="B87" s="89">
        <v>8.09</v>
      </c>
      <c r="C87" s="89">
        <v>2.82</v>
      </c>
      <c r="D87" s="89">
        <v>1.01</v>
      </c>
    </row>
    <row r="88" spans="1:4" x14ac:dyDescent="0.25">
      <c r="A88" s="88">
        <v>81</v>
      </c>
      <c r="B88" s="89">
        <v>7.56</v>
      </c>
      <c r="C88" s="89">
        <v>2.74</v>
      </c>
      <c r="D88" s="89">
        <v>0.9</v>
      </c>
    </row>
    <row r="89" spans="1:4" x14ac:dyDescent="0.25">
      <c r="A89" s="88">
        <v>82</v>
      </c>
      <c r="B89" s="89">
        <v>7.05</v>
      </c>
      <c r="C89" s="89">
        <v>2.66</v>
      </c>
      <c r="D89" s="89">
        <v>0.8</v>
      </c>
    </row>
    <row r="90" spans="1:4" x14ac:dyDescent="0.25">
      <c r="A90" s="88">
        <v>83</v>
      </c>
      <c r="B90" s="89">
        <v>6.56</v>
      </c>
      <c r="C90" s="89">
        <v>2.56</v>
      </c>
      <c r="D90" s="89">
        <v>0.7</v>
      </c>
    </row>
    <row r="91" spans="1:4" x14ac:dyDescent="0.25">
      <c r="A91" s="88">
        <v>84</v>
      </c>
      <c r="B91" s="89">
        <v>6.1</v>
      </c>
      <c r="C91" s="89">
        <v>2.2400000000000002</v>
      </c>
      <c r="D91" s="89">
        <v>0.61</v>
      </c>
    </row>
    <row r="92" spans="1:4" x14ac:dyDescent="0.25">
      <c r="A92" s="88">
        <v>85</v>
      </c>
      <c r="B92" s="89">
        <v>5.65</v>
      </c>
      <c r="C92" s="89">
        <v>1.92</v>
      </c>
      <c r="D92" s="89">
        <v>0.54</v>
      </c>
    </row>
  </sheetData>
  <sheetProtection algorithmName="SHA-512" hashValue="4AOKY47kgoxFZjHTWHUjB8OsGrlLgcFne1WsLJRwMuYh6qjWfeIV7oDSkQmqTBiKl/DhAmJ3OfudGQo2REK9+g==" saltValue="68w72jKggvSAhXof4fUpmQ==" spinCount="100000" sheet="1" objects="1" scenarios="1"/>
  <conditionalFormatting sqref="A6:A16 A18:A20">
    <cfRule type="expression" dxfId="1139" priority="27" stopIfTrue="1">
      <formula>MOD(ROW(),2)=0</formula>
    </cfRule>
    <cfRule type="expression" dxfId="1138" priority="28" stopIfTrue="1">
      <formula>MOD(ROW(),2)&lt;&gt;0</formula>
    </cfRule>
  </conditionalFormatting>
  <conditionalFormatting sqref="B6:D6 B10:D16 C9:D9 B8:D8 C7:D7 C17:D19 B20:D21">
    <cfRule type="expression" dxfId="1137" priority="29" stopIfTrue="1">
      <formula>MOD(ROW(),2)=0</formula>
    </cfRule>
    <cfRule type="expression" dxfId="1136" priority="30" stopIfTrue="1">
      <formula>MOD(ROW(),2)&lt;&gt;0</formula>
    </cfRule>
  </conditionalFormatting>
  <conditionalFormatting sqref="B9">
    <cfRule type="expression" dxfId="1135" priority="21" stopIfTrue="1">
      <formula>MOD(ROW(),2)=0</formula>
    </cfRule>
    <cfRule type="expression" dxfId="1134" priority="22" stopIfTrue="1">
      <formula>MOD(ROW(),2)&lt;&gt;0</formula>
    </cfRule>
  </conditionalFormatting>
  <conditionalFormatting sqref="B6:D21">
    <cfRule type="expression" dxfId="1133" priority="19" stopIfTrue="1">
      <formula>MOD(ROW(),2)=0</formula>
    </cfRule>
    <cfRule type="expression" dxfId="1132" priority="20" stopIfTrue="1">
      <formula>MOD(ROW(),2)&lt;&gt;0</formula>
    </cfRule>
  </conditionalFormatting>
  <conditionalFormatting sqref="B17">
    <cfRule type="expression" dxfId="1131" priority="17" stopIfTrue="1">
      <formula>MOD(ROW(),2)=0</formula>
    </cfRule>
    <cfRule type="expression" dxfId="1130" priority="18" stopIfTrue="1">
      <formula>MOD(ROW(),2)&lt;&gt;0</formula>
    </cfRule>
  </conditionalFormatting>
  <conditionalFormatting sqref="A17">
    <cfRule type="expression" dxfId="1129" priority="15" stopIfTrue="1">
      <formula>MOD(ROW(),2)=0</formula>
    </cfRule>
    <cfRule type="expression" dxfId="1128" priority="16" stopIfTrue="1">
      <formula>MOD(ROW(),2)&lt;&gt;0</formula>
    </cfRule>
  </conditionalFormatting>
  <conditionalFormatting sqref="B18">
    <cfRule type="expression" dxfId="1127" priority="13" stopIfTrue="1">
      <formula>MOD(ROW(),2)=0</formula>
    </cfRule>
    <cfRule type="expression" dxfId="1126" priority="14" stopIfTrue="1">
      <formula>MOD(ROW(),2)&lt;&gt;0</formula>
    </cfRule>
  </conditionalFormatting>
  <conditionalFormatting sqref="A26:A92">
    <cfRule type="expression" dxfId="1125" priority="7" stopIfTrue="1">
      <formula>MOD(ROW(),2)=0</formula>
    </cfRule>
    <cfRule type="expression" dxfId="1124" priority="8" stopIfTrue="1">
      <formula>MOD(ROW(),2)&lt;&gt;0</formula>
    </cfRule>
  </conditionalFormatting>
  <conditionalFormatting sqref="B26:D92">
    <cfRule type="expression" dxfId="1123" priority="9" stopIfTrue="1">
      <formula>MOD(ROW(),2)=0</formula>
    </cfRule>
    <cfRule type="expression" dxfId="1122" priority="10" stopIfTrue="1">
      <formula>MOD(ROW(),2)&lt;&gt;0</formula>
    </cfRule>
  </conditionalFormatting>
  <conditionalFormatting sqref="B19">
    <cfRule type="expression" dxfId="1121" priority="5" stopIfTrue="1">
      <formula>MOD(ROW(),2)=0</formula>
    </cfRule>
    <cfRule type="expression" dxfId="1120" priority="6" stopIfTrue="1">
      <formula>MOD(ROW(),2)&lt;&gt;0</formula>
    </cfRule>
  </conditionalFormatting>
  <conditionalFormatting sqref="A21">
    <cfRule type="expression" dxfId="1119" priority="1" stopIfTrue="1">
      <formula>MOD(ROW(),2)=0</formula>
    </cfRule>
    <cfRule type="expression" dxfId="1118" priority="2" stopIfTrue="1">
      <formula>MOD(ROW(),2)&lt;&gt;0</formula>
    </cfRule>
  </conditionalFormatting>
  <hyperlinks>
    <hyperlink ref="B24" location="Assumptions!A1" display="Assumptions" xr:uid="{5FF00340-085D-4EE0-97CA-A55683F96DF9}"/>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52"/>
  <dimension ref="A1:I65"/>
  <sheetViews>
    <sheetView showGridLines="0" zoomScale="85" zoomScaleNormal="85" workbookViewId="0">
      <selection activeCell="B18" sqref="B18"/>
    </sheetView>
  </sheetViews>
  <sheetFormatPr defaultColWidth="10" defaultRowHeight="12.5" x14ac:dyDescent="0.25"/>
  <cols>
    <col min="1" max="1" width="31.81640625" style="28" customWidth="1"/>
    <col min="2" max="4" width="22.81640625" style="28" customWidth="1"/>
    <col min="5" max="16384" width="10" style="28"/>
  </cols>
  <sheetData>
    <row r="1" spans="1:9" ht="20" x14ac:dyDescent="0.4">
      <c r="A1" s="40" t="s">
        <v>227</v>
      </c>
      <c r="B1" s="41"/>
      <c r="C1" s="41"/>
      <c r="D1" s="41"/>
      <c r="E1" s="41"/>
      <c r="F1" s="41"/>
      <c r="G1" s="41"/>
      <c r="H1" s="41"/>
      <c r="I1" s="41"/>
    </row>
    <row r="2" spans="1:9" ht="15.5" x14ac:dyDescent="0.35">
      <c r="A2" s="42" t="str">
        <f>IF(title="&gt; Enter workbook title here","Enter workbook title in Cover sheet",title)</f>
        <v>Fire Northern Ireland - Consolidated Factor Spreadsheet</v>
      </c>
      <c r="B2" s="43"/>
      <c r="C2" s="43"/>
      <c r="D2" s="43"/>
      <c r="E2" s="43"/>
      <c r="F2" s="43"/>
      <c r="G2" s="43"/>
      <c r="H2" s="43"/>
      <c r="I2" s="43"/>
    </row>
    <row r="3" spans="1:9" ht="15.5" x14ac:dyDescent="0.35">
      <c r="A3" s="44" t="str">
        <f>TABLE_FACTOR_TYPE_1&amp;" - x-"&amp;TABLE_SERIES_NUMBER_1</f>
        <v>Pensioner Cash Equivalent - x-309</v>
      </c>
      <c r="B3" s="43"/>
      <c r="C3" s="43"/>
      <c r="D3" s="43"/>
      <c r="E3" s="43"/>
      <c r="F3" s="43"/>
      <c r="G3" s="43"/>
      <c r="H3" s="43"/>
      <c r="I3" s="43"/>
    </row>
    <row r="4" spans="1:9" x14ac:dyDescent="0.25">
      <c r="A4" s="45"/>
    </row>
    <row r="6" spans="1:9" ht="13" x14ac:dyDescent="0.3">
      <c r="A6" s="155" t="s">
        <v>562</v>
      </c>
      <c r="B6" s="154" t="s">
        <v>563</v>
      </c>
      <c r="C6" s="154"/>
      <c r="D6" s="154"/>
    </row>
    <row r="7" spans="1:9" x14ac:dyDescent="0.25">
      <c r="A7" s="156" t="s">
        <v>305</v>
      </c>
      <c r="B7" s="154" t="s">
        <v>319</v>
      </c>
      <c r="C7" s="154"/>
      <c r="D7" s="154"/>
    </row>
    <row r="8" spans="1:9" x14ac:dyDescent="0.25">
      <c r="A8" s="156" t="s">
        <v>306</v>
      </c>
      <c r="B8" s="154">
        <v>2015</v>
      </c>
      <c r="C8" s="154"/>
      <c r="D8" s="154"/>
    </row>
    <row r="9" spans="1:9" x14ac:dyDescent="0.25">
      <c r="A9" s="156" t="s">
        <v>307</v>
      </c>
      <c r="B9" s="154" t="s">
        <v>368</v>
      </c>
      <c r="C9" s="154"/>
      <c r="D9" s="154"/>
    </row>
    <row r="10" spans="1:9" x14ac:dyDescent="0.25">
      <c r="A10" s="156" t="s">
        <v>233</v>
      </c>
      <c r="B10" s="154" t="s">
        <v>369</v>
      </c>
      <c r="C10" s="154"/>
      <c r="D10" s="154"/>
    </row>
    <row r="11" spans="1:9" x14ac:dyDescent="0.25">
      <c r="A11" s="156" t="s">
        <v>308</v>
      </c>
      <c r="B11" s="154" t="s">
        <v>323</v>
      </c>
      <c r="C11" s="154"/>
      <c r="D11" s="154"/>
    </row>
    <row r="12" spans="1:9" x14ac:dyDescent="0.25">
      <c r="A12" s="156" t="s">
        <v>309</v>
      </c>
      <c r="B12" s="154" t="s">
        <v>324</v>
      </c>
      <c r="C12" s="154"/>
      <c r="D12" s="154"/>
    </row>
    <row r="13" spans="1:9" x14ac:dyDescent="0.25">
      <c r="A13" s="156" t="s">
        <v>570</v>
      </c>
      <c r="B13" s="154">
        <v>0</v>
      </c>
      <c r="C13" s="154"/>
      <c r="D13" s="154"/>
    </row>
    <row r="14" spans="1:9" x14ac:dyDescent="0.25">
      <c r="A14" s="156" t="s">
        <v>311</v>
      </c>
      <c r="B14" s="154">
        <v>309</v>
      </c>
      <c r="C14" s="154"/>
      <c r="D14" s="154"/>
    </row>
    <row r="15" spans="1:9" x14ac:dyDescent="0.25">
      <c r="A15" s="156" t="s">
        <v>573</v>
      </c>
      <c r="B15" s="154" t="s">
        <v>383</v>
      </c>
      <c r="C15" s="154"/>
      <c r="D15" s="154"/>
    </row>
    <row r="16" spans="1:9" x14ac:dyDescent="0.25">
      <c r="A16" s="156" t="s">
        <v>313</v>
      </c>
      <c r="B16" s="154" t="s">
        <v>326</v>
      </c>
      <c r="C16" s="154"/>
      <c r="D16" s="154"/>
    </row>
    <row r="17" spans="1:4" x14ac:dyDescent="0.25">
      <c r="A17" s="162" t="s">
        <v>642</v>
      </c>
      <c r="B17" s="154"/>
      <c r="C17" s="154"/>
      <c r="D17" s="154"/>
    </row>
    <row r="18" spans="1:4" x14ac:dyDescent="0.25">
      <c r="A18" s="156" t="s">
        <v>315</v>
      </c>
      <c r="B18" s="157">
        <v>45070</v>
      </c>
      <c r="C18" s="154"/>
      <c r="D18" s="154"/>
    </row>
    <row r="19" spans="1:4" x14ac:dyDescent="0.25">
      <c r="A19" s="156" t="s">
        <v>316</v>
      </c>
      <c r="B19" s="157">
        <v>45014</v>
      </c>
      <c r="C19" s="154"/>
      <c r="D19" s="154"/>
    </row>
    <row r="20" spans="1:4" x14ac:dyDescent="0.25">
      <c r="A20" s="156" t="s">
        <v>317</v>
      </c>
      <c r="B20" s="154" t="s">
        <v>327</v>
      </c>
      <c r="C20" s="154"/>
      <c r="D20" s="154"/>
    </row>
    <row r="21" spans="1:4" x14ac:dyDescent="0.25">
      <c r="A21" s="77" t="s">
        <v>318</v>
      </c>
      <c r="B21" s="154" t="s">
        <v>328</v>
      </c>
      <c r="C21" s="154"/>
      <c r="D21" s="154"/>
    </row>
    <row r="23" spans="1:4" x14ac:dyDescent="0.25">
      <c r="B23" s="91" t="str">
        <f>HYPERLINK("#'Factor List'!A1","Back to Factor List")</f>
        <v>Back to Factor List</v>
      </c>
    </row>
    <row r="24" spans="1:4" x14ac:dyDescent="0.25">
      <c r="B24" s="91" t="s">
        <v>240</v>
      </c>
    </row>
    <row r="25" spans="1:4" x14ac:dyDescent="0.25">
      <c r="B25" s="91"/>
    </row>
    <row r="26" spans="1:4" ht="36" customHeight="1" x14ac:dyDescent="0.25">
      <c r="A26" s="87" t="s">
        <v>643</v>
      </c>
      <c r="B26" s="87" t="s">
        <v>653</v>
      </c>
      <c r="C26" s="87" t="s">
        <v>660</v>
      </c>
      <c r="D26" s="87" t="s">
        <v>656</v>
      </c>
    </row>
    <row r="27" spans="1:4" x14ac:dyDescent="0.25">
      <c r="A27" s="88">
        <v>55</v>
      </c>
      <c r="B27" s="89">
        <v>23.37</v>
      </c>
      <c r="C27" s="89">
        <v>3.97</v>
      </c>
      <c r="D27" s="89"/>
    </row>
    <row r="28" spans="1:4" x14ac:dyDescent="0.25">
      <c r="A28" s="88">
        <v>56</v>
      </c>
      <c r="B28" s="89">
        <v>22.78</v>
      </c>
      <c r="C28" s="89">
        <v>4</v>
      </c>
      <c r="D28" s="89"/>
    </row>
    <row r="29" spans="1:4" x14ac:dyDescent="0.25">
      <c r="A29" s="88">
        <v>57</v>
      </c>
      <c r="B29" s="89">
        <v>22.19</v>
      </c>
      <c r="C29" s="89">
        <v>4.0199999999999996</v>
      </c>
      <c r="D29" s="89"/>
    </row>
    <row r="30" spans="1:4" x14ac:dyDescent="0.25">
      <c r="A30" s="88">
        <v>58</v>
      </c>
      <c r="B30" s="89">
        <v>21.6</v>
      </c>
      <c r="C30" s="89">
        <v>4.05</v>
      </c>
      <c r="D30" s="89"/>
    </row>
    <row r="31" spans="1:4" x14ac:dyDescent="0.25">
      <c r="A31" s="88">
        <v>59</v>
      </c>
      <c r="B31" s="89">
        <v>20.99</v>
      </c>
      <c r="C31" s="89">
        <v>4.07</v>
      </c>
      <c r="D31" s="89"/>
    </row>
    <row r="32" spans="1:4" x14ac:dyDescent="0.25">
      <c r="A32" s="88">
        <v>60</v>
      </c>
      <c r="B32" s="89">
        <v>20.37</v>
      </c>
      <c r="C32" s="89">
        <v>4.09</v>
      </c>
      <c r="D32" s="89"/>
    </row>
    <row r="33" spans="1:4" x14ac:dyDescent="0.25">
      <c r="A33" s="88">
        <v>61</v>
      </c>
      <c r="B33" s="89">
        <v>19.739999999999998</v>
      </c>
      <c r="C33" s="89">
        <v>4.1100000000000003</v>
      </c>
      <c r="D33" s="89"/>
    </row>
    <row r="34" spans="1:4" x14ac:dyDescent="0.25">
      <c r="A34" s="88">
        <v>62</v>
      </c>
      <c r="B34" s="89">
        <v>19.100000000000001</v>
      </c>
      <c r="C34" s="89">
        <v>4.13</v>
      </c>
      <c r="D34" s="89"/>
    </row>
    <row r="35" spans="1:4" x14ac:dyDescent="0.25">
      <c r="A35" s="88">
        <v>63</v>
      </c>
      <c r="B35" s="89">
        <v>18.46</v>
      </c>
      <c r="C35" s="89">
        <v>4.1399999999999997</v>
      </c>
      <c r="D35" s="89"/>
    </row>
    <row r="36" spans="1:4" x14ac:dyDescent="0.25">
      <c r="A36" s="88">
        <v>64</v>
      </c>
      <c r="B36" s="89">
        <v>17.829999999999998</v>
      </c>
      <c r="C36" s="89">
        <v>4.1500000000000004</v>
      </c>
      <c r="D36" s="89"/>
    </row>
    <row r="37" spans="1:4" x14ac:dyDescent="0.25">
      <c r="A37" s="88">
        <v>65</v>
      </c>
      <c r="B37" s="89">
        <v>17.2</v>
      </c>
      <c r="C37" s="89">
        <v>4.1500000000000004</v>
      </c>
      <c r="D37" s="89"/>
    </row>
    <row r="38" spans="1:4" x14ac:dyDescent="0.25">
      <c r="A38" s="88">
        <v>66</v>
      </c>
      <c r="B38" s="89">
        <v>16.57</v>
      </c>
      <c r="C38" s="89">
        <v>4.1500000000000004</v>
      </c>
      <c r="D38" s="89"/>
    </row>
    <row r="39" spans="1:4" x14ac:dyDescent="0.25">
      <c r="A39" s="88">
        <v>67</v>
      </c>
      <c r="B39" s="89">
        <v>15.94</v>
      </c>
      <c r="C39" s="89">
        <v>4.1500000000000004</v>
      </c>
      <c r="D39" s="89"/>
    </row>
    <row r="40" spans="1:4" x14ac:dyDescent="0.25">
      <c r="A40" s="88">
        <v>68</v>
      </c>
      <c r="B40" s="89">
        <v>15.31</v>
      </c>
      <c r="C40" s="89">
        <v>4.1399999999999997</v>
      </c>
      <c r="D40" s="89"/>
    </row>
    <row r="41" spans="1:4" x14ac:dyDescent="0.25">
      <c r="A41" s="88">
        <v>69</v>
      </c>
      <c r="B41" s="89">
        <v>14.67</v>
      </c>
      <c r="C41" s="89">
        <v>4.07</v>
      </c>
      <c r="D41" s="89">
        <v>3.01</v>
      </c>
    </row>
    <row r="42" spans="1:4" x14ac:dyDescent="0.25">
      <c r="A42" s="88">
        <v>70</v>
      </c>
      <c r="B42" s="89">
        <v>14.04</v>
      </c>
      <c r="C42" s="89">
        <v>4</v>
      </c>
      <c r="D42" s="89">
        <v>2.8</v>
      </c>
    </row>
    <row r="43" spans="1:4" x14ac:dyDescent="0.25">
      <c r="A43" s="88">
        <v>71</v>
      </c>
      <c r="B43" s="89">
        <v>13.42</v>
      </c>
      <c r="C43" s="89">
        <v>3.97</v>
      </c>
      <c r="D43" s="89">
        <v>2.6</v>
      </c>
    </row>
    <row r="44" spans="1:4" x14ac:dyDescent="0.25">
      <c r="A44" s="88">
        <v>72</v>
      </c>
      <c r="B44" s="89">
        <v>12.79</v>
      </c>
      <c r="C44" s="89">
        <v>3.94</v>
      </c>
      <c r="D44" s="89">
        <v>2.41</v>
      </c>
    </row>
    <row r="45" spans="1:4" x14ac:dyDescent="0.25">
      <c r="A45" s="88">
        <v>73</v>
      </c>
      <c r="B45" s="89">
        <v>12.17</v>
      </c>
      <c r="C45" s="89">
        <v>3.9</v>
      </c>
      <c r="D45" s="89">
        <v>2.23</v>
      </c>
    </row>
    <row r="46" spans="1:4" x14ac:dyDescent="0.25">
      <c r="A46" s="88">
        <v>74</v>
      </c>
      <c r="B46" s="89">
        <v>11.56</v>
      </c>
      <c r="C46" s="89">
        <v>3.74</v>
      </c>
      <c r="D46" s="89">
        <v>2.04</v>
      </c>
    </row>
    <row r="47" spans="1:4" x14ac:dyDescent="0.25">
      <c r="A47" s="88">
        <v>75</v>
      </c>
      <c r="B47" s="89">
        <v>10.95</v>
      </c>
      <c r="C47" s="89">
        <v>3.56</v>
      </c>
      <c r="D47" s="89">
        <v>1.86</v>
      </c>
    </row>
    <row r="48" spans="1:4" x14ac:dyDescent="0.25">
      <c r="A48" s="88">
        <v>76</v>
      </c>
      <c r="B48" s="89">
        <v>10.36</v>
      </c>
      <c r="C48" s="89">
        <v>3.51</v>
      </c>
      <c r="D48" s="89">
        <v>1.7</v>
      </c>
    </row>
    <row r="49" spans="1:4" x14ac:dyDescent="0.25">
      <c r="A49" s="88">
        <v>77</v>
      </c>
      <c r="B49" s="89">
        <v>9.77</v>
      </c>
      <c r="C49" s="89">
        <v>3.45</v>
      </c>
      <c r="D49" s="89">
        <v>1.54</v>
      </c>
    </row>
    <row r="50" spans="1:4" x14ac:dyDescent="0.25">
      <c r="A50" s="88">
        <v>78</v>
      </c>
      <c r="B50" s="89">
        <v>9.19</v>
      </c>
      <c r="C50" s="89">
        <v>3.38</v>
      </c>
      <c r="D50" s="89">
        <v>1.4</v>
      </c>
    </row>
    <row r="51" spans="1:4" x14ac:dyDescent="0.25">
      <c r="A51" s="88">
        <v>79</v>
      </c>
      <c r="B51" s="89">
        <v>8.6300000000000008</v>
      </c>
      <c r="C51" s="89">
        <v>3.1</v>
      </c>
      <c r="D51" s="89">
        <v>1.25</v>
      </c>
    </row>
    <row r="52" spans="1:4" x14ac:dyDescent="0.25">
      <c r="A52" s="88">
        <v>80</v>
      </c>
      <c r="B52" s="89">
        <v>8.09</v>
      </c>
      <c r="C52" s="89">
        <v>2.82</v>
      </c>
      <c r="D52" s="89">
        <v>1.1100000000000001</v>
      </c>
    </row>
    <row r="53" spans="1:4" x14ac:dyDescent="0.25">
      <c r="A53" s="88">
        <v>81</v>
      </c>
      <c r="B53" s="89">
        <v>7.56</v>
      </c>
      <c r="C53" s="89">
        <v>2.74</v>
      </c>
      <c r="D53" s="89">
        <v>0.99</v>
      </c>
    </row>
    <row r="54" spans="1:4" x14ac:dyDescent="0.25">
      <c r="A54" s="88">
        <v>82</v>
      </c>
      <c r="B54" s="89">
        <v>7.05</v>
      </c>
      <c r="C54" s="89">
        <v>2.66</v>
      </c>
      <c r="D54" s="89">
        <v>0.88</v>
      </c>
    </row>
    <row r="55" spans="1:4" x14ac:dyDescent="0.25">
      <c r="A55" s="88">
        <v>83</v>
      </c>
      <c r="B55" s="89">
        <v>6.56</v>
      </c>
      <c r="C55" s="89">
        <v>2.56</v>
      </c>
      <c r="D55" s="89">
        <v>0.79</v>
      </c>
    </row>
    <row r="56" spans="1:4" x14ac:dyDescent="0.25">
      <c r="A56" s="88">
        <v>84</v>
      </c>
      <c r="B56" s="89">
        <v>6.1</v>
      </c>
      <c r="C56" s="89">
        <v>2.2400000000000002</v>
      </c>
      <c r="D56" s="89">
        <v>0.68</v>
      </c>
    </row>
    <row r="57" spans="1:4" x14ac:dyDescent="0.25">
      <c r="A57" s="88">
        <v>85</v>
      </c>
      <c r="B57" s="89">
        <v>5.65</v>
      </c>
      <c r="C57" s="89">
        <v>1.92</v>
      </c>
      <c r="D57" s="89">
        <v>0.57999999999999996</v>
      </c>
    </row>
    <row r="58" spans="1:4" x14ac:dyDescent="0.25">
      <c r="A58"/>
      <c r="B58"/>
    </row>
    <row r="59" spans="1:4" x14ac:dyDescent="0.25">
      <c r="A59"/>
      <c r="B59"/>
    </row>
    <row r="60" spans="1:4" x14ac:dyDescent="0.25">
      <c r="A60"/>
      <c r="B60"/>
    </row>
    <row r="61" spans="1:4" x14ac:dyDescent="0.25">
      <c r="A61"/>
      <c r="B61"/>
    </row>
    <row r="62" spans="1:4" x14ac:dyDescent="0.25">
      <c r="A62"/>
      <c r="B62"/>
    </row>
    <row r="63" spans="1:4" x14ac:dyDescent="0.25">
      <c r="A63"/>
      <c r="B63"/>
    </row>
    <row r="64" spans="1:4" x14ac:dyDescent="0.25">
      <c r="A64"/>
      <c r="B64"/>
    </row>
    <row r="65" spans="1:2" x14ac:dyDescent="0.25">
      <c r="A65"/>
      <c r="B65"/>
    </row>
  </sheetData>
  <sheetProtection algorithmName="SHA-512" hashValue="fxXuqPD+rvt1yJ5TylnsUV2Nt7xgfqdhB1/yuLWdJi6HzmwJMOVq7AAgolcBG/6Se0b7uIsfiXagZ7b11ladGg==" saltValue="pnYQjwjzxY/fkmnDogWQYA==" spinCount="100000" sheet="1" objects="1" scenarios="1"/>
  <conditionalFormatting sqref="A6:A16 A18:A20">
    <cfRule type="expression" dxfId="1117" priority="27" stopIfTrue="1">
      <formula>MOD(ROW(),2)=0</formula>
    </cfRule>
    <cfRule type="expression" dxfId="1116" priority="28" stopIfTrue="1">
      <formula>MOD(ROW(),2)&lt;&gt;0</formula>
    </cfRule>
  </conditionalFormatting>
  <conditionalFormatting sqref="B6:D6 B10:D17 C9:D9 B8:D8 C7:D7 C18:D19 B20:D21">
    <cfRule type="expression" dxfId="1115" priority="29" stopIfTrue="1">
      <formula>MOD(ROW(),2)=0</formula>
    </cfRule>
    <cfRule type="expression" dxfId="1114" priority="30" stopIfTrue="1">
      <formula>MOD(ROW(),2)&lt;&gt;0</formula>
    </cfRule>
  </conditionalFormatting>
  <conditionalFormatting sqref="B9">
    <cfRule type="expression" dxfId="1113" priority="21" stopIfTrue="1">
      <formula>MOD(ROW(),2)=0</formula>
    </cfRule>
    <cfRule type="expression" dxfId="1112" priority="22" stopIfTrue="1">
      <formula>MOD(ROW(),2)&lt;&gt;0</formula>
    </cfRule>
  </conditionalFormatting>
  <conditionalFormatting sqref="B6:D21">
    <cfRule type="expression" dxfId="1111" priority="19" stopIfTrue="1">
      <formula>MOD(ROW(),2)=0</formula>
    </cfRule>
    <cfRule type="expression" dxfId="1110" priority="20" stopIfTrue="1">
      <formula>MOD(ROW(),2)&lt;&gt;0</formula>
    </cfRule>
  </conditionalFormatting>
  <conditionalFormatting sqref="A17">
    <cfRule type="expression" dxfId="1109" priority="17" stopIfTrue="1">
      <formula>MOD(ROW(),2)=0</formula>
    </cfRule>
    <cfRule type="expression" dxfId="1108" priority="18" stopIfTrue="1">
      <formula>MOD(ROW(),2)&lt;&gt;0</formula>
    </cfRule>
  </conditionalFormatting>
  <conditionalFormatting sqref="B18">
    <cfRule type="expression" dxfId="1107" priority="15" stopIfTrue="1">
      <formula>MOD(ROW(),2)=0</formula>
    </cfRule>
    <cfRule type="expression" dxfId="1106" priority="16" stopIfTrue="1">
      <formula>MOD(ROW(),2)&lt;&gt;0</formula>
    </cfRule>
  </conditionalFormatting>
  <conditionalFormatting sqref="A26:A57">
    <cfRule type="expression" dxfId="1105" priority="9" stopIfTrue="1">
      <formula>MOD(ROW(),2)=0</formula>
    </cfRule>
    <cfRule type="expression" dxfId="1104" priority="10" stopIfTrue="1">
      <formula>MOD(ROW(),2)&lt;&gt;0</formula>
    </cfRule>
  </conditionalFormatting>
  <conditionalFormatting sqref="B26:D40 B41:C57">
    <cfRule type="expression" dxfId="1103" priority="11" stopIfTrue="1">
      <formula>MOD(ROW(),2)=0</formula>
    </cfRule>
    <cfRule type="expression" dxfId="1102" priority="12" stopIfTrue="1">
      <formula>MOD(ROW(),2)&lt;&gt;0</formula>
    </cfRule>
  </conditionalFormatting>
  <conditionalFormatting sqref="D41:D57">
    <cfRule type="expression" dxfId="1101" priority="7" stopIfTrue="1">
      <formula>MOD(ROW(),2)=0</formula>
    </cfRule>
    <cfRule type="expression" dxfId="1100" priority="8" stopIfTrue="1">
      <formula>MOD(ROW(),2)&lt;&gt;0</formula>
    </cfRule>
  </conditionalFormatting>
  <conditionalFormatting sqref="B19">
    <cfRule type="expression" dxfId="1099" priority="5" stopIfTrue="1">
      <formula>MOD(ROW(),2)=0</formula>
    </cfRule>
    <cfRule type="expression" dxfId="1098" priority="6" stopIfTrue="1">
      <formula>MOD(ROW(),2)&lt;&gt;0</formula>
    </cfRule>
  </conditionalFormatting>
  <conditionalFormatting sqref="A21">
    <cfRule type="expression" dxfId="1097" priority="1" stopIfTrue="1">
      <formula>MOD(ROW(),2)=0</formula>
    </cfRule>
    <cfRule type="expression" dxfId="1096" priority="2" stopIfTrue="1">
      <formula>MOD(ROW(),2)&lt;&gt;0</formula>
    </cfRule>
  </conditionalFormatting>
  <hyperlinks>
    <hyperlink ref="B24" location="Assumptions!A1" display="Assumptions" xr:uid="{D87E5B0B-B12E-4A9A-96E2-2F84A2988CEB}"/>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53"/>
  <dimension ref="A1:I65"/>
  <sheetViews>
    <sheetView showGridLines="0" zoomScale="85" zoomScaleNormal="85" workbookViewId="0">
      <selection activeCell="B18" sqref="B18"/>
    </sheetView>
  </sheetViews>
  <sheetFormatPr defaultColWidth="10" defaultRowHeight="12.5" x14ac:dyDescent="0.25"/>
  <cols>
    <col min="1" max="1" width="31.81640625" style="28" customWidth="1"/>
    <col min="2" max="4" width="22.81640625" style="28" customWidth="1"/>
    <col min="5" max="16384" width="10" style="28"/>
  </cols>
  <sheetData>
    <row r="1" spans="1:9" ht="20" x14ac:dyDescent="0.4">
      <c r="A1" s="40" t="s">
        <v>227</v>
      </c>
      <c r="B1" s="41"/>
      <c r="C1" s="41"/>
      <c r="D1" s="41"/>
      <c r="E1" s="41"/>
      <c r="F1" s="41"/>
      <c r="G1" s="41"/>
      <c r="H1" s="41"/>
      <c r="I1" s="41"/>
    </row>
    <row r="2" spans="1:9" ht="15.5" x14ac:dyDescent="0.35">
      <c r="A2" s="42" t="str">
        <f>IF(title="&gt; Enter workbook title here","Enter workbook title in Cover sheet",title)</f>
        <v>Fire Northern Ireland - Consolidated Factor Spreadsheet</v>
      </c>
      <c r="B2" s="43"/>
      <c r="C2" s="43"/>
      <c r="D2" s="43"/>
      <c r="E2" s="43"/>
      <c r="F2" s="43"/>
      <c r="G2" s="43"/>
      <c r="H2" s="43"/>
      <c r="I2" s="43"/>
    </row>
    <row r="3" spans="1:9" ht="15.5" x14ac:dyDescent="0.35">
      <c r="A3" s="44" t="str">
        <f>TABLE_FACTOR_TYPE_1&amp;" - x-"&amp;TABLE_SERIES_NUMBER_1</f>
        <v>Pensioner Cash Equivalent - x-310</v>
      </c>
      <c r="B3" s="43"/>
      <c r="C3" s="43"/>
      <c r="D3" s="43"/>
      <c r="E3" s="43"/>
      <c r="F3" s="43"/>
      <c r="G3" s="43"/>
      <c r="H3" s="43"/>
      <c r="I3" s="43"/>
    </row>
    <row r="4" spans="1:9" x14ac:dyDescent="0.25">
      <c r="A4" s="45"/>
    </row>
    <row r="6" spans="1:9" ht="13" x14ac:dyDescent="0.3">
      <c r="A6" s="155" t="s">
        <v>562</v>
      </c>
      <c r="B6" s="154" t="s">
        <v>563</v>
      </c>
      <c r="C6" s="154"/>
      <c r="D6" s="154"/>
    </row>
    <row r="7" spans="1:9" x14ac:dyDescent="0.25">
      <c r="A7" s="156" t="s">
        <v>305</v>
      </c>
      <c r="B7" s="154" t="s">
        <v>319</v>
      </c>
      <c r="C7" s="154"/>
      <c r="D7" s="154"/>
    </row>
    <row r="8" spans="1:9" x14ac:dyDescent="0.25">
      <c r="A8" s="156" t="s">
        <v>306</v>
      </c>
      <c r="B8" s="154">
        <v>2015</v>
      </c>
      <c r="C8" s="154"/>
      <c r="D8" s="154"/>
    </row>
    <row r="9" spans="1:9" x14ac:dyDescent="0.25">
      <c r="A9" s="156" t="s">
        <v>307</v>
      </c>
      <c r="B9" s="154" t="s">
        <v>368</v>
      </c>
      <c r="C9" s="154"/>
      <c r="D9" s="154"/>
    </row>
    <row r="10" spans="1:9" x14ac:dyDescent="0.25">
      <c r="A10" s="156" t="s">
        <v>233</v>
      </c>
      <c r="B10" s="154" t="s">
        <v>369</v>
      </c>
      <c r="C10" s="154"/>
      <c r="D10" s="154"/>
    </row>
    <row r="11" spans="1:9" x14ac:dyDescent="0.25">
      <c r="A11" s="156" t="s">
        <v>308</v>
      </c>
      <c r="B11" s="154" t="s">
        <v>329</v>
      </c>
      <c r="C11" s="154"/>
      <c r="D11" s="154"/>
    </row>
    <row r="12" spans="1:9" x14ac:dyDescent="0.25">
      <c r="A12" s="156" t="s">
        <v>309</v>
      </c>
      <c r="B12" s="154" t="s">
        <v>324</v>
      </c>
      <c r="C12" s="154"/>
      <c r="D12" s="154"/>
    </row>
    <row r="13" spans="1:9" x14ac:dyDescent="0.25">
      <c r="A13" s="156" t="s">
        <v>570</v>
      </c>
      <c r="B13" s="154">
        <v>0</v>
      </c>
      <c r="C13" s="154"/>
      <c r="D13" s="154"/>
    </row>
    <row r="14" spans="1:9" x14ac:dyDescent="0.25">
      <c r="A14" s="156" t="s">
        <v>311</v>
      </c>
      <c r="B14" s="154">
        <v>310</v>
      </c>
      <c r="C14" s="154"/>
      <c r="D14" s="154"/>
    </row>
    <row r="15" spans="1:9" x14ac:dyDescent="0.25">
      <c r="A15" s="156" t="s">
        <v>573</v>
      </c>
      <c r="B15" s="154" t="s">
        <v>384</v>
      </c>
      <c r="C15" s="154"/>
      <c r="D15" s="154"/>
    </row>
    <row r="16" spans="1:9" x14ac:dyDescent="0.25">
      <c r="A16" s="156" t="s">
        <v>313</v>
      </c>
      <c r="B16" s="154" t="s">
        <v>331</v>
      </c>
      <c r="C16" s="154"/>
      <c r="D16" s="154"/>
    </row>
    <row r="17" spans="1:4" x14ac:dyDescent="0.25">
      <c r="A17" s="162" t="s">
        <v>642</v>
      </c>
      <c r="B17" s="154"/>
      <c r="C17" s="154"/>
      <c r="D17" s="154"/>
    </row>
    <row r="18" spans="1:4" x14ac:dyDescent="0.25">
      <c r="A18" s="156" t="s">
        <v>315</v>
      </c>
      <c r="B18" s="157">
        <v>45070</v>
      </c>
      <c r="C18" s="154"/>
      <c r="D18" s="154"/>
    </row>
    <row r="19" spans="1:4" x14ac:dyDescent="0.25">
      <c r="A19" s="156" t="s">
        <v>316</v>
      </c>
      <c r="B19" s="157">
        <v>45014</v>
      </c>
      <c r="C19" s="154"/>
      <c r="D19" s="154"/>
    </row>
    <row r="20" spans="1:4" x14ac:dyDescent="0.25">
      <c r="A20" s="156" t="s">
        <v>317</v>
      </c>
      <c r="B20" s="154" t="s">
        <v>327</v>
      </c>
      <c r="C20" s="154"/>
      <c r="D20" s="154"/>
    </row>
    <row r="21" spans="1:4" x14ac:dyDescent="0.25">
      <c r="A21" s="77" t="s">
        <v>318</v>
      </c>
      <c r="B21" s="154" t="s">
        <v>328</v>
      </c>
      <c r="C21" s="154"/>
      <c r="D21" s="154"/>
    </row>
    <row r="23" spans="1:4" x14ac:dyDescent="0.25">
      <c r="B23" s="91" t="str">
        <f>HYPERLINK("#'Factor List'!A1","Back to Factor List")</f>
        <v>Back to Factor List</v>
      </c>
    </row>
    <row r="24" spans="1:4" x14ac:dyDescent="0.25">
      <c r="B24" s="91" t="s">
        <v>240</v>
      </c>
    </row>
    <row r="25" spans="1:4" x14ac:dyDescent="0.25">
      <c r="B25" s="91"/>
    </row>
    <row r="26" spans="1:4" ht="41.9" customHeight="1" x14ac:dyDescent="0.25">
      <c r="A26" s="87" t="s">
        <v>643</v>
      </c>
      <c r="B26" s="87" t="s">
        <v>653</v>
      </c>
      <c r="C26" s="87" t="s">
        <v>660</v>
      </c>
      <c r="D26" s="87" t="s">
        <v>656</v>
      </c>
    </row>
    <row r="27" spans="1:4" x14ac:dyDescent="0.25">
      <c r="A27" s="88">
        <v>55</v>
      </c>
      <c r="B27" s="89">
        <v>23.37</v>
      </c>
      <c r="C27" s="89">
        <v>3.97</v>
      </c>
      <c r="D27" s="89"/>
    </row>
    <row r="28" spans="1:4" x14ac:dyDescent="0.25">
      <c r="A28" s="88">
        <v>56</v>
      </c>
      <c r="B28" s="89">
        <v>22.78</v>
      </c>
      <c r="C28" s="89">
        <v>4</v>
      </c>
      <c r="D28" s="89"/>
    </row>
    <row r="29" spans="1:4" x14ac:dyDescent="0.25">
      <c r="A29" s="88">
        <v>57</v>
      </c>
      <c r="B29" s="89">
        <v>22.19</v>
      </c>
      <c r="C29" s="89">
        <v>4.0199999999999996</v>
      </c>
      <c r="D29" s="89"/>
    </row>
    <row r="30" spans="1:4" x14ac:dyDescent="0.25">
      <c r="A30" s="88">
        <v>58</v>
      </c>
      <c r="B30" s="89">
        <v>21.6</v>
      </c>
      <c r="C30" s="89">
        <v>4.05</v>
      </c>
      <c r="D30" s="89"/>
    </row>
    <row r="31" spans="1:4" x14ac:dyDescent="0.25">
      <c r="A31" s="88">
        <v>59</v>
      </c>
      <c r="B31" s="89">
        <v>20.99</v>
      </c>
      <c r="C31" s="89">
        <v>4.07</v>
      </c>
      <c r="D31" s="89"/>
    </row>
    <row r="32" spans="1:4" x14ac:dyDescent="0.25">
      <c r="A32" s="88">
        <v>60</v>
      </c>
      <c r="B32" s="89">
        <v>20.37</v>
      </c>
      <c r="C32" s="89">
        <v>4.09</v>
      </c>
      <c r="D32" s="89"/>
    </row>
    <row r="33" spans="1:4" x14ac:dyDescent="0.25">
      <c r="A33" s="88">
        <v>61</v>
      </c>
      <c r="B33" s="89">
        <v>19.739999999999998</v>
      </c>
      <c r="C33" s="89">
        <v>4.1100000000000003</v>
      </c>
      <c r="D33" s="89"/>
    </row>
    <row r="34" spans="1:4" x14ac:dyDescent="0.25">
      <c r="A34" s="88">
        <v>62</v>
      </c>
      <c r="B34" s="89">
        <v>19.100000000000001</v>
      </c>
      <c r="C34" s="89">
        <v>4.13</v>
      </c>
      <c r="D34" s="89"/>
    </row>
    <row r="35" spans="1:4" x14ac:dyDescent="0.25">
      <c r="A35" s="88">
        <v>63</v>
      </c>
      <c r="B35" s="89">
        <v>18.46</v>
      </c>
      <c r="C35" s="89">
        <v>4.1399999999999997</v>
      </c>
      <c r="D35" s="89"/>
    </row>
    <row r="36" spans="1:4" x14ac:dyDescent="0.25">
      <c r="A36" s="88">
        <v>64</v>
      </c>
      <c r="B36" s="89">
        <v>17.829999999999998</v>
      </c>
      <c r="C36" s="89">
        <v>4.1500000000000004</v>
      </c>
      <c r="D36" s="89"/>
    </row>
    <row r="37" spans="1:4" x14ac:dyDescent="0.25">
      <c r="A37" s="88">
        <v>65</v>
      </c>
      <c r="B37" s="89">
        <v>17.2</v>
      </c>
      <c r="C37" s="89">
        <v>4.1500000000000004</v>
      </c>
      <c r="D37" s="89"/>
    </row>
    <row r="38" spans="1:4" x14ac:dyDescent="0.25">
      <c r="A38" s="88">
        <v>66</v>
      </c>
      <c r="B38" s="89">
        <v>16.57</v>
      </c>
      <c r="C38" s="89">
        <v>4.1500000000000004</v>
      </c>
      <c r="D38" s="89"/>
    </row>
    <row r="39" spans="1:4" x14ac:dyDescent="0.25">
      <c r="A39" s="88">
        <v>67</v>
      </c>
      <c r="B39" s="89">
        <v>15.94</v>
      </c>
      <c r="C39" s="89">
        <v>4.1500000000000004</v>
      </c>
      <c r="D39" s="89"/>
    </row>
    <row r="40" spans="1:4" x14ac:dyDescent="0.25">
      <c r="A40" s="88">
        <v>68</v>
      </c>
      <c r="B40" s="89">
        <v>15.31</v>
      </c>
      <c r="C40" s="89">
        <v>4.1399999999999997</v>
      </c>
      <c r="D40" s="89"/>
    </row>
    <row r="41" spans="1:4" x14ac:dyDescent="0.25">
      <c r="A41" s="88">
        <v>69</v>
      </c>
      <c r="B41" s="89">
        <v>14.67</v>
      </c>
      <c r="C41" s="89">
        <v>4.07</v>
      </c>
      <c r="D41" s="89">
        <v>2.82</v>
      </c>
    </row>
    <row r="42" spans="1:4" x14ac:dyDescent="0.25">
      <c r="A42" s="88">
        <v>70</v>
      </c>
      <c r="B42" s="89">
        <v>14.04</v>
      </c>
      <c r="C42" s="89">
        <v>4</v>
      </c>
      <c r="D42" s="89">
        <v>2.62</v>
      </c>
    </row>
    <row r="43" spans="1:4" x14ac:dyDescent="0.25">
      <c r="A43" s="88">
        <v>71</v>
      </c>
      <c r="B43" s="89">
        <v>13.42</v>
      </c>
      <c r="C43" s="89">
        <v>3.97</v>
      </c>
      <c r="D43" s="89">
        <v>2.42</v>
      </c>
    </row>
    <row r="44" spans="1:4" x14ac:dyDescent="0.25">
      <c r="A44" s="88">
        <v>72</v>
      </c>
      <c r="B44" s="89">
        <v>12.79</v>
      </c>
      <c r="C44" s="89">
        <v>3.94</v>
      </c>
      <c r="D44" s="89">
        <v>2.23</v>
      </c>
    </row>
    <row r="45" spans="1:4" x14ac:dyDescent="0.25">
      <c r="A45" s="88">
        <v>73</v>
      </c>
      <c r="B45" s="89">
        <v>12.17</v>
      </c>
      <c r="C45" s="89">
        <v>3.9</v>
      </c>
      <c r="D45" s="89">
        <v>2.0499999999999998</v>
      </c>
    </row>
    <row r="46" spans="1:4" x14ac:dyDescent="0.25">
      <c r="A46" s="88">
        <v>74</v>
      </c>
      <c r="B46" s="89">
        <v>11.56</v>
      </c>
      <c r="C46" s="89">
        <v>3.74</v>
      </c>
      <c r="D46" s="89">
        <v>1.88</v>
      </c>
    </row>
    <row r="47" spans="1:4" x14ac:dyDescent="0.25">
      <c r="A47" s="88">
        <v>75</v>
      </c>
      <c r="B47" s="89">
        <v>10.95</v>
      </c>
      <c r="C47" s="89">
        <v>3.56</v>
      </c>
      <c r="D47" s="89">
        <v>1.71</v>
      </c>
    </row>
    <row r="48" spans="1:4" x14ac:dyDescent="0.25">
      <c r="A48" s="88">
        <v>76</v>
      </c>
      <c r="B48" s="89">
        <v>10.36</v>
      </c>
      <c r="C48" s="89">
        <v>3.51</v>
      </c>
      <c r="D48" s="89">
        <v>1.56</v>
      </c>
    </row>
    <row r="49" spans="1:4" x14ac:dyDescent="0.25">
      <c r="A49" s="88">
        <v>77</v>
      </c>
      <c r="B49" s="89">
        <v>9.77</v>
      </c>
      <c r="C49" s="89">
        <v>3.45</v>
      </c>
      <c r="D49" s="89">
        <v>1.41</v>
      </c>
    </row>
    <row r="50" spans="1:4" x14ac:dyDescent="0.25">
      <c r="A50" s="88">
        <v>78</v>
      </c>
      <c r="B50" s="89">
        <v>9.19</v>
      </c>
      <c r="C50" s="89">
        <v>3.38</v>
      </c>
      <c r="D50" s="89">
        <v>1.27</v>
      </c>
    </row>
    <row r="51" spans="1:4" x14ac:dyDescent="0.25">
      <c r="A51" s="88">
        <v>79</v>
      </c>
      <c r="B51" s="89">
        <v>8.6300000000000008</v>
      </c>
      <c r="C51" s="89">
        <v>3.1</v>
      </c>
      <c r="D51" s="89">
        <v>1.1299999999999999</v>
      </c>
    </row>
    <row r="52" spans="1:4" x14ac:dyDescent="0.25">
      <c r="A52" s="88">
        <v>80</v>
      </c>
      <c r="B52" s="89">
        <v>8.09</v>
      </c>
      <c r="C52" s="89">
        <v>2.82</v>
      </c>
      <c r="D52" s="89">
        <v>1.01</v>
      </c>
    </row>
    <row r="53" spans="1:4" x14ac:dyDescent="0.25">
      <c r="A53" s="88">
        <v>81</v>
      </c>
      <c r="B53" s="89">
        <v>7.56</v>
      </c>
      <c r="C53" s="89">
        <v>2.74</v>
      </c>
      <c r="D53" s="89">
        <v>0.9</v>
      </c>
    </row>
    <row r="54" spans="1:4" x14ac:dyDescent="0.25">
      <c r="A54" s="88">
        <v>82</v>
      </c>
      <c r="B54" s="89">
        <v>7.05</v>
      </c>
      <c r="C54" s="89">
        <v>2.66</v>
      </c>
      <c r="D54" s="89">
        <v>0.8</v>
      </c>
    </row>
    <row r="55" spans="1:4" x14ac:dyDescent="0.25">
      <c r="A55" s="88">
        <v>83</v>
      </c>
      <c r="B55" s="89">
        <v>6.56</v>
      </c>
      <c r="C55" s="89">
        <v>2.56</v>
      </c>
      <c r="D55" s="89">
        <v>0.7</v>
      </c>
    </row>
    <row r="56" spans="1:4" x14ac:dyDescent="0.25">
      <c r="A56" s="88">
        <v>84</v>
      </c>
      <c r="B56" s="89">
        <v>6.1</v>
      </c>
      <c r="C56" s="89">
        <v>2.2400000000000002</v>
      </c>
      <c r="D56" s="89">
        <v>0.61</v>
      </c>
    </row>
    <row r="57" spans="1:4" x14ac:dyDescent="0.25">
      <c r="A57" s="88">
        <v>85</v>
      </c>
      <c r="B57" s="89">
        <v>5.65</v>
      </c>
      <c r="C57" s="89">
        <v>1.92</v>
      </c>
      <c r="D57" s="89">
        <v>0.54</v>
      </c>
    </row>
    <row r="58" spans="1:4" x14ac:dyDescent="0.25">
      <c r="A58"/>
      <c r="B58"/>
    </row>
    <row r="59" spans="1:4" x14ac:dyDescent="0.25">
      <c r="A59"/>
      <c r="B59"/>
    </row>
    <row r="60" spans="1:4" x14ac:dyDescent="0.25">
      <c r="A60"/>
      <c r="B60"/>
    </row>
    <row r="61" spans="1:4" x14ac:dyDescent="0.25">
      <c r="A61"/>
      <c r="B61"/>
    </row>
    <row r="62" spans="1:4" x14ac:dyDescent="0.25">
      <c r="A62"/>
      <c r="B62"/>
    </row>
    <row r="63" spans="1:4" x14ac:dyDescent="0.25">
      <c r="A63"/>
      <c r="B63"/>
    </row>
    <row r="64" spans="1:4" x14ac:dyDescent="0.25">
      <c r="A64"/>
      <c r="B64"/>
    </row>
    <row r="65" spans="1:2" x14ac:dyDescent="0.25">
      <c r="A65"/>
      <c r="B65"/>
    </row>
  </sheetData>
  <sheetProtection algorithmName="SHA-512" hashValue="JJVeNcoyE7G8uCTVAwcmXnwf0MFrU5O7K9esBDEMh+bch6/qPOBBijd5EezCatleIUbtoWcGNi1O9w5Oc1HA0A==" saltValue="5JjNexrKOyl044A6r19L6A==" spinCount="100000" sheet="1" objects="1" scenarios="1"/>
  <conditionalFormatting sqref="A6:A16 A18:A20">
    <cfRule type="expression" dxfId="1095" priority="27" stopIfTrue="1">
      <formula>MOD(ROW(),2)=0</formula>
    </cfRule>
    <cfRule type="expression" dxfId="1094" priority="28" stopIfTrue="1">
      <formula>MOD(ROW(),2)&lt;&gt;0</formula>
    </cfRule>
  </conditionalFormatting>
  <conditionalFormatting sqref="B6:D6 B10:D16 C9:D9 B8:D8 C7:D7 C17:D19 B20:D21">
    <cfRule type="expression" dxfId="1093" priority="29" stopIfTrue="1">
      <formula>MOD(ROW(),2)=0</formula>
    </cfRule>
    <cfRule type="expression" dxfId="1092" priority="30" stopIfTrue="1">
      <formula>MOD(ROW(),2)&lt;&gt;0</formula>
    </cfRule>
  </conditionalFormatting>
  <conditionalFormatting sqref="B9">
    <cfRule type="expression" dxfId="1091" priority="21" stopIfTrue="1">
      <formula>MOD(ROW(),2)=0</formula>
    </cfRule>
    <cfRule type="expression" dxfId="1090" priority="22" stopIfTrue="1">
      <formula>MOD(ROW(),2)&lt;&gt;0</formula>
    </cfRule>
  </conditionalFormatting>
  <conditionalFormatting sqref="B6:D21">
    <cfRule type="expression" dxfId="1089" priority="19" stopIfTrue="1">
      <formula>MOD(ROW(),2)=0</formula>
    </cfRule>
    <cfRule type="expression" dxfId="1088" priority="20" stopIfTrue="1">
      <formula>MOD(ROW(),2)&lt;&gt;0</formula>
    </cfRule>
  </conditionalFormatting>
  <conditionalFormatting sqref="B17">
    <cfRule type="expression" dxfId="1087" priority="17" stopIfTrue="1">
      <formula>MOD(ROW(),2)=0</formula>
    </cfRule>
    <cfRule type="expression" dxfId="1086" priority="18" stopIfTrue="1">
      <formula>MOD(ROW(),2)&lt;&gt;0</formula>
    </cfRule>
  </conditionalFormatting>
  <conditionalFormatting sqref="A17">
    <cfRule type="expression" dxfId="1085" priority="15" stopIfTrue="1">
      <formula>MOD(ROW(),2)=0</formula>
    </cfRule>
    <cfRule type="expression" dxfId="1084" priority="16" stopIfTrue="1">
      <formula>MOD(ROW(),2)&lt;&gt;0</formula>
    </cfRule>
  </conditionalFormatting>
  <conditionalFormatting sqref="B18">
    <cfRule type="expression" dxfId="1083" priority="13" stopIfTrue="1">
      <formula>MOD(ROW(),2)=0</formula>
    </cfRule>
    <cfRule type="expression" dxfId="1082" priority="14" stopIfTrue="1">
      <formula>MOD(ROW(),2)&lt;&gt;0</formula>
    </cfRule>
  </conditionalFormatting>
  <conditionalFormatting sqref="A26:A57">
    <cfRule type="expression" dxfId="1081" priority="7" stopIfTrue="1">
      <formula>MOD(ROW(),2)=0</formula>
    </cfRule>
    <cfRule type="expression" dxfId="1080" priority="8" stopIfTrue="1">
      <formula>MOD(ROW(),2)&lt;&gt;0</formula>
    </cfRule>
  </conditionalFormatting>
  <conditionalFormatting sqref="B26:D57">
    <cfRule type="expression" dxfId="1079" priority="9" stopIfTrue="1">
      <formula>MOD(ROW(),2)=0</formula>
    </cfRule>
    <cfRule type="expression" dxfId="1078" priority="10" stopIfTrue="1">
      <formula>MOD(ROW(),2)&lt;&gt;0</formula>
    </cfRule>
  </conditionalFormatting>
  <conditionalFormatting sqref="B19">
    <cfRule type="expression" dxfId="1077" priority="5" stopIfTrue="1">
      <formula>MOD(ROW(),2)=0</formula>
    </cfRule>
    <cfRule type="expression" dxfId="1076" priority="6" stopIfTrue="1">
      <formula>MOD(ROW(),2)&lt;&gt;0</formula>
    </cfRule>
  </conditionalFormatting>
  <conditionalFormatting sqref="A21">
    <cfRule type="expression" dxfId="1075" priority="1" stopIfTrue="1">
      <formula>MOD(ROW(),2)=0</formula>
    </cfRule>
    <cfRule type="expression" dxfId="1074" priority="2" stopIfTrue="1">
      <formula>MOD(ROW(),2)&lt;&gt;0</formula>
    </cfRule>
  </conditionalFormatting>
  <hyperlinks>
    <hyperlink ref="B24" location="Assumptions!A1" display="Assumptions" xr:uid="{77A54D0F-BB88-4E2B-8019-6CE17BA8F5A6}"/>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54"/>
  <dimension ref="A1:I92"/>
  <sheetViews>
    <sheetView showGridLines="0" zoomScale="85" zoomScaleNormal="85" workbookViewId="0">
      <selection activeCell="B18" sqref="B18"/>
    </sheetView>
  </sheetViews>
  <sheetFormatPr defaultColWidth="10" defaultRowHeight="12.5" x14ac:dyDescent="0.25"/>
  <cols>
    <col min="1" max="1" width="31.81640625" style="28" customWidth="1"/>
    <col min="2" max="4" width="22.81640625" style="28" customWidth="1"/>
    <col min="5" max="16384" width="10" style="28"/>
  </cols>
  <sheetData>
    <row r="1" spans="1:9" ht="20" x14ac:dyDescent="0.4">
      <c r="A1" s="40" t="s">
        <v>227</v>
      </c>
      <c r="B1" s="41"/>
      <c r="C1" s="41"/>
      <c r="D1" s="41"/>
      <c r="E1" s="41"/>
      <c r="F1" s="41"/>
      <c r="G1" s="41"/>
      <c r="H1" s="41"/>
      <c r="I1" s="41"/>
    </row>
    <row r="2" spans="1:9" ht="15.5" x14ac:dyDescent="0.35">
      <c r="A2" s="42" t="str">
        <f>IF(title="&gt; Enter workbook title here","Enter workbook title in Cover sheet",title)</f>
        <v>Fire Northern Ireland - Consolidated Factor Spreadsheet</v>
      </c>
      <c r="B2" s="43"/>
      <c r="C2" s="43"/>
      <c r="D2" s="43"/>
      <c r="E2" s="43"/>
      <c r="F2" s="43"/>
      <c r="G2" s="43"/>
      <c r="H2" s="43"/>
      <c r="I2" s="43"/>
    </row>
    <row r="3" spans="1:9" ht="15.5" x14ac:dyDescent="0.35">
      <c r="A3" s="44" t="str">
        <f>TABLE_FACTOR_TYPE_1&amp;" - x-"&amp;TABLE_SERIES_NUMBER_1</f>
        <v>Pensioner Cash Equivalent - x-311</v>
      </c>
      <c r="B3" s="43"/>
      <c r="C3" s="43"/>
      <c r="D3" s="43"/>
      <c r="E3" s="43"/>
      <c r="F3" s="43"/>
      <c r="G3" s="43"/>
      <c r="H3" s="43"/>
      <c r="I3" s="43"/>
    </row>
    <row r="4" spans="1:9" x14ac:dyDescent="0.25">
      <c r="A4" s="45"/>
    </row>
    <row r="6" spans="1:9" ht="13" x14ac:dyDescent="0.3">
      <c r="A6" s="155" t="s">
        <v>562</v>
      </c>
      <c r="B6" s="154" t="s">
        <v>563</v>
      </c>
      <c r="C6" s="154"/>
      <c r="D6" s="154"/>
    </row>
    <row r="7" spans="1:9" x14ac:dyDescent="0.25">
      <c r="A7" s="156" t="s">
        <v>305</v>
      </c>
      <c r="B7" s="154" t="s">
        <v>319</v>
      </c>
      <c r="C7" s="154"/>
      <c r="D7" s="154"/>
    </row>
    <row r="8" spans="1:9" x14ac:dyDescent="0.25">
      <c r="A8" s="156" t="s">
        <v>306</v>
      </c>
      <c r="B8" s="154">
        <v>2015</v>
      </c>
      <c r="C8" s="154"/>
      <c r="D8" s="154"/>
    </row>
    <row r="9" spans="1:9" x14ac:dyDescent="0.25">
      <c r="A9" s="156" t="s">
        <v>307</v>
      </c>
      <c r="B9" s="154" t="s">
        <v>368</v>
      </c>
      <c r="C9" s="154"/>
      <c r="D9" s="154"/>
    </row>
    <row r="10" spans="1:9" x14ac:dyDescent="0.25">
      <c r="A10" s="156" t="s">
        <v>233</v>
      </c>
      <c r="B10" s="154" t="s">
        <v>374</v>
      </c>
      <c r="C10" s="154"/>
      <c r="D10" s="154"/>
    </row>
    <row r="11" spans="1:9" x14ac:dyDescent="0.25">
      <c r="A11" s="156" t="s">
        <v>308</v>
      </c>
      <c r="B11" s="154" t="s">
        <v>323</v>
      </c>
      <c r="C11" s="154"/>
      <c r="D11" s="154"/>
    </row>
    <row r="12" spans="1:9" x14ac:dyDescent="0.25">
      <c r="A12" s="156" t="s">
        <v>309</v>
      </c>
      <c r="B12" s="154" t="s">
        <v>324</v>
      </c>
      <c r="C12" s="154"/>
      <c r="D12" s="154"/>
    </row>
    <row r="13" spans="1:9" x14ac:dyDescent="0.25">
      <c r="A13" s="156" t="s">
        <v>570</v>
      </c>
      <c r="B13" s="154">
        <v>0</v>
      </c>
      <c r="C13" s="154"/>
      <c r="D13" s="154"/>
    </row>
    <row r="14" spans="1:9" x14ac:dyDescent="0.25">
      <c r="A14" s="156" t="s">
        <v>311</v>
      </c>
      <c r="B14" s="154">
        <v>311</v>
      </c>
      <c r="C14" s="154"/>
      <c r="D14" s="154"/>
    </row>
    <row r="15" spans="1:9" x14ac:dyDescent="0.25">
      <c r="A15" s="156" t="s">
        <v>573</v>
      </c>
      <c r="B15" s="154" t="s">
        <v>385</v>
      </c>
      <c r="C15" s="154"/>
      <c r="D15" s="154"/>
    </row>
    <row r="16" spans="1:9" x14ac:dyDescent="0.25">
      <c r="A16" s="156" t="s">
        <v>313</v>
      </c>
      <c r="B16" s="154" t="s">
        <v>340</v>
      </c>
      <c r="C16" s="154"/>
      <c r="D16" s="154"/>
    </row>
    <row r="17" spans="1:4" ht="39" customHeight="1" x14ac:dyDescent="0.25">
      <c r="A17" s="162" t="s">
        <v>642</v>
      </c>
      <c r="B17" s="154"/>
      <c r="C17" s="154"/>
      <c r="D17" s="154"/>
    </row>
    <row r="18" spans="1:4" x14ac:dyDescent="0.25">
      <c r="A18" s="156" t="s">
        <v>315</v>
      </c>
      <c r="B18" s="157">
        <v>45070</v>
      </c>
      <c r="C18" s="154"/>
      <c r="D18" s="154"/>
    </row>
    <row r="19" spans="1:4" x14ac:dyDescent="0.25">
      <c r="A19" s="156" t="s">
        <v>316</v>
      </c>
      <c r="B19" s="157">
        <v>45014</v>
      </c>
      <c r="C19" s="154"/>
      <c r="D19" s="154"/>
    </row>
    <row r="20" spans="1:4" x14ac:dyDescent="0.25">
      <c r="A20" s="156" t="s">
        <v>317</v>
      </c>
      <c r="B20" s="154" t="s">
        <v>327</v>
      </c>
      <c r="C20" s="154"/>
      <c r="D20" s="154"/>
    </row>
    <row r="21" spans="1:4" x14ac:dyDescent="0.25">
      <c r="A21" s="77" t="s">
        <v>318</v>
      </c>
      <c r="B21" s="154" t="s">
        <v>328</v>
      </c>
      <c r="C21" s="154"/>
      <c r="D21" s="154"/>
    </row>
    <row r="23" spans="1:4" x14ac:dyDescent="0.25">
      <c r="B23" s="91" t="str">
        <f>HYPERLINK("#'Factor List'!A1","Back to Factor List")</f>
        <v>Back to Factor List</v>
      </c>
    </row>
    <row r="24" spans="1:4" x14ac:dyDescent="0.25">
      <c r="B24" s="91" t="s">
        <v>240</v>
      </c>
    </row>
    <row r="25" spans="1:4" x14ac:dyDescent="0.25">
      <c r="B25" s="91"/>
    </row>
    <row r="26" spans="1:4" ht="38.15" customHeight="1" x14ac:dyDescent="0.25">
      <c r="A26" s="87" t="s">
        <v>643</v>
      </c>
      <c r="B26" s="87" t="s">
        <v>653</v>
      </c>
      <c r="C26" s="87" t="s">
        <v>660</v>
      </c>
      <c r="D26" s="87" t="s">
        <v>656</v>
      </c>
    </row>
    <row r="27" spans="1:4" x14ac:dyDescent="0.25">
      <c r="A27" s="88">
        <v>20</v>
      </c>
      <c r="B27" s="89">
        <v>39.64</v>
      </c>
      <c r="C27" s="89">
        <v>2.59</v>
      </c>
      <c r="D27" s="89"/>
    </row>
    <row r="28" spans="1:4" x14ac:dyDescent="0.25">
      <c r="A28" s="88">
        <v>21</v>
      </c>
      <c r="B28" s="89">
        <v>39.28</v>
      </c>
      <c r="C28" s="89">
        <v>2.64</v>
      </c>
      <c r="D28" s="89"/>
    </row>
    <row r="29" spans="1:4" x14ac:dyDescent="0.25">
      <c r="A29" s="88">
        <v>22</v>
      </c>
      <c r="B29" s="89">
        <v>38.92</v>
      </c>
      <c r="C29" s="89">
        <v>2.68</v>
      </c>
      <c r="D29" s="89"/>
    </row>
    <row r="30" spans="1:4" x14ac:dyDescent="0.25">
      <c r="A30" s="88">
        <v>23</v>
      </c>
      <c r="B30" s="89">
        <v>38.549999999999997</v>
      </c>
      <c r="C30" s="89">
        <v>2.72</v>
      </c>
      <c r="D30" s="89"/>
    </row>
    <row r="31" spans="1:4" x14ac:dyDescent="0.25">
      <c r="A31" s="88">
        <v>24</v>
      </c>
      <c r="B31" s="89">
        <v>38.17</v>
      </c>
      <c r="C31" s="89">
        <v>2.77</v>
      </c>
      <c r="D31" s="89"/>
    </row>
    <row r="32" spans="1:4" x14ac:dyDescent="0.25">
      <c r="A32" s="88">
        <v>25</v>
      </c>
      <c r="B32" s="89">
        <v>37.79</v>
      </c>
      <c r="C32" s="89">
        <v>2.81</v>
      </c>
      <c r="D32" s="89"/>
    </row>
    <row r="33" spans="1:4" x14ac:dyDescent="0.25">
      <c r="A33" s="88">
        <v>26</v>
      </c>
      <c r="B33" s="89">
        <v>37.4</v>
      </c>
      <c r="C33" s="89">
        <v>2.85</v>
      </c>
      <c r="D33" s="89"/>
    </row>
    <row r="34" spans="1:4" x14ac:dyDescent="0.25">
      <c r="A34" s="88">
        <v>27</v>
      </c>
      <c r="B34" s="89">
        <v>37.01</v>
      </c>
      <c r="C34" s="89">
        <v>2.9</v>
      </c>
      <c r="D34" s="89"/>
    </row>
    <row r="35" spans="1:4" x14ac:dyDescent="0.25">
      <c r="A35" s="88">
        <v>28</v>
      </c>
      <c r="B35" s="89">
        <v>36.61</v>
      </c>
      <c r="C35" s="89">
        <v>2.94</v>
      </c>
      <c r="D35" s="89"/>
    </row>
    <row r="36" spans="1:4" x14ac:dyDescent="0.25">
      <c r="A36" s="88">
        <v>29</v>
      </c>
      <c r="B36" s="89">
        <v>36.200000000000003</v>
      </c>
      <c r="C36" s="89">
        <v>2.99</v>
      </c>
      <c r="D36" s="89"/>
    </row>
    <row r="37" spans="1:4" x14ac:dyDescent="0.25">
      <c r="A37" s="88">
        <v>30</v>
      </c>
      <c r="B37" s="89">
        <v>35.79</v>
      </c>
      <c r="C37" s="89">
        <v>3.03</v>
      </c>
      <c r="D37" s="89"/>
    </row>
    <row r="38" spans="1:4" x14ac:dyDescent="0.25">
      <c r="A38" s="88">
        <v>31</v>
      </c>
      <c r="B38" s="89">
        <v>35.369999999999997</v>
      </c>
      <c r="C38" s="89">
        <v>3.07</v>
      </c>
      <c r="D38" s="89"/>
    </row>
    <row r="39" spans="1:4" x14ac:dyDescent="0.25">
      <c r="A39" s="88">
        <v>32</v>
      </c>
      <c r="B39" s="89">
        <v>34.950000000000003</v>
      </c>
      <c r="C39" s="89">
        <v>3.12</v>
      </c>
      <c r="D39" s="89"/>
    </row>
    <row r="40" spans="1:4" x14ac:dyDescent="0.25">
      <c r="A40" s="88">
        <v>33</v>
      </c>
      <c r="B40" s="89">
        <v>34.51</v>
      </c>
      <c r="C40" s="89">
        <v>3.16</v>
      </c>
      <c r="D40" s="89"/>
    </row>
    <row r="41" spans="1:4" x14ac:dyDescent="0.25">
      <c r="A41" s="88">
        <v>34</v>
      </c>
      <c r="B41" s="89">
        <v>34.08</v>
      </c>
      <c r="C41" s="89">
        <v>3.2</v>
      </c>
      <c r="D41" s="89"/>
    </row>
    <row r="42" spans="1:4" x14ac:dyDescent="0.25">
      <c r="A42" s="88">
        <v>35</v>
      </c>
      <c r="B42" s="89">
        <v>33.630000000000003</v>
      </c>
      <c r="C42" s="89">
        <v>3.24</v>
      </c>
      <c r="D42" s="89"/>
    </row>
    <row r="43" spans="1:4" x14ac:dyDescent="0.25">
      <c r="A43" s="88">
        <v>36</v>
      </c>
      <c r="B43" s="89">
        <v>33.18</v>
      </c>
      <c r="C43" s="89">
        <v>3.29</v>
      </c>
      <c r="D43" s="89"/>
    </row>
    <row r="44" spans="1:4" x14ac:dyDescent="0.25">
      <c r="A44" s="88">
        <v>37</v>
      </c>
      <c r="B44" s="89">
        <v>32.72</v>
      </c>
      <c r="C44" s="89">
        <v>3.33</v>
      </c>
      <c r="D44" s="89"/>
    </row>
    <row r="45" spans="1:4" x14ac:dyDescent="0.25">
      <c r="A45" s="88">
        <v>38</v>
      </c>
      <c r="B45" s="89">
        <v>32.26</v>
      </c>
      <c r="C45" s="89">
        <v>3.37</v>
      </c>
      <c r="D45" s="89"/>
    </row>
    <row r="46" spans="1:4" x14ac:dyDescent="0.25">
      <c r="A46" s="88">
        <v>39</v>
      </c>
      <c r="B46" s="89">
        <v>31.79</v>
      </c>
      <c r="C46" s="89">
        <v>3.41</v>
      </c>
      <c r="D46" s="89"/>
    </row>
    <row r="47" spans="1:4" x14ac:dyDescent="0.25">
      <c r="A47" s="88">
        <v>40</v>
      </c>
      <c r="B47" s="89">
        <v>31.31</v>
      </c>
      <c r="C47" s="89">
        <v>3.45</v>
      </c>
      <c r="D47" s="89"/>
    </row>
    <row r="48" spans="1:4" x14ac:dyDescent="0.25">
      <c r="A48" s="88">
        <v>41</v>
      </c>
      <c r="B48" s="89">
        <v>30.82</v>
      </c>
      <c r="C48" s="89">
        <v>3.49</v>
      </c>
      <c r="D48" s="89"/>
    </row>
    <row r="49" spans="1:4" x14ac:dyDescent="0.25">
      <c r="A49" s="88">
        <v>42</v>
      </c>
      <c r="B49" s="89">
        <v>30.33</v>
      </c>
      <c r="C49" s="89">
        <v>3.53</v>
      </c>
      <c r="D49" s="89"/>
    </row>
    <row r="50" spans="1:4" x14ac:dyDescent="0.25">
      <c r="A50" s="88">
        <v>43</v>
      </c>
      <c r="B50" s="89">
        <v>29.83</v>
      </c>
      <c r="C50" s="89">
        <v>3.57</v>
      </c>
      <c r="D50" s="89"/>
    </row>
    <row r="51" spans="1:4" x14ac:dyDescent="0.25">
      <c r="A51" s="88">
        <v>44</v>
      </c>
      <c r="B51" s="89">
        <v>29.33</v>
      </c>
      <c r="C51" s="89">
        <v>3.61</v>
      </c>
      <c r="D51" s="89"/>
    </row>
    <row r="52" spans="1:4" x14ac:dyDescent="0.25">
      <c r="A52" s="88">
        <v>45</v>
      </c>
      <c r="B52" s="89">
        <v>28.82</v>
      </c>
      <c r="C52" s="89">
        <v>3.64</v>
      </c>
      <c r="D52" s="89"/>
    </row>
    <row r="53" spans="1:4" x14ac:dyDescent="0.25">
      <c r="A53" s="88">
        <v>46</v>
      </c>
      <c r="B53" s="89">
        <v>28.3</v>
      </c>
      <c r="C53" s="89">
        <v>3.68</v>
      </c>
      <c r="D53" s="89"/>
    </row>
    <row r="54" spans="1:4" x14ac:dyDescent="0.25">
      <c r="A54" s="88">
        <v>47</v>
      </c>
      <c r="B54" s="89">
        <v>27.78</v>
      </c>
      <c r="C54" s="89">
        <v>3.71</v>
      </c>
      <c r="D54" s="89"/>
    </row>
    <row r="55" spans="1:4" x14ac:dyDescent="0.25">
      <c r="A55" s="88">
        <v>48</v>
      </c>
      <c r="B55" s="89">
        <v>27.25</v>
      </c>
      <c r="C55" s="89">
        <v>3.75</v>
      </c>
      <c r="D55" s="89"/>
    </row>
    <row r="56" spans="1:4" x14ac:dyDescent="0.25">
      <c r="A56" s="88">
        <v>49</v>
      </c>
      <c r="B56" s="89">
        <v>26.71</v>
      </c>
      <c r="C56" s="89">
        <v>3.78</v>
      </c>
      <c r="D56" s="89"/>
    </row>
    <row r="57" spans="1:4" x14ac:dyDescent="0.25">
      <c r="A57" s="88">
        <v>50</v>
      </c>
      <c r="B57" s="89">
        <v>26.16</v>
      </c>
      <c r="C57" s="89">
        <v>3.82</v>
      </c>
      <c r="D57" s="89"/>
    </row>
    <row r="58" spans="1:4" x14ac:dyDescent="0.25">
      <c r="A58" s="88">
        <v>51</v>
      </c>
      <c r="B58" s="89">
        <v>25.61</v>
      </c>
      <c r="C58" s="89">
        <v>3.85</v>
      </c>
      <c r="D58" s="89"/>
    </row>
    <row r="59" spans="1:4" x14ac:dyDescent="0.25">
      <c r="A59" s="88">
        <v>52</v>
      </c>
      <c r="B59" s="89">
        <v>25.05</v>
      </c>
      <c r="C59" s="89">
        <v>3.88</v>
      </c>
      <c r="D59" s="89"/>
    </row>
    <row r="60" spans="1:4" x14ac:dyDescent="0.25">
      <c r="A60" s="88">
        <v>53</v>
      </c>
      <c r="B60" s="89">
        <v>24.48</v>
      </c>
      <c r="C60" s="89">
        <v>3.91</v>
      </c>
      <c r="D60" s="89"/>
    </row>
    <row r="61" spans="1:4" x14ac:dyDescent="0.25">
      <c r="A61" s="88">
        <v>54</v>
      </c>
      <c r="B61" s="89">
        <v>23.91</v>
      </c>
      <c r="C61" s="89">
        <v>3.94</v>
      </c>
      <c r="D61" s="89"/>
    </row>
    <row r="62" spans="1:4" x14ac:dyDescent="0.25">
      <c r="A62" s="88">
        <v>55</v>
      </c>
      <c r="B62" s="89">
        <v>23.33</v>
      </c>
      <c r="C62" s="89">
        <v>3.97</v>
      </c>
      <c r="D62" s="89"/>
    </row>
    <row r="63" spans="1:4" x14ac:dyDescent="0.25">
      <c r="A63" s="88">
        <v>56</v>
      </c>
      <c r="B63" s="89">
        <v>22.74</v>
      </c>
      <c r="C63" s="89">
        <v>4</v>
      </c>
      <c r="D63" s="89"/>
    </row>
    <row r="64" spans="1:4" x14ac:dyDescent="0.25">
      <c r="A64" s="88">
        <v>57</v>
      </c>
      <c r="B64" s="89">
        <v>22.14</v>
      </c>
      <c r="C64" s="89">
        <v>4.0199999999999996</v>
      </c>
      <c r="D64" s="89"/>
    </row>
    <row r="65" spans="1:4" x14ac:dyDescent="0.25">
      <c r="A65" s="88">
        <v>58</v>
      </c>
      <c r="B65" s="89">
        <v>21.54</v>
      </c>
      <c r="C65" s="89">
        <v>4.05</v>
      </c>
      <c r="D65" s="89"/>
    </row>
    <row r="66" spans="1:4" x14ac:dyDescent="0.25">
      <c r="A66" s="88">
        <v>59</v>
      </c>
      <c r="B66" s="89">
        <v>20.93</v>
      </c>
      <c r="C66" s="89">
        <v>4.07</v>
      </c>
      <c r="D66" s="89"/>
    </row>
    <row r="67" spans="1:4" x14ac:dyDescent="0.25">
      <c r="A67" s="88">
        <v>60</v>
      </c>
      <c r="B67" s="89">
        <v>20.32</v>
      </c>
      <c r="C67" s="89">
        <v>4.09</v>
      </c>
      <c r="D67" s="89"/>
    </row>
    <row r="68" spans="1:4" x14ac:dyDescent="0.25">
      <c r="A68" s="88">
        <v>61</v>
      </c>
      <c r="B68" s="89">
        <v>19.7</v>
      </c>
      <c r="C68" s="89">
        <v>4.1100000000000003</v>
      </c>
      <c r="D68" s="89"/>
    </row>
    <row r="69" spans="1:4" x14ac:dyDescent="0.25">
      <c r="A69" s="88">
        <v>62</v>
      </c>
      <c r="B69" s="89">
        <v>19.079999999999998</v>
      </c>
      <c r="C69" s="89">
        <v>4.13</v>
      </c>
      <c r="D69" s="89"/>
    </row>
    <row r="70" spans="1:4" x14ac:dyDescent="0.25">
      <c r="A70" s="88">
        <v>63</v>
      </c>
      <c r="B70" s="89">
        <v>18.46</v>
      </c>
      <c r="C70" s="89">
        <v>4.1399999999999997</v>
      </c>
      <c r="D70" s="89"/>
    </row>
    <row r="71" spans="1:4" x14ac:dyDescent="0.25">
      <c r="A71" s="88">
        <v>64</v>
      </c>
      <c r="B71" s="89">
        <v>17.829999999999998</v>
      </c>
      <c r="C71" s="89">
        <v>4.1500000000000004</v>
      </c>
      <c r="D71" s="89"/>
    </row>
    <row r="72" spans="1:4" x14ac:dyDescent="0.25">
      <c r="A72" s="88">
        <v>65</v>
      </c>
      <c r="B72" s="89">
        <v>17.2</v>
      </c>
      <c r="C72" s="89">
        <v>4.1500000000000004</v>
      </c>
      <c r="D72" s="89"/>
    </row>
    <row r="73" spans="1:4" x14ac:dyDescent="0.25">
      <c r="A73" s="88">
        <v>66</v>
      </c>
      <c r="B73" s="89">
        <v>16.57</v>
      </c>
      <c r="C73" s="89">
        <v>4.1500000000000004</v>
      </c>
      <c r="D73" s="89"/>
    </row>
    <row r="74" spans="1:4" x14ac:dyDescent="0.25">
      <c r="A74" s="88">
        <v>67</v>
      </c>
      <c r="B74" s="89">
        <v>15.94</v>
      </c>
      <c r="C74" s="89">
        <v>4.1500000000000004</v>
      </c>
      <c r="D74" s="89"/>
    </row>
    <row r="75" spans="1:4" x14ac:dyDescent="0.25">
      <c r="A75" s="88">
        <v>68</v>
      </c>
      <c r="B75" s="89">
        <v>15.31</v>
      </c>
      <c r="C75" s="89">
        <v>4.1399999999999997</v>
      </c>
      <c r="D75" s="89"/>
    </row>
    <row r="76" spans="1:4" x14ac:dyDescent="0.25">
      <c r="A76" s="88">
        <v>69</v>
      </c>
      <c r="B76" s="89">
        <v>14.67</v>
      </c>
      <c r="C76" s="89">
        <v>4.07</v>
      </c>
      <c r="D76" s="89">
        <v>3.01</v>
      </c>
    </row>
    <row r="77" spans="1:4" x14ac:dyDescent="0.25">
      <c r="A77" s="88">
        <v>70</v>
      </c>
      <c r="B77" s="89">
        <v>14.04</v>
      </c>
      <c r="C77" s="89">
        <v>4</v>
      </c>
      <c r="D77" s="89">
        <v>2.8</v>
      </c>
    </row>
    <row r="78" spans="1:4" x14ac:dyDescent="0.25">
      <c r="A78" s="88">
        <v>71</v>
      </c>
      <c r="B78" s="89">
        <v>13.42</v>
      </c>
      <c r="C78" s="89">
        <v>3.97</v>
      </c>
      <c r="D78" s="89">
        <v>2.6</v>
      </c>
    </row>
    <row r="79" spans="1:4" x14ac:dyDescent="0.25">
      <c r="A79" s="88">
        <v>72</v>
      </c>
      <c r="B79" s="89">
        <v>12.79</v>
      </c>
      <c r="C79" s="89">
        <v>3.94</v>
      </c>
      <c r="D79" s="89">
        <v>2.41</v>
      </c>
    </row>
    <row r="80" spans="1:4" x14ac:dyDescent="0.25">
      <c r="A80" s="88">
        <v>73</v>
      </c>
      <c r="B80" s="89">
        <v>12.17</v>
      </c>
      <c r="C80" s="89">
        <v>3.9</v>
      </c>
      <c r="D80" s="89">
        <v>2.23</v>
      </c>
    </row>
    <row r="81" spans="1:4" x14ac:dyDescent="0.25">
      <c r="A81" s="88">
        <v>74</v>
      </c>
      <c r="B81" s="89">
        <v>11.56</v>
      </c>
      <c r="C81" s="89">
        <v>3.74</v>
      </c>
      <c r="D81" s="89">
        <v>2.04</v>
      </c>
    </row>
    <row r="82" spans="1:4" x14ac:dyDescent="0.25">
      <c r="A82" s="88">
        <v>75</v>
      </c>
      <c r="B82" s="89">
        <v>10.95</v>
      </c>
      <c r="C82" s="89">
        <v>3.56</v>
      </c>
      <c r="D82" s="89">
        <v>1.86</v>
      </c>
    </row>
    <row r="83" spans="1:4" x14ac:dyDescent="0.25">
      <c r="A83" s="88">
        <v>76</v>
      </c>
      <c r="B83" s="89">
        <v>10.36</v>
      </c>
      <c r="C83" s="89">
        <v>3.51</v>
      </c>
      <c r="D83" s="89">
        <v>1.7</v>
      </c>
    </row>
    <row r="84" spans="1:4" x14ac:dyDescent="0.25">
      <c r="A84" s="88">
        <v>77</v>
      </c>
      <c r="B84" s="89">
        <v>9.77</v>
      </c>
      <c r="C84" s="89">
        <v>3.45</v>
      </c>
      <c r="D84" s="89">
        <v>1.54</v>
      </c>
    </row>
    <row r="85" spans="1:4" x14ac:dyDescent="0.25">
      <c r="A85" s="88">
        <v>78</v>
      </c>
      <c r="B85" s="89">
        <v>9.19</v>
      </c>
      <c r="C85" s="89">
        <v>3.38</v>
      </c>
      <c r="D85" s="89">
        <v>1.4</v>
      </c>
    </row>
    <row r="86" spans="1:4" x14ac:dyDescent="0.25">
      <c r="A86" s="88">
        <v>79</v>
      </c>
      <c r="B86" s="89">
        <v>8.6300000000000008</v>
      </c>
      <c r="C86" s="89">
        <v>3.1</v>
      </c>
      <c r="D86" s="89">
        <v>1.25</v>
      </c>
    </row>
    <row r="87" spans="1:4" x14ac:dyDescent="0.25">
      <c r="A87" s="88">
        <v>80</v>
      </c>
      <c r="B87" s="89">
        <v>8.09</v>
      </c>
      <c r="C87" s="89">
        <v>2.82</v>
      </c>
      <c r="D87" s="89">
        <v>1.1100000000000001</v>
      </c>
    </row>
    <row r="88" spans="1:4" x14ac:dyDescent="0.25">
      <c r="A88" s="88">
        <v>81</v>
      </c>
      <c r="B88" s="89">
        <v>7.56</v>
      </c>
      <c r="C88" s="89">
        <v>2.74</v>
      </c>
      <c r="D88" s="89">
        <v>0.99</v>
      </c>
    </row>
    <row r="89" spans="1:4" x14ac:dyDescent="0.25">
      <c r="A89" s="88">
        <v>82</v>
      </c>
      <c r="B89" s="89">
        <v>7.05</v>
      </c>
      <c r="C89" s="89">
        <v>2.66</v>
      </c>
      <c r="D89" s="89">
        <v>0.88</v>
      </c>
    </row>
    <row r="90" spans="1:4" x14ac:dyDescent="0.25">
      <c r="A90" s="88">
        <v>83</v>
      </c>
      <c r="B90" s="89">
        <v>6.56</v>
      </c>
      <c r="C90" s="89">
        <v>2.56</v>
      </c>
      <c r="D90" s="89">
        <v>0.79</v>
      </c>
    </row>
    <row r="91" spans="1:4" x14ac:dyDescent="0.25">
      <c r="A91" s="88">
        <v>84</v>
      </c>
      <c r="B91" s="89">
        <v>6.1</v>
      </c>
      <c r="C91" s="89">
        <v>2.2400000000000002</v>
      </c>
      <c r="D91" s="89">
        <v>0.68</v>
      </c>
    </row>
    <row r="92" spans="1:4" x14ac:dyDescent="0.25">
      <c r="A92" s="88">
        <v>85</v>
      </c>
      <c r="B92" s="89">
        <v>5.65</v>
      </c>
      <c r="C92" s="89">
        <v>1.92</v>
      </c>
      <c r="D92" s="89">
        <v>0.57999999999999996</v>
      </c>
    </row>
  </sheetData>
  <sheetProtection algorithmName="SHA-512" hashValue="b3mDjh/ZwJkufKIkLZlgBBCy4HJhw0yBKDS+xlSF7AO+IWAU5shjuf0JGsOg3qD5EBtvTtYXUYl5tvlkknjSjg==" saltValue="k1E7wXBWI1u4gT0bPVWsvg==" spinCount="100000" sheet="1" objects="1" scenarios="1"/>
  <conditionalFormatting sqref="A6:A16 A18:A20">
    <cfRule type="expression" dxfId="1073" priority="29" stopIfTrue="1">
      <formula>MOD(ROW(),2)=0</formula>
    </cfRule>
    <cfRule type="expression" dxfId="1072" priority="30" stopIfTrue="1">
      <formula>MOD(ROW(),2)&lt;&gt;0</formula>
    </cfRule>
  </conditionalFormatting>
  <conditionalFormatting sqref="B6:D6 B10:D16 C9:D9 B8:D8 C7:D7 C17:D19 B20:D21">
    <cfRule type="expression" dxfId="1071" priority="31" stopIfTrue="1">
      <formula>MOD(ROW(),2)=0</formula>
    </cfRule>
    <cfRule type="expression" dxfId="1070" priority="32" stopIfTrue="1">
      <formula>MOD(ROW(),2)&lt;&gt;0</formula>
    </cfRule>
  </conditionalFormatting>
  <conditionalFormatting sqref="B9">
    <cfRule type="expression" dxfId="1069" priority="23" stopIfTrue="1">
      <formula>MOD(ROW(),2)=0</formula>
    </cfRule>
    <cfRule type="expression" dxfId="1068" priority="24" stopIfTrue="1">
      <formula>MOD(ROW(),2)&lt;&gt;0</formula>
    </cfRule>
  </conditionalFormatting>
  <conditionalFormatting sqref="B6:D21">
    <cfRule type="expression" dxfId="1067" priority="21" stopIfTrue="1">
      <formula>MOD(ROW(),2)=0</formula>
    </cfRule>
    <cfRule type="expression" dxfId="1066" priority="22" stopIfTrue="1">
      <formula>MOD(ROW(),2)&lt;&gt;0</formula>
    </cfRule>
  </conditionalFormatting>
  <conditionalFormatting sqref="B17">
    <cfRule type="expression" dxfId="1065" priority="19" stopIfTrue="1">
      <formula>MOD(ROW(),2)=0</formula>
    </cfRule>
    <cfRule type="expression" dxfId="1064" priority="20" stopIfTrue="1">
      <formula>MOD(ROW(),2)&lt;&gt;0</formula>
    </cfRule>
  </conditionalFormatting>
  <conditionalFormatting sqref="A17">
    <cfRule type="expression" dxfId="1063" priority="17" stopIfTrue="1">
      <formula>MOD(ROW(),2)=0</formula>
    </cfRule>
    <cfRule type="expression" dxfId="1062" priority="18" stopIfTrue="1">
      <formula>MOD(ROW(),2)&lt;&gt;0</formula>
    </cfRule>
  </conditionalFormatting>
  <conditionalFormatting sqref="B18">
    <cfRule type="expression" dxfId="1061" priority="15" stopIfTrue="1">
      <formula>MOD(ROW(),2)=0</formula>
    </cfRule>
    <cfRule type="expression" dxfId="1060" priority="16" stopIfTrue="1">
      <formula>MOD(ROW(),2)&lt;&gt;0</formula>
    </cfRule>
  </conditionalFormatting>
  <conditionalFormatting sqref="A26:A92">
    <cfRule type="expression" dxfId="1059" priority="9" stopIfTrue="1">
      <formula>MOD(ROW(),2)=0</formula>
    </cfRule>
    <cfRule type="expression" dxfId="1058" priority="10" stopIfTrue="1">
      <formula>MOD(ROW(),2)&lt;&gt;0</formula>
    </cfRule>
  </conditionalFormatting>
  <conditionalFormatting sqref="B26:D75 B76:C92">
    <cfRule type="expression" dxfId="1057" priority="11" stopIfTrue="1">
      <formula>MOD(ROW(),2)=0</formula>
    </cfRule>
    <cfRule type="expression" dxfId="1056" priority="12" stopIfTrue="1">
      <formula>MOD(ROW(),2)&lt;&gt;0</formula>
    </cfRule>
  </conditionalFormatting>
  <conditionalFormatting sqref="D76:D92">
    <cfRule type="expression" dxfId="1055" priority="7" stopIfTrue="1">
      <formula>MOD(ROW(),2)=0</formula>
    </cfRule>
    <cfRule type="expression" dxfId="1054" priority="8" stopIfTrue="1">
      <formula>MOD(ROW(),2)&lt;&gt;0</formula>
    </cfRule>
  </conditionalFormatting>
  <conditionalFormatting sqref="B19">
    <cfRule type="expression" dxfId="1053" priority="5" stopIfTrue="1">
      <formula>MOD(ROW(),2)=0</formula>
    </cfRule>
    <cfRule type="expression" dxfId="1052" priority="6" stopIfTrue="1">
      <formula>MOD(ROW(),2)&lt;&gt;0</formula>
    </cfRule>
  </conditionalFormatting>
  <conditionalFormatting sqref="A21">
    <cfRule type="expression" dxfId="1051" priority="1" stopIfTrue="1">
      <formula>MOD(ROW(),2)=0</formula>
    </cfRule>
    <cfRule type="expression" dxfId="1050" priority="2" stopIfTrue="1">
      <formula>MOD(ROW(),2)&lt;&gt;0</formula>
    </cfRule>
  </conditionalFormatting>
  <hyperlinks>
    <hyperlink ref="B24" location="Assumptions!A1" display="Assumptions" xr:uid="{A66703D2-E3FD-42DD-A3A8-6E72D567796E}"/>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55"/>
  <dimension ref="A1:I92"/>
  <sheetViews>
    <sheetView showGridLines="0" zoomScale="85" zoomScaleNormal="85" workbookViewId="0">
      <selection activeCell="B18" sqref="B18"/>
    </sheetView>
  </sheetViews>
  <sheetFormatPr defaultColWidth="10" defaultRowHeight="12.5" x14ac:dyDescent="0.25"/>
  <cols>
    <col min="1" max="1" width="31.81640625" style="28" customWidth="1"/>
    <col min="2" max="4" width="22.81640625" style="28" customWidth="1"/>
    <col min="5" max="16384" width="10" style="28"/>
  </cols>
  <sheetData>
    <row r="1" spans="1:9" ht="20" x14ac:dyDescent="0.4">
      <c r="A1" s="40" t="s">
        <v>227</v>
      </c>
      <c r="B1" s="41"/>
      <c r="C1" s="41"/>
      <c r="D1" s="41"/>
      <c r="E1" s="41"/>
      <c r="F1" s="41"/>
      <c r="G1" s="41"/>
      <c r="H1" s="41"/>
      <c r="I1" s="41"/>
    </row>
    <row r="2" spans="1:9" ht="15.5" x14ac:dyDescent="0.35">
      <c r="A2" s="42" t="str">
        <f>IF(title="&gt; Enter workbook title here","Enter workbook title in Cover sheet",title)</f>
        <v>Fire Northern Ireland - Consolidated Factor Spreadsheet</v>
      </c>
      <c r="B2" s="43"/>
      <c r="C2" s="43"/>
      <c r="D2" s="43"/>
      <c r="E2" s="43"/>
      <c r="F2" s="43"/>
      <c r="G2" s="43"/>
      <c r="H2" s="43"/>
      <c r="I2" s="43"/>
    </row>
    <row r="3" spans="1:9" ht="15.5" x14ac:dyDescent="0.35">
      <c r="A3" s="44" t="str">
        <f>TABLE_FACTOR_TYPE_1&amp;" - x-"&amp;TABLE_SERIES_NUMBER_1</f>
        <v>Pensioner Cash Equivalent - x-312</v>
      </c>
      <c r="B3" s="43"/>
      <c r="C3" s="43"/>
      <c r="D3" s="43"/>
      <c r="E3" s="43"/>
      <c r="F3" s="43"/>
      <c r="G3" s="43"/>
      <c r="H3" s="43"/>
      <c r="I3" s="43"/>
    </row>
    <row r="4" spans="1:9" x14ac:dyDescent="0.25">
      <c r="A4" s="45"/>
    </row>
    <row r="6" spans="1:9" ht="13" x14ac:dyDescent="0.3">
      <c r="A6" s="155" t="s">
        <v>562</v>
      </c>
      <c r="B6" s="154" t="s">
        <v>563</v>
      </c>
      <c r="C6" s="154"/>
      <c r="D6" s="154"/>
    </row>
    <row r="7" spans="1:9" x14ac:dyDescent="0.25">
      <c r="A7" s="156" t="s">
        <v>305</v>
      </c>
      <c r="B7" s="154" t="s">
        <v>319</v>
      </c>
      <c r="C7" s="154"/>
      <c r="D7" s="154"/>
    </row>
    <row r="8" spans="1:9" x14ac:dyDescent="0.25">
      <c r="A8" s="156" t="s">
        <v>306</v>
      </c>
      <c r="B8" s="154">
        <v>2015</v>
      </c>
      <c r="C8" s="154"/>
      <c r="D8" s="154"/>
    </row>
    <row r="9" spans="1:9" x14ac:dyDescent="0.25">
      <c r="A9" s="156" t="s">
        <v>307</v>
      </c>
      <c r="B9" s="154" t="s">
        <v>368</v>
      </c>
      <c r="C9" s="154"/>
      <c r="D9" s="154"/>
    </row>
    <row r="10" spans="1:9" x14ac:dyDescent="0.25">
      <c r="A10" s="156" t="s">
        <v>233</v>
      </c>
      <c r="B10" s="154" t="s">
        <v>374</v>
      </c>
      <c r="C10" s="154"/>
      <c r="D10" s="154"/>
    </row>
    <row r="11" spans="1:9" x14ac:dyDescent="0.25">
      <c r="A11" s="156" t="s">
        <v>308</v>
      </c>
      <c r="B11" s="154" t="s">
        <v>329</v>
      </c>
      <c r="C11" s="154"/>
      <c r="D11" s="154"/>
    </row>
    <row r="12" spans="1:9" x14ac:dyDescent="0.25">
      <c r="A12" s="156" t="s">
        <v>309</v>
      </c>
      <c r="B12" s="154" t="s">
        <v>324</v>
      </c>
      <c r="C12" s="154"/>
      <c r="D12" s="154"/>
    </row>
    <row r="13" spans="1:9" x14ac:dyDescent="0.25">
      <c r="A13" s="156" t="s">
        <v>570</v>
      </c>
      <c r="B13" s="154">
        <v>0</v>
      </c>
      <c r="C13" s="154"/>
      <c r="D13" s="154"/>
    </row>
    <row r="14" spans="1:9" x14ac:dyDescent="0.25">
      <c r="A14" s="156" t="s">
        <v>311</v>
      </c>
      <c r="B14" s="154">
        <v>312</v>
      </c>
      <c r="C14" s="154"/>
      <c r="D14" s="154"/>
    </row>
    <row r="15" spans="1:9" x14ac:dyDescent="0.25">
      <c r="A15" s="156" t="s">
        <v>573</v>
      </c>
      <c r="B15" s="154" t="s">
        <v>386</v>
      </c>
      <c r="C15" s="154"/>
      <c r="D15" s="154"/>
    </row>
    <row r="16" spans="1:9" x14ac:dyDescent="0.25">
      <c r="A16" s="156" t="s">
        <v>313</v>
      </c>
      <c r="B16" s="154" t="s">
        <v>342</v>
      </c>
      <c r="C16" s="154"/>
      <c r="D16" s="154"/>
    </row>
    <row r="17" spans="1:4" x14ac:dyDescent="0.25">
      <c r="A17" s="162" t="s">
        <v>642</v>
      </c>
      <c r="B17" s="154"/>
      <c r="C17" s="154"/>
      <c r="D17" s="154"/>
    </row>
    <row r="18" spans="1:4" x14ac:dyDescent="0.25">
      <c r="A18" s="156" t="s">
        <v>315</v>
      </c>
      <c r="B18" s="157">
        <v>45070</v>
      </c>
      <c r="C18" s="154"/>
      <c r="D18" s="154"/>
    </row>
    <row r="19" spans="1:4" x14ac:dyDescent="0.25">
      <c r="A19" s="156" t="s">
        <v>316</v>
      </c>
      <c r="B19" s="157">
        <v>45014</v>
      </c>
      <c r="C19" s="154"/>
      <c r="D19" s="154"/>
    </row>
    <row r="20" spans="1:4" x14ac:dyDescent="0.25">
      <c r="A20" s="156" t="s">
        <v>317</v>
      </c>
      <c r="B20" s="154" t="s">
        <v>327</v>
      </c>
      <c r="C20" s="154"/>
      <c r="D20" s="154"/>
    </row>
    <row r="21" spans="1:4" x14ac:dyDescent="0.25">
      <c r="A21" s="77" t="s">
        <v>318</v>
      </c>
      <c r="B21" s="154" t="s">
        <v>328</v>
      </c>
      <c r="C21" s="154"/>
      <c r="D21" s="154"/>
    </row>
    <row r="23" spans="1:4" x14ac:dyDescent="0.25">
      <c r="B23" s="91" t="str">
        <f>HYPERLINK("#'Factor List'!A1","Back to Factor List")</f>
        <v>Back to Factor List</v>
      </c>
    </row>
    <row r="24" spans="1:4" x14ac:dyDescent="0.25">
      <c r="B24" s="91" t="s">
        <v>240</v>
      </c>
    </row>
    <row r="25" spans="1:4" x14ac:dyDescent="0.25">
      <c r="B25" s="91"/>
    </row>
    <row r="26" spans="1:4" ht="35.15" customHeight="1" x14ac:dyDescent="0.25">
      <c r="A26" s="87" t="s">
        <v>643</v>
      </c>
      <c r="B26" s="87" t="s">
        <v>653</v>
      </c>
      <c r="C26" s="87" t="s">
        <v>660</v>
      </c>
      <c r="D26" s="87" t="s">
        <v>656</v>
      </c>
    </row>
    <row r="27" spans="1:4" x14ac:dyDescent="0.25">
      <c r="A27" s="88">
        <v>20</v>
      </c>
      <c r="B27" s="89">
        <v>39.64</v>
      </c>
      <c r="C27" s="89">
        <v>2.59</v>
      </c>
      <c r="D27" s="89"/>
    </row>
    <row r="28" spans="1:4" x14ac:dyDescent="0.25">
      <c r="A28" s="88">
        <v>21</v>
      </c>
      <c r="B28" s="89">
        <v>39.28</v>
      </c>
      <c r="C28" s="89">
        <v>2.64</v>
      </c>
      <c r="D28" s="89"/>
    </row>
    <row r="29" spans="1:4" x14ac:dyDescent="0.25">
      <c r="A29" s="88">
        <v>22</v>
      </c>
      <c r="B29" s="89">
        <v>38.92</v>
      </c>
      <c r="C29" s="89">
        <v>2.68</v>
      </c>
      <c r="D29" s="89"/>
    </row>
    <row r="30" spans="1:4" x14ac:dyDescent="0.25">
      <c r="A30" s="88">
        <v>23</v>
      </c>
      <c r="B30" s="89">
        <v>38.549999999999997</v>
      </c>
      <c r="C30" s="89">
        <v>2.72</v>
      </c>
      <c r="D30" s="89"/>
    </row>
    <row r="31" spans="1:4" x14ac:dyDescent="0.25">
      <c r="A31" s="88">
        <v>24</v>
      </c>
      <c r="B31" s="89">
        <v>38.17</v>
      </c>
      <c r="C31" s="89">
        <v>2.77</v>
      </c>
      <c r="D31" s="89"/>
    </row>
    <row r="32" spans="1:4" x14ac:dyDescent="0.25">
      <c r="A32" s="88">
        <v>25</v>
      </c>
      <c r="B32" s="89">
        <v>37.79</v>
      </c>
      <c r="C32" s="89">
        <v>2.81</v>
      </c>
      <c r="D32" s="89"/>
    </row>
    <row r="33" spans="1:4" x14ac:dyDescent="0.25">
      <c r="A33" s="88">
        <v>26</v>
      </c>
      <c r="B33" s="89">
        <v>37.4</v>
      </c>
      <c r="C33" s="89">
        <v>2.85</v>
      </c>
      <c r="D33" s="89"/>
    </row>
    <row r="34" spans="1:4" x14ac:dyDescent="0.25">
      <c r="A34" s="88">
        <v>27</v>
      </c>
      <c r="B34" s="89">
        <v>37.01</v>
      </c>
      <c r="C34" s="89">
        <v>2.9</v>
      </c>
      <c r="D34" s="89"/>
    </row>
    <row r="35" spans="1:4" x14ac:dyDescent="0.25">
      <c r="A35" s="88">
        <v>28</v>
      </c>
      <c r="B35" s="89">
        <v>36.61</v>
      </c>
      <c r="C35" s="89">
        <v>2.94</v>
      </c>
      <c r="D35" s="89"/>
    </row>
    <row r="36" spans="1:4" x14ac:dyDescent="0.25">
      <c r="A36" s="88">
        <v>29</v>
      </c>
      <c r="B36" s="89">
        <v>36.200000000000003</v>
      </c>
      <c r="C36" s="89">
        <v>2.99</v>
      </c>
      <c r="D36" s="89"/>
    </row>
    <row r="37" spans="1:4" x14ac:dyDescent="0.25">
      <c r="A37" s="88">
        <v>30</v>
      </c>
      <c r="B37" s="89">
        <v>35.79</v>
      </c>
      <c r="C37" s="89">
        <v>3.03</v>
      </c>
      <c r="D37" s="89"/>
    </row>
    <row r="38" spans="1:4" x14ac:dyDescent="0.25">
      <c r="A38" s="88">
        <v>31</v>
      </c>
      <c r="B38" s="89">
        <v>35.369999999999997</v>
      </c>
      <c r="C38" s="89">
        <v>3.07</v>
      </c>
      <c r="D38" s="89"/>
    </row>
    <row r="39" spans="1:4" x14ac:dyDescent="0.25">
      <c r="A39" s="88">
        <v>32</v>
      </c>
      <c r="B39" s="89">
        <v>34.950000000000003</v>
      </c>
      <c r="C39" s="89">
        <v>3.12</v>
      </c>
      <c r="D39" s="89"/>
    </row>
    <row r="40" spans="1:4" x14ac:dyDescent="0.25">
      <c r="A40" s="88">
        <v>33</v>
      </c>
      <c r="B40" s="89">
        <v>34.51</v>
      </c>
      <c r="C40" s="89">
        <v>3.16</v>
      </c>
      <c r="D40" s="89"/>
    </row>
    <row r="41" spans="1:4" x14ac:dyDescent="0.25">
      <c r="A41" s="88">
        <v>34</v>
      </c>
      <c r="B41" s="89">
        <v>34.08</v>
      </c>
      <c r="C41" s="89">
        <v>3.2</v>
      </c>
      <c r="D41" s="89"/>
    </row>
    <row r="42" spans="1:4" x14ac:dyDescent="0.25">
      <c r="A42" s="88">
        <v>35</v>
      </c>
      <c r="B42" s="89">
        <v>33.630000000000003</v>
      </c>
      <c r="C42" s="89">
        <v>3.24</v>
      </c>
      <c r="D42" s="89"/>
    </row>
    <row r="43" spans="1:4" x14ac:dyDescent="0.25">
      <c r="A43" s="88">
        <v>36</v>
      </c>
      <c r="B43" s="89">
        <v>33.18</v>
      </c>
      <c r="C43" s="89">
        <v>3.29</v>
      </c>
      <c r="D43" s="89"/>
    </row>
    <row r="44" spans="1:4" x14ac:dyDescent="0.25">
      <c r="A44" s="88">
        <v>37</v>
      </c>
      <c r="B44" s="89">
        <v>32.72</v>
      </c>
      <c r="C44" s="89">
        <v>3.33</v>
      </c>
      <c r="D44" s="89"/>
    </row>
    <row r="45" spans="1:4" x14ac:dyDescent="0.25">
      <c r="A45" s="88">
        <v>38</v>
      </c>
      <c r="B45" s="89">
        <v>32.26</v>
      </c>
      <c r="C45" s="89">
        <v>3.37</v>
      </c>
      <c r="D45" s="89"/>
    </row>
    <row r="46" spans="1:4" x14ac:dyDescent="0.25">
      <c r="A46" s="88">
        <v>39</v>
      </c>
      <c r="B46" s="89">
        <v>31.79</v>
      </c>
      <c r="C46" s="89">
        <v>3.41</v>
      </c>
      <c r="D46" s="89"/>
    </row>
    <row r="47" spans="1:4" x14ac:dyDescent="0.25">
      <c r="A47" s="88">
        <v>40</v>
      </c>
      <c r="B47" s="89">
        <v>31.31</v>
      </c>
      <c r="C47" s="89">
        <v>3.45</v>
      </c>
      <c r="D47" s="89"/>
    </row>
    <row r="48" spans="1:4" x14ac:dyDescent="0.25">
      <c r="A48" s="88">
        <v>41</v>
      </c>
      <c r="B48" s="89">
        <v>30.82</v>
      </c>
      <c r="C48" s="89">
        <v>3.49</v>
      </c>
      <c r="D48" s="89"/>
    </row>
    <row r="49" spans="1:4" x14ac:dyDescent="0.25">
      <c r="A49" s="88">
        <v>42</v>
      </c>
      <c r="B49" s="89">
        <v>30.33</v>
      </c>
      <c r="C49" s="89">
        <v>3.53</v>
      </c>
      <c r="D49" s="89"/>
    </row>
    <row r="50" spans="1:4" x14ac:dyDescent="0.25">
      <c r="A50" s="88">
        <v>43</v>
      </c>
      <c r="B50" s="89">
        <v>29.83</v>
      </c>
      <c r="C50" s="89">
        <v>3.57</v>
      </c>
      <c r="D50" s="89"/>
    </row>
    <row r="51" spans="1:4" x14ac:dyDescent="0.25">
      <c r="A51" s="88">
        <v>44</v>
      </c>
      <c r="B51" s="89">
        <v>29.33</v>
      </c>
      <c r="C51" s="89">
        <v>3.61</v>
      </c>
      <c r="D51" s="89"/>
    </row>
    <row r="52" spans="1:4" x14ac:dyDescent="0.25">
      <c r="A52" s="88">
        <v>45</v>
      </c>
      <c r="B52" s="89">
        <v>28.82</v>
      </c>
      <c r="C52" s="89">
        <v>3.64</v>
      </c>
      <c r="D52" s="89"/>
    </row>
    <row r="53" spans="1:4" x14ac:dyDescent="0.25">
      <c r="A53" s="88">
        <v>46</v>
      </c>
      <c r="B53" s="89">
        <v>28.3</v>
      </c>
      <c r="C53" s="89">
        <v>3.68</v>
      </c>
      <c r="D53" s="89"/>
    </row>
    <row r="54" spans="1:4" x14ac:dyDescent="0.25">
      <c r="A54" s="88">
        <v>47</v>
      </c>
      <c r="B54" s="89">
        <v>27.78</v>
      </c>
      <c r="C54" s="89">
        <v>3.71</v>
      </c>
      <c r="D54" s="89"/>
    </row>
    <row r="55" spans="1:4" x14ac:dyDescent="0.25">
      <c r="A55" s="88">
        <v>48</v>
      </c>
      <c r="B55" s="89">
        <v>27.25</v>
      </c>
      <c r="C55" s="89">
        <v>3.75</v>
      </c>
      <c r="D55" s="89"/>
    </row>
    <row r="56" spans="1:4" x14ac:dyDescent="0.25">
      <c r="A56" s="88">
        <v>49</v>
      </c>
      <c r="B56" s="89">
        <v>26.71</v>
      </c>
      <c r="C56" s="89">
        <v>3.78</v>
      </c>
      <c r="D56" s="89"/>
    </row>
    <row r="57" spans="1:4" x14ac:dyDescent="0.25">
      <c r="A57" s="88">
        <v>50</v>
      </c>
      <c r="B57" s="89">
        <v>26.16</v>
      </c>
      <c r="C57" s="89">
        <v>3.82</v>
      </c>
      <c r="D57" s="89"/>
    </row>
    <row r="58" spans="1:4" x14ac:dyDescent="0.25">
      <c r="A58" s="88">
        <v>51</v>
      </c>
      <c r="B58" s="89">
        <v>25.61</v>
      </c>
      <c r="C58" s="89">
        <v>3.85</v>
      </c>
      <c r="D58" s="89"/>
    </row>
    <row r="59" spans="1:4" x14ac:dyDescent="0.25">
      <c r="A59" s="88">
        <v>52</v>
      </c>
      <c r="B59" s="89">
        <v>25.05</v>
      </c>
      <c r="C59" s="89">
        <v>3.88</v>
      </c>
      <c r="D59" s="89"/>
    </row>
    <row r="60" spans="1:4" x14ac:dyDescent="0.25">
      <c r="A60" s="88">
        <v>53</v>
      </c>
      <c r="B60" s="89">
        <v>24.48</v>
      </c>
      <c r="C60" s="89">
        <v>3.91</v>
      </c>
      <c r="D60" s="89"/>
    </row>
    <row r="61" spans="1:4" x14ac:dyDescent="0.25">
      <c r="A61" s="88">
        <v>54</v>
      </c>
      <c r="B61" s="89">
        <v>23.91</v>
      </c>
      <c r="C61" s="89">
        <v>3.94</v>
      </c>
      <c r="D61" s="89"/>
    </row>
    <row r="62" spans="1:4" x14ac:dyDescent="0.25">
      <c r="A62" s="88">
        <v>55</v>
      </c>
      <c r="B62" s="89">
        <v>23.33</v>
      </c>
      <c r="C62" s="89">
        <v>3.97</v>
      </c>
      <c r="D62" s="89"/>
    </row>
    <row r="63" spans="1:4" x14ac:dyDescent="0.25">
      <c r="A63" s="88">
        <v>56</v>
      </c>
      <c r="B63" s="89">
        <v>22.74</v>
      </c>
      <c r="C63" s="89">
        <v>4</v>
      </c>
      <c r="D63" s="89"/>
    </row>
    <row r="64" spans="1:4" x14ac:dyDescent="0.25">
      <c r="A64" s="88">
        <v>57</v>
      </c>
      <c r="B64" s="89">
        <v>22.14</v>
      </c>
      <c r="C64" s="89">
        <v>4.0199999999999996</v>
      </c>
      <c r="D64" s="89"/>
    </row>
    <row r="65" spans="1:4" x14ac:dyDescent="0.25">
      <c r="A65" s="88">
        <v>58</v>
      </c>
      <c r="B65" s="89">
        <v>21.54</v>
      </c>
      <c r="C65" s="89">
        <v>4.05</v>
      </c>
      <c r="D65" s="89"/>
    </row>
    <row r="66" spans="1:4" x14ac:dyDescent="0.25">
      <c r="A66" s="88">
        <v>59</v>
      </c>
      <c r="B66" s="89">
        <v>20.93</v>
      </c>
      <c r="C66" s="89">
        <v>4.07</v>
      </c>
      <c r="D66" s="89"/>
    </row>
    <row r="67" spans="1:4" x14ac:dyDescent="0.25">
      <c r="A67" s="88">
        <v>60</v>
      </c>
      <c r="B67" s="89">
        <v>20.32</v>
      </c>
      <c r="C67" s="89">
        <v>4.09</v>
      </c>
      <c r="D67" s="89"/>
    </row>
    <row r="68" spans="1:4" x14ac:dyDescent="0.25">
      <c r="A68" s="88">
        <v>61</v>
      </c>
      <c r="B68" s="89">
        <v>19.7</v>
      </c>
      <c r="C68" s="89">
        <v>4.1100000000000003</v>
      </c>
      <c r="D68" s="89"/>
    </row>
    <row r="69" spans="1:4" x14ac:dyDescent="0.25">
      <c r="A69" s="88">
        <v>62</v>
      </c>
      <c r="B69" s="89">
        <v>19.079999999999998</v>
      </c>
      <c r="C69" s="89">
        <v>4.13</v>
      </c>
      <c r="D69" s="89"/>
    </row>
    <row r="70" spans="1:4" x14ac:dyDescent="0.25">
      <c r="A70" s="88">
        <v>63</v>
      </c>
      <c r="B70" s="89">
        <v>18.46</v>
      </c>
      <c r="C70" s="89">
        <v>4.1399999999999997</v>
      </c>
      <c r="D70" s="89"/>
    </row>
    <row r="71" spans="1:4" x14ac:dyDescent="0.25">
      <c r="A71" s="88">
        <v>64</v>
      </c>
      <c r="B71" s="89">
        <v>17.829999999999998</v>
      </c>
      <c r="C71" s="89">
        <v>4.1500000000000004</v>
      </c>
      <c r="D71" s="89"/>
    </row>
    <row r="72" spans="1:4" x14ac:dyDescent="0.25">
      <c r="A72" s="88">
        <v>65</v>
      </c>
      <c r="B72" s="89">
        <v>17.2</v>
      </c>
      <c r="C72" s="89">
        <v>4.1500000000000004</v>
      </c>
      <c r="D72" s="89"/>
    </row>
    <row r="73" spans="1:4" x14ac:dyDescent="0.25">
      <c r="A73" s="88">
        <v>66</v>
      </c>
      <c r="B73" s="89">
        <v>16.57</v>
      </c>
      <c r="C73" s="89">
        <v>4.1500000000000004</v>
      </c>
      <c r="D73" s="89"/>
    </row>
    <row r="74" spans="1:4" x14ac:dyDescent="0.25">
      <c r="A74" s="88">
        <v>67</v>
      </c>
      <c r="B74" s="89">
        <v>15.94</v>
      </c>
      <c r="C74" s="89">
        <v>4.1500000000000004</v>
      </c>
      <c r="D74" s="89"/>
    </row>
    <row r="75" spans="1:4" x14ac:dyDescent="0.25">
      <c r="A75" s="88">
        <v>68</v>
      </c>
      <c r="B75" s="89">
        <v>15.31</v>
      </c>
      <c r="C75" s="89">
        <v>4.1399999999999997</v>
      </c>
      <c r="D75" s="89"/>
    </row>
    <row r="76" spans="1:4" x14ac:dyDescent="0.25">
      <c r="A76" s="88">
        <v>69</v>
      </c>
      <c r="B76" s="89">
        <v>14.67</v>
      </c>
      <c r="C76" s="89">
        <v>4.07</v>
      </c>
      <c r="D76" s="89">
        <v>2.82</v>
      </c>
    </row>
    <row r="77" spans="1:4" x14ac:dyDescent="0.25">
      <c r="A77" s="88">
        <v>70</v>
      </c>
      <c r="B77" s="89">
        <v>14.04</v>
      </c>
      <c r="C77" s="89">
        <v>4</v>
      </c>
      <c r="D77" s="89">
        <v>2.62</v>
      </c>
    </row>
    <row r="78" spans="1:4" x14ac:dyDescent="0.25">
      <c r="A78" s="88">
        <v>71</v>
      </c>
      <c r="B78" s="89">
        <v>13.42</v>
      </c>
      <c r="C78" s="89">
        <v>3.97</v>
      </c>
      <c r="D78" s="89">
        <v>2.42</v>
      </c>
    </row>
    <row r="79" spans="1:4" x14ac:dyDescent="0.25">
      <c r="A79" s="88">
        <v>72</v>
      </c>
      <c r="B79" s="89">
        <v>12.79</v>
      </c>
      <c r="C79" s="89">
        <v>3.94</v>
      </c>
      <c r="D79" s="89">
        <v>2.23</v>
      </c>
    </row>
    <row r="80" spans="1:4" x14ac:dyDescent="0.25">
      <c r="A80" s="88">
        <v>73</v>
      </c>
      <c r="B80" s="89">
        <v>12.17</v>
      </c>
      <c r="C80" s="89">
        <v>3.9</v>
      </c>
      <c r="D80" s="89">
        <v>2.0499999999999998</v>
      </c>
    </row>
    <row r="81" spans="1:4" x14ac:dyDescent="0.25">
      <c r="A81" s="88">
        <v>74</v>
      </c>
      <c r="B81" s="89">
        <v>11.56</v>
      </c>
      <c r="C81" s="89">
        <v>3.74</v>
      </c>
      <c r="D81" s="89">
        <v>1.88</v>
      </c>
    </row>
    <row r="82" spans="1:4" x14ac:dyDescent="0.25">
      <c r="A82" s="88">
        <v>75</v>
      </c>
      <c r="B82" s="89">
        <v>10.95</v>
      </c>
      <c r="C82" s="89">
        <v>3.56</v>
      </c>
      <c r="D82" s="89">
        <v>1.71</v>
      </c>
    </row>
    <row r="83" spans="1:4" x14ac:dyDescent="0.25">
      <c r="A83" s="88">
        <v>76</v>
      </c>
      <c r="B83" s="89">
        <v>10.36</v>
      </c>
      <c r="C83" s="89">
        <v>3.51</v>
      </c>
      <c r="D83" s="89">
        <v>1.56</v>
      </c>
    </row>
    <row r="84" spans="1:4" x14ac:dyDescent="0.25">
      <c r="A84" s="88">
        <v>77</v>
      </c>
      <c r="B84" s="89">
        <v>9.77</v>
      </c>
      <c r="C84" s="89">
        <v>3.45</v>
      </c>
      <c r="D84" s="89">
        <v>1.41</v>
      </c>
    </row>
    <row r="85" spans="1:4" x14ac:dyDescent="0.25">
      <c r="A85" s="88">
        <v>78</v>
      </c>
      <c r="B85" s="89">
        <v>9.19</v>
      </c>
      <c r="C85" s="89">
        <v>3.38</v>
      </c>
      <c r="D85" s="89">
        <v>1.27</v>
      </c>
    </row>
    <row r="86" spans="1:4" x14ac:dyDescent="0.25">
      <c r="A86" s="88">
        <v>79</v>
      </c>
      <c r="B86" s="89">
        <v>8.6300000000000008</v>
      </c>
      <c r="C86" s="89">
        <v>3.1</v>
      </c>
      <c r="D86" s="89">
        <v>1.1299999999999999</v>
      </c>
    </row>
    <row r="87" spans="1:4" x14ac:dyDescent="0.25">
      <c r="A87" s="88">
        <v>80</v>
      </c>
      <c r="B87" s="89">
        <v>8.09</v>
      </c>
      <c r="C87" s="89">
        <v>2.82</v>
      </c>
      <c r="D87" s="89">
        <v>1.01</v>
      </c>
    </row>
    <row r="88" spans="1:4" x14ac:dyDescent="0.25">
      <c r="A88" s="88">
        <v>81</v>
      </c>
      <c r="B88" s="89">
        <v>7.56</v>
      </c>
      <c r="C88" s="89">
        <v>2.74</v>
      </c>
      <c r="D88" s="89">
        <v>0.9</v>
      </c>
    </row>
    <row r="89" spans="1:4" x14ac:dyDescent="0.25">
      <c r="A89" s="88">
        <v>82</v>
      </c>
      <c r="B89" s="89">
        <v>7.05</v>
      </c>
      <c r="C89" s="89">
        <v>2.66</v>
      </c>
      <c r="D89" s="89">
        <v>0.8</v>
      </c>
    </row>
    <row r="90" spans="1:4" x14ac:dyDescent="0.25">
      <c r="A90" s="88">
        <v>83</v>
      </c>
      <c r="B90" s="89">
        <v>6.56</v>
      </c>
      <c r="C90" s="89">
        <v>2.56</v>
      </c>
      <c r="D90" s="89">
        <v>0.7</v>
      </c>
    </row>
    <row r="91" spans="1:4" x14ac:dyDescent="0.25">
      <c r="A91" s="88">
        <v>84</v>
      </c>
      <c r="B91" s="89">
        <v>6.1</v>
      </c>
      <c r="C91" s="89">
        <v>2.2400000000000002</v>
      </c>
      <c r="D91" s="89">
        <v>0.61</v>
      </c>
    </row>
    <row r="92" spans="1:4" x14ac:dyDescent="0.25">
      <c r="A92" s="88">
        <v>85</v>
      </c>
      <c r="B92" s="89">
        <v>5.65</v>
      </c>
      <c r="C92" s="89">
        <v>1.92</v>
      </c>
      <c r="D92" s="89">
        <v>0.54</v>
      </c>
    </row>
  </sheetData>
  <sheetProtection algorithmName="SHA-512" hashValue="FTWF1drJmLzijVFtuvd5iXAs/INl7QvC6+Tw+Vp+B5J8Xawn3zUFVdFI2l38yJhVdD+OdS5GM7oHypJyUAcWiw==" saltValue="LQkY0tCu9k8SKxXEE7DNBA==" spinCount="100000" sheet="1" objects="1" scenarios="1"/>
  <conditionalFormatting sqref="A6:A16 A18:A20">
    <cfRule type="expression" dxfId="1049" priority="27" stopIfTrue="1">
      <formula>MOD(ROW(),2)=0</formula>
    </cfRule>
    <cfRule type="expression" dxfId="1048" priority="28" stopIfTrue="1">
      <formula>MOD(ROW(),2)&lt;&gt;0</formula>
    </cfRule>
  </conditionalFormatting>
  <conditionalFormatting sqref="B6:D6 B10:D16 C9:D9 B8:D8 C7:D7 C17:D19 B20:D21">
    <cfRule type="expression" dxfId="1047" priority="29" stopIfTrue="1">
      <formula>MOD(ROW(),2)=0</formula>
    </cfRule>
    <cfRule type="expression" dxfId="1046" priority="30" stopIfTrue="1">
      <formula>MOD(ROW(),2)&lt;&gt;0</formula>
    </cfRule>
  </conditionalFormatting>
  <conditionalFormatting sqref="B9">
    <cfRule type="expression" dxfId="1045" priority="21" stopIfTrue="1">
      <formula>MOD(ROW(),2)=0</formula>
    </cfRule>
    <cfRule type="expression" dxfId="1044" priority="22" stopIfTrue="1">
      <formula>MOD(ROW(),2)&lt;&gt;0</formula>
    </cfRule>
  </conditionalFormatting>
  <conditionalFormatting sqref="B6:D21">
    <cfRule type="expression" dxfId="1043" priority="19" stopIfTrue="1">
      <formula>MOD(ROW(),2)=0</formula>
    </cfRule>
    <cfRule type="expression" dxfId="1042" priority="20" stopIfTrue="1">
      <formula>MOD(ROW(),2)&lt;&gt;0</formula>
    </cfRule>
  </conditionalFormatting>
  <conditionalFormatting sqref="B17">
    <cfRule type="expression" dxfId="1041" priority="17" stopIfTrue="1">
      <formula>MOD(ROW(),2)=0</formula>
    </cfRule>
    <cfRule type="expression" dxfId="1040" priority="18" stopIfTrue="1">
      <formula>MOD(ROW(),2)&lt;&gt;0</formula>
    </cfRule>
  </conditionalFormatting>
  <conditionalFormatting sqref="A17">
    <cfRule type="expression" dxfId="1039" priority="15" stopIfTrue="1">
      <formula>MOD(ROW(),2)=0</formula>
    </cfRule>
    <cfRule type="expression" dxfId="1038" priority="16" stopIfTrue="1">
      <formula>MOD(ROW(),2)&lt;&gt;0</formula>
    </cfRule>
  </conditionalFormatting>
  <conditionalFormatting sqref="B18">
    <cfRule type="expression" dxfId="1037" priority="13" stopIfTrue="1">
      <formula>MOD(ROW(),2)=0</formula>
    </cfRule>
    <cfRule type="expression" dxfId="1036" priority="14" stopIfTrue="1">
      <formula>MOD(ROW(),2)&lt;&gt;0</formula>
    </cfRule>
  </conditionalFormatting>
  <conditionalFormatting sqref="A26:A92">
    <cfRule type="expression" dxfId="1035" priority="7" stopIfTrue="1">
      <formula>MOD(ROW(),2)=0</formula>
    </cfRule>
    <cfRule type="expression" dxfId="1034" priority="8" stopIfTrue="1">
      <formula>MOD(ROW(),2)&lt;&gt;0</formula>
    </cfRule>
  </conditionalFormatting>
  <conditionalFormatting sqref="B26:D92">
    <cfRule type="expression" dxfId="1033" priority="9" stopIfTrue="1">
      <formula>MOD(ROW(),2)=0</formula>
    </cfRule>
    <cfRule type="expression" dxfId="1032" priority="10" stopIfTrue="1">
      <formula>MOD(ROW(),2)&lt;&gt;0</formula>
    </cfRule>
  </conditionalFormatting>
  <conditionalFormatting sqref="B19">
    <cfRule type="expression" dxfId="1031" priority="5" stopIfTrue="1">
      <formula>MOD(ROW(),2)=0</formula>
    </cfRule>
    <cfRule type="expression" dxfId="1030" priority="6" stopIfTrue="1">
      <formula>MOD(ROW(),2)&lt;&gt;0</formula>
    </cfRule>
  </conditionalFormatting>
  <conditionalFormatting sqref="A21">
    <cfRule type="expression" dxfId="1029" priority="1" stopIfTrue="1">
      <formula>MOD(ROW(),2)=0</formula>
    </cfRule>
    <cfRule type="expression" dxfId="1028" priority="2" stopIfTrue="1">
      <formula>MOD(ROW(),2)&lt;&gt;0</formula>
    </cfRule>
  </conditionalFormatting>
  <hyperlinks>
    <hyperlink ref="B24" location="Assumptions!A1" display="Assumptions" xr:uid="{93B3D66C-24F0-4D5C-9AE2-873CB8D51D70}"/>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56"/>
  <dimension ref="A1:I96"/>
  <sheetViews>
    <sheetView showGridLines="0" zoomScale="85" zoomScaleNormal="85" workbookViewId="0">
      <selection activeCell="B18" sqref="B18"/>
    </sheetView>
  </sheetViews>
  <sheetFormatPr defaultColWidth="10" defaultRowHeight="12.5" x14ac:dyDescent="0.25"/>
  <cols>
    <col min="1" max="1" width="31.81640625" style="28" customWidth="1"/>
    <col min="2" max="3" width="22.81640625" style="28" customWidth="1"/>
    <col min="4" max="4" width="10" style="28" customWidth="1"/>
    <col min="5" max="16384" width="10" style="28"/>
  </cols>
  <sheetData>
    <row r="1" spans="1:9" ht="20" x14ac:dyDescent="0.4">
      <c r="A1" s="40" t="s">
        <v>227</v>
      </c>
      <c r="B1" s="41"/>
      <c r="C1" s="41"/>
      <c r="D1" s="41"/>
      <c r="E1" s="41"/>
      <c r="F1" s="41"/>
      <c r="G1" s="41"/>
      <c r="H1" s="41"/>
      <c r="I1" s="41"/>
    </row>
    <row r="2" spans="1:9" ht="15.5" x14ac:dyDescent="0.35">
      <c r="A2" s="42" t="str">
        <f>IF(title="&gt; Enter workbook title here","Enter workbook title in Cover sheet",title)</f>
        <v>Fire Northern Ireland - Consolidated Factor Spreadsheet</v>
      </c>
      <c r="B2" s="43"/>
      <c r="C2" s="43"/>
      <c r="D2" s="43"/>
      <c r="E2" s="43"/>
      <c r="F2" s="43"/>
      <c r="G2" s="43"/>
      <c r="H2" s="43"/>
      <c r="I2" s="43"/>
    </row>
    <row r="3" spans="1:9" ht="15.5" x14ac:dyDescent="0.35">
      <c r="A3" s="44" t="str">
        <f>TABLE_FACTOR_TYPE_1&amp;" - x-"&amp;TABLE_SERIES_NUMBER_1</f>
        <v>Pension Credit - x-313</v>
      </c>
      <c r="B3" s="43"/>
      <c r="C3" s="43"/>
      <c r="D3" s="43"/>
      <c r="E3" s="43"/>
      <c r="F3" s="43"/>
      <c r="G3" s="43"/>
      <c r="H3" s="43"/>
      <c r="I3" s="43"/>
    </row>
    <row r="4" spans="1:9" x14ac:dyDescent="0.25">
      <c r="A4" s="45"/>
    </row>
    <row r="6" spans="1:9" ht="13" x14ac:dyDescent="0.3">
      <c r="A6" s="75" t="s">
        <v>562</v>
      </c>
      <c r="B6" s="159" t="s">
        <v>563</v>
      </c>
      <c r="C6" s="159"/>
    </row>
    <row r="7" spans="1:9" x14ac:dyDescent="0.25">
      <c r="A7" s="77" t="s">
        <v>305</v>
      </c>
      <c r="B7" s="159" t="s">
        <v>319</v>
      </c>
      <c r="C7" s="159"/>
    </row>
    <row r="8" spans="1:9" x14ac:dyDescent="0.25">
      <c r="A8" s="77" t="s">
        <v>306</v>
      </c>
      <c r="B8" s="159" t="s">
        <v>320</v>
      </c>
      <c r="C8" s="159"/>
    </row>
    <row r="9" spans="1:9" x14ac:dyDescent="0.25">
      <c r="A9" s="77" t="s">
        <v>307</v>
      </c>
      <c r="B9" s="159" t="s">
        <v>387</v>
      </c>
      <c r="C9" s="159"/>
    </row>
    <row r="10" spans="1:9" x14ac:dyDescent="0.25">
      <c r="A10" s="77" t="s">
        <v>233</v>
      </c>
      <c r="B10" s="159" t="s">
        <v>388</v>
      </c>
      <c r="C10" s="159"/>
    </row>
    <row r="11" spans="1:9" x14ac:dyDescent="0.25">
      <c r="A11" s="77" t="s">
        <v>308</v>
      </c>
      <c r="B11" s="159" t="s">
        <v>389</v>
      </c>
      <c r="C11" s="159"/>
    </row>
    <row r="12" spans="1:9" x14ac:dyDescent="0.25">
      <c r="A12" s="77" t="s">
        <v>309</v>
      </c>
      <c r="B12" s="159" t="s">
        <v>324</v>
      </c>
      <c r="C12" s="159"/>
    </row>
    <row r="13" spans="1:9" x14ac:dyDescent="0.25">
      <c r="A13" s="77" t="s">
        <v>570</v>
      </c>
      <c r="B13" s="159">
        <v>2</v>
      </c>
      <c r="C13" s="159"/>
    </row>
    <row r="14" spans="1:9" x14ac:dyDescent="0.25">
      <c r="A14" s="77" t="s">
        <v>311</v>
      </c>
      <c r="B14" s="159">
        <v>313</v>
      </c>
      <c r="C14" s="159"/>
    </row>
    <row r="15" spans="1:9" x14ac:dyDescent="0.25">
      <c r="A15" s="77" t="s">
        <v>573</v>
      </c>
      <c r="B15" s="159" t="s">
        <v>390</v>
      </c>
      <c r="C15" s="159"/>
    </row>
    <row r="16" spans="1:9" x14ac:dyDescent="0.25">
      <c r="A16" s="77" t="s">
        <v>313</v>
      </c>
      <c r="B16" s="159" t="s">
        <v>391</v>
      </c>
      <c r="C16" s="159"/>
    </row>
    <row r="17" spans="1:3" x14ac:dyDescent="0.25">
      <c r="A17" s="77" t="s">
        <v>642</v>
      </c>
      <c r="B17" s="159"/>
      <c r="C17" s="159"/>
    </row>
    <row r="18" spans="1:3" x14ac:dyDescent="0.25">
      <c r="A18" s="77" t="s">
        <v>315</v>
      </c>
      <c r="B18" s="161">
        <v>45070</v>
      </c>
      <c r="C18" s="159"/>
    </row>
    <row r="19" spans="1:3" x14ac:dyDescent="0.25">
      <c r="A19" s="77" t="s">
        <v>316</v>
      </c>
      <c r="B19" s="161">
        <v>45014</v>
      </c>
      <c r="C19" s="159"/>
    </row>
    <row r="20" spans="1:3" x14ac:dyDescent="0.25">
      <c r="A20" s="77" t="s">
        <v>317</v>
      </c>
      <c r="B20" s="159" t="s">
        <v>327</v>
      </c>
      <c r="C20" s="159"/>
    </row>
    <row r="21" spans="1:3" x14ac:dyDescent="0.25">
      <c r="A21" s="77" t="s">
        <v>318</v>
      </c>
      <c r="B21" s="159" t="s">
        <v>328</v>
      </c>
      <c r="C21" s="159"/>
    </row>
    <row r="23" spans="1:3" x14ac:dyDescent="0.25">
      <c r="B23" s="91" t="str">
        <f>HYPERLINK("#'Factor List'!A1","Back to Factor List")</f>
        <v>Back to Factor List</v>
      </c>
    </row>
    <row r="24" spans="1:3" x14ac:dyDescent="0.25">
      <c r="B24" s="91" t="s">
        <v>240</v>
      </c>
    </row>
    <row r="25" spans="1:3" x14ac:dyDescent="0.25">
      <c r="B25" s="91"/>
    </row>
    <row r="26" spans="1:3" ht="26" x14ac:dyDescent="0.25">
      <c r="A26" s="87" t="s">
        <v>643</v>
      </c>
      <c r="B26" s="87" t="s">
        <v>661</v>
      </c>
      <c r="C26" s="87" t="s">
        <v>662</v>
      </c>
    </row>
    <row r="27" spans="1:3" x14ac:dyDescent="0.25">
      <c r="A27" s="88">
        <v>16</v>
      </c>
      <c r="B27" s="89">
        <v>11.09</v>
      </c>
      <c r="C27" s="89">
        <v>11.09</v>
      </c>
    </row>
    <row r="28" spans="1:3" x14ac:dyDescent="0.25">
      <c r="A28" s="88">
        <v>17</v>
      </c>
      <c r="B28" s="89">
        <v>11.25</v>
      </c>
      <c r="C28" s="89">
        <v>11.25</v>
      </c>
    </row>
    <row r="29" spans="1:3" x14ac:dyDescent="0.25">
      <c r="A29" s="88">
        <v>18</v>
      </c>
      <c r="B29" s="89">
        <v>11.41</v>
      </c>
      <c r="C29" s="89">
        <v>11.41</v>
      </c>
    </row>
    <row r="30" spans="1:3" x14ac:dyDescent="0.25">
      <c r="A30" s="88">
        <v>19</v>
      </c>
      <c r="B30" s="89">
        <v>11.58</v>
      </c>
      <c r="C30" s="89">
        <v>11.58</v>
      </c>
    </row>
    <row r="31" spans="1:3" x14ac:dyDescent="0.25">
      <c r="A31" s="88">
        <v>20</v>
      </c>
      <c r="B31" s="89">
        <v>11.75</v>
      </c>
      <c r="C31" s="89">
        <v>11.75</v>
      </c>
    </row>
    <row r="32" spans="1:3" x14ac:dyDescent="0.25">
      <c r="A32" s="88">
        <v>21</v>
      </c>
      <c r="B32" s="89">
        <v>11.92</v>
      </c>
      <c r="C32" s="89">
        <v>11.92</v>
      </c>
    </row>
    <row r="33" spans="1:3" x14ac:dyDescent="0.25">
      <c r="A33" s="88">
        <v>22</v>
      </c>
      <c r="B33" s="89">
        <v>12.09</v>
      </c>
      <c r="C33" s="89">
        <v>12.09</v>
      </c>
    </row>
    <row r="34" spans="1:3" x14ac:dyDescent="0.25">
      <c r="A34" s="88">
        <v>23</v>
      </c>
      <c r="B34" s="89">
        <v>12.26</v>
      </c>
      <c r="C34" s="89">
        <v>12.26</v>
      </c>
    </row>
    <row r="35" spans="1:3" x14ac:dyDescent="0.25">
      <c r="A35" s="88">
        <v>24</v>
      </c>
      <c r="B35" s="89">
        <v>12.44</v>
      </c>
      <c r="C35" s="89">
        <v>12.44</v>
      </c>
    </row>
    <row r="36" spans="1:3" x14ac:dyDescent="0.25">
      <c r="A36" s="88">
        <v>25</v>
      </c>
      <c r="B36" s="89">
        <v>12.62</v>
      </c>
      <c r="C36" s="89">
        <v>12.62</v>
      </c>
    </row>
    <row r="37" spans="1:3" x14ac:dyDescent="0.25">
      <c r="A37" s="88">
        <v>26</v>
      </c>
      <c r="B37" s="89">
        <v>12.81</v>
      </c>
      <c r="C37" s="89">
        <v>12.81</v>
      </c>
    </row>
    <row r="38" spans="1:3" x14ac:dyDescent="0.25">
      <c r="A38" s="88">
        <v>27</v>
      </c>
      <c r="B38" s="89">
        <v>12.99</v>
      </c>
      <c r="C38" s="89">
        <v>12.99</v>
      </c>
    </row>
    <row r="39" spans="1:3" x14ac:dyDescent="0.25">
      <c r="A39" s="88">
        <v>28</v>
      </c>
      <c r="B39" s="89">
        <v>13.18</v>
      </c>
      <c r="C39" s="89">
        <v>13.18</v>
      </c>
    </row>
    <row r="40" spans="1:3" x14ac:dyDescent="0.25">
      <c r="A40" s="88">
        <v>29</v>
      </c>
      <c r="B40" s="89">
        <v>13.37</v>
      </c>
      <c r="C40" s="89">
        <v>13.37</v>
      </c>
    </row>
    <row r="41" spans="1:3" x14ac:dyDescent="0.25">
      <c r="A41" s="88">
        <v>30</v>
      </c>
      <c r="B41" s="89">
        <v>13.57</v>
      </c>
      <c r="C41" s="89">
        <v>13.57</v>
      </c>
    </row>
    <row r="42" spans="1:3" x14ac:dyDescent="0.25">
      <c r="A42" s="88">
        <v>31</v>
      </c>
      <c r="B42" s="89">
        <v>13.77</v>
      </c>
      <c r="C42" s="89">
        <v>13.77</v>
      </c>
    </row>
    <row r="43" spans="1:3" x14ac:dyDescent="0.25">
      <c r="A43" s="88">
        <v>32</v>
      </c>
      <c r="B43" s="89">
        <v>13.97</v>
      </c>
      <c r="C43" s="89">
        <v>13.97</v>
      </c>
    </row>
    <row r="44" spans="1:3" x14ac:dyDescent="0.25">
      <c r="A44" s="88">
        <v>33</v>
      </c>
      <c r="B44" s="89">
        <v>14.17</v>
      </c>
      <c r="C44" s="89">
        <v>14.17</v>
      </c>
    </row>
    <row r="45" spans="1:3" x14ac:dyDescent="0.25">
      <c r="A45" s="88">
        <v>34</v>
      </c>
      <c r="B45" s="89">
        <v>14.38</v>
      </c>
      <c r="C45" s="89">
        <v>14.38</v>
      </c>
    </row>
    <row r="46" spans="1:3" x14ac:dyDescent="0.25">
      <c r="A46" s="88">
        <v>35</v>
      </c>
      <c r="B46" s="89">
        <v>14.59</v>
      </c>
      <c r="C46" s="89">
        <v>14.59</v>
      </c>
    </row>
    <row r="47" spans="1:3" x14ac:dyDescent="0.25">
      <c r="A47" s="88">
        <v>36</v>
      </c>
      <c r="B47" s="89">
        <v>14.81</v>
      </c>
      <c r="C47" s="89">
        <v>14.81</v>
      </c>
    </row>
    <row r="48" spans="1:3" x14ac:dyDescent="0.25">
      <c r="A48" s="88">
        <v>37</v>
      </c>
      <c r="B48" s="89">
        <v>15.03</v>
      </c>
      <c r="C48" s="89">
        <v>15.03</v>
      </c>
    </row>
    <row r="49" spans="1:3" x14ac:dyDescent="0.25">
      <c r="A49" s="88">
        <v>38</v>
      </c>
      <c r="B49" s="89">
        <v>15.25</v>
      </c>
      <c r="C49" s="89">
        <v>15.25</v>
      </c>
    </row>
    <row r="50" spans="1:3" x14ac:dyDescent="0.25">
      <c r="A50" s="88">
        <v>39</v>
      </c>
      <c r="B50" s="89">
        <v>15.48</v>
      </c>
      <c r="C50" s="89">
        <v>15.48</v>
      </c>
    </row>
    <row r="51" spans="1:3" x14ac:dyDescent="0.25">
      <c r="A51" s="88">
        <v>40</v>
      </c>
      <c r="B51" s="89">
        <v>15.71</v>
      </c>
      <c r="C51" s="89">
        <v>15.71</v>
      </c>
    </row>
    <row r="52" spans="1:3" x14ac:dyDescent="0.25">
      <c r="A52" s="88">
        <v>41</v>
      </c>
      <c r="B52" s="89">
        <v>15.95</v>
      </c>
      <c r="C52" s="89">
        <v>15.95</v>
      </c>
    </row>
    <row r="53" spans="1:3" x14ac:dyDescent="0.25">
      <c r="A53" s="88">
        <v>42</v>
      </c>
      <c r="B53" s="89">
        <v>16.190000000000001</v>
      </c>
      <c r="C53" s="89">
        <v>16.190000000000001</v>
      </c>
    </row>
    <row r="54" spans="1:3" x14ac:dyDescent="0.25">
      <c r="A54" s="88">
        <v>43</v>
      </c>
      <c r="B54" s="89">
        <v>16.440000000000001</v>
      </c>
      <c r="C54" s="89">
        <v>16.440000000000001</v>
      </c>
    </row>
    <row r="55" spans="1:3" x14ac:dyDescent="0.25">
      <c r="A55" s="88">
        <v>44</v>
      </c>
      <c r="B55" s="89">
        <v>16.7</v>
      </c>
      <c r="C55" s="89">
        <v>16.7</v>
      </c>
    </row>
    <row r="56" spans="1:3" x14ac:dyDescent="0.25">
      <c r="A56" s="88">
        <v>45</v>
      </c>
      <c r="B56" s="89">
        <v>16.96</v>
      </c>
      <c r="C56" s="89">
        <v>16.96</v>
      </c>
    </row>
    <row r="57" spans="1:3" x14ac:dyDescent="0.25">
      <c r="A57" s="88">
        <v>46</v>
      </c>
      <c r="B57" s="89">
        <v>17.23</v>
      </c>
      <c r="C57" s="89">
        <v>17.23</v>
      </c>
    </row>
    <row r="58" spans="1:3" x14ac:dyDescent="0.25">
      <c r="A58" s="88">
        <v>47</v>
      </c>
      <c r="B58" s="89">
        <v>17.5</v>
      </c>
      <c r="C58" s="89">
        <v>17.5</v>
      </c>
    </row>
    <row r="59" spans="1:3" x14ac:dyDescent="0.25">
      <c r="A59" s="88">
        <v>48</v>
      </c>
      <c r="B59" s="89">
        <v>17.79</v>
      </c>
      <c r="C59" s="89">
        <v>17.79</v>
      </c>
    </row>
    <row r="60" spans="1:3" x14ac:dyDescent="0.25">
      <c r="A60" s="88">
        <v>49</v>
      </c>
      <c r="B60" s="89">
        <v>18.079999999999998</v>
      </c>
      <c r="C60" s="89">
        <v>18.079999999999998</v>
      </c>
    </row>
    <row r="61" spans="1:3" x14ac:dyDescent="0.25">
      <c r="A61" s="88">
        <v>50</v>
      </c>
      <c r="B61" s="89">
        <v>18.38</v>
      </c>
      <c r="C61" s="89">
        <v>18.38</v>
      </c>
    </row>
    <row r="62" spans="1:3" x14ac:dyDescent="0.25">
      <c r="A62" s="88">
        <v>51</v>
      </c>
      <c r="B62" s="89">
        <v>18.690000000000001</v>
      </c>
      <c r="C62" s="89">
        <v>18.690000000000001</v>
      </c>
    </row>
    <row r="63" spans="1:3" x14ac:dyDescent="0.25">
      <c r="A63" s="88">
        <v>52</v>
      </c>
      <c r="B63" s="89">
        <v>19</v>
      </c>
      <c r="C63" s="89">
        <v>19</v>
      </c>
    </row>
    <row r="64" spans="1:3" x14ac:dyDescent="0.25">
      <c r="A64" s="88">
        <v>53</v>
      </c>
      <c r="B64" s="89">
        <v>19.329999999999998</v>
      </c>
      <c r="C64" s="89">
        <v>19.329999999999998</v>
      </c>
    </row>
    <row r="65" spans="1:3" x14ac:dyDescent="0.25">
      <c r="A65" s="88">
        <v>54</v>
      </c>
      <c r="B65" s="89">
        <v>19.670000000000002</v>
      </c>
      <c r="C65" s="89">
        <v>19.670000000000002</v>
      </c>
    </row>
    <row r="66" spans="1:3" x14ac:dyDescent="0.25">
      <c r="A66" s="88">
        <v>55</v>
      </c>
      <c r="B66" s="89">
        <v>20.02</v>
      </c>
      <c r="C66" s="89">
        <v>20.02</v>
      </c>
    </row>
    <row r="67" spans="1:3" x14ac:dyDescent="0.25">
      <c r="A67" s="88">
        <v>56</v>
      </c>
      <c r="B67" s="89">
        <v>20.38</v>
      </c>
      <c r="C67" s="89">
        <v>20.38</v>
      </c>
    </row>
    <row r="68" spans="1:3" x14ac:dyDescent="0.25">
      <c r="A68" s="88">
        <v>57</v>
      </c>
      <c r="B68" s="89">
        <v>20.75</v>
      </c>
      <c r="C68" s="89">
        <v>20.75</v>
      </c>
    </row>
    <row r="69" spans="1:3" x14ac:dyDescent="0.25">
      <c r="A69" s="88">
        <v>58</v>
      </c>
      <c r="B69" s="89">
        <v>21.13</v>
      </c>
      <c r="C69" s="89">
        <v>21.13</v>
      </c>
    </row>
    <row r="70" spans="1:3" x14ac:dyDescent="0.25">
      <c r="A70" s="88">
        <v>59</v>
      </c>
      <c r="B70" s="89">
        <v>21.53</v>
      </c>
      <c r="C70" s="89">
        <v>21.53</v>
      </c>
    </row>
    <row r="71" spans="1:3" x14ac:dyDescent="0.25">
      <c r="A71" s="88">
        <v>60</v>
      </c>
      <c r="B71" s="89">
        <v>21.44</v>
      </c>
      <c r="C71" s="89">
        <v>21.44</v>
      </c>
    </row>
    <row r="72" spans="1:3" x14ac:dyDescent="0.25">
      <c r="A72" s="88">
        <v>61</v>
      </c>
      <c r="B72" s="89">
        <v>20.85</v>
      </c>
      <c r="C72" s="89">
        <v>20.85</v>
      </c>
    </row>
    <row r="73" spans="1:3" x14ac:dyDescent="0.25">
      <c r="A73" s="88">
        <v>62</v>
      </c>
      <c r="B73" s="89">
        <v>20.25</v>
      </c>
      <c r="C73" s="89">
        <v>20.25</v>
      </c>
    </row>
    <row r="74" spans="1:3" x14ac:dyDescent="0.25">
      <c r="A74" s="88">
        <v>63</v>
      </c>
      <c r="B74" s="89">
        <v>19.649999999999999</v>
      </c>
      <c r="C74" s="89">
        <v>19.649999999999999</v>
      </c>
    </row>
    <row r="75" spans="1:3" x14ac:dyDescent="0.25">
      <c r="A75" s="88">
        <v>64</v>
      </c>
      <c r="B75" s="89">
        <v>19.05</v>
      </c>
      <c r="C75" s="89">
        <v>19.05</v>
      </c>
    </row>
    <row r="76" spans="1:3" x14ac:dyDescent="0.25">
      <c r="A76" s="88">
        <v>65</v>
      </c>
      <c r="B76" s="89">
        <v>18.440000000000001</v>
      </c>
      <c r="C76" s="89">
        <v>18.440000000000001</v>
      </c>
    </row>
    <row r="77" spans="1:3" x14ac:dyDescent="0.25">
      <c r="A77" s="88">
        <v>66</v>
      </c>
      <c r="B77" s="89">
        <v>17.829999999999998</v>
      </c>
      <c r="C77" s="89">
        <v>17.829999999999998</v>
      </c>
    </row>
    <row r="78" spans="1:3" x14ac:dyDescent="0.25">
      <c r="A78" s="88">
        <v>67</v>
      </c>
      <c r="B78" s="89">
        <v>17.21</v>
      </c>
      <c r="C78" s="89">
        <v>17.21</v>
      </c>
    </row>
    <row r="79" spans="1:3" x14ac:dyDescent="0.25">
      <c r="A79" s="88">
        <v>68</v>
      </c>
      <c r="B79" s="89">
        <v>16.600000000000001</v>
      </c>
      <c r="C79" s="89">
        <v>16.600000000000001</v>
      </c>
    </row>
    <row r="80" spans="1:3" x14ac:dyDescent="0.25">
      <c r="A80" s="88">
        <v>69</v>
      </c>
      <c r="B80" s="89">
        <v>15.97</v>
      </c>
      <c r="C80" s="89">
        <v>15.97</v>
      </c>
    </row>
    <row r="81" spans="1:3" x14ac:dyDescent="0.25">
      <c r="A81" s="88">
        <v>70</v>
      </c>
      <c r="B81" s="89">
        <v>15.35</v>
      </c>
      <c r="C81" s="89">
        <v>15.35</v>
      </c>
    </row>
    <row r="82" spans="1:3" x14ac:dyDescent="0.25">
      <c r="A82" s="88">
        <v>71</v>
      </c>
      <c r="B82" s="89">
        <v>14.72</v>
      </c>
      <c r="C82" s="89">
        <v>14.72</v>
      </c>
    </row>
    <row r="83" spans="1:3" x14ac:dyDescent="0.25">
      <c r="A83" s="88">
        <v>72</v>
      </c>
      <c r="B83" s="89">
        <v>14.1</v>
      </c>
      <c r="C83" s="89">
        <v>14.1</v>
      </c>
    </row>
    <row r="84" spans="1:3" x14ac:dyDescent="0.25">
      <c r="A84" s="88">
        <v>73</v>
      </c>
      <c r="B84" s="89">
        <v>13.48</v>
      </c>
      <c r="C84" s="89">
        <v>13.48</v>
      </c>
    </row>
    <row r="85" spans="1:3" x14ac:dyDescent="0.25">
      <c r="A85" s="88">
        <v>74</v>
      </c>
      <c r="B85" s="89">
        <v>12.86</v>
      </c>
      <c r="C85" s="89">
        <v>12.86</v>
      </c>
    </row>
    <row r="86" spans="1:3" x14ac:dyDescent="0.25">
      <c r="A86" s="88">
        <v>75</v>
      </c>
      <c r="B86" s="89">
        <v>12.24</v>
      </c>
      <c r="C86" s="89">
        <v>12.24</v>
      </c>
    </row>
    <row r="87" spans="1:3" x14ac:dyDescent="0.25">
      <c r="A87" s="88">
        <v>76</v>
      </c>
      <c r="B87" s="89">
        <v>11.63</v>
      </c>
      <c r="C87" s="89">
        <v>11.63</v>
      </c>
    </row>
    <row r="88" spans="1:3" x14ac:dyDescent="0.25">
      <c r="A88" s="88">
        <v>77</v>
      </c>
      <c r="B88" s="89">
        <v>11.02</v>
      </c>
      <c r="C88" s="89">
        <v>11.02</v>
      </c>
    </row>
    <row r="89" spans="1:3" x14ac:dyDescent="0.25">
      <c r="A89" s="88">
        <v>78</v>
      </c>
      <c r="B89" s="89">
        <v>10.42</v>
      </c>
      <c r="C89" s="89">
        <v>10.42</v>
      </c>
    </row>
    <row r="90" spans="1:3" x14ac:dyDescent="0.25">
      <c r="A90" s="88">
        <v>79</v>
      </c>
      <c r="B90" s="89">
        <v>9.83</v>
      </c>
      <c r="C90" s="89">
        <v>9.83</v>
      </c>
    </row>
    <row r="91" spans="1:3" x14ac:dyDescent="0.25">
      <c r="A91" s="88">
        <v>80</v>
      </c>
      <c r="B91" s="89">
        <v>9.26</v>
      </c>
      <c r="C91" s="89">
        <v>9.26</v>
      </c>
    </row>
    <row r="92" spans="1:3" x14ac:dyDescent="0.25">
      <c r="A92" s="88">
        <v>81</v>
      </c>
      <c r="B92" s="89">
        <v>8.69</v>
      </c>
      <c r="C92" s="89">
        <v>8.69</v>
      </c>
    </row>
    <row r="93" spans="1:3" x14ac:dyDescent="0.25">
      <c r="A93" s="88">
        <v>82</v>
      </c>
      <c r="B93" s="89">
        <v>8.14</v>
      </c>
      <c r="C93" s="89">
        <v>8.14</v>
      </c>
    </row>
    <row r="94" spans="1:3" x14ac:dyDescent="0.25">
      <c r="A94" s="88">
        <v>83</v>
      </c>
      <c r="B94" s="89">
        <v>7.6</v>
      </c>
      <c r="C94" s="89">
        <v>7.6</v>
      </c>
    </row>
    <row r="95" spans="1:3" x14ac:dyDescent="0.25">
      <c r="A95" s="88">
        <v>84</v>
      </c>
      <c r="B95" s="89">
        <v>7.08</v>
      </c>
      <c r="C95" s="89">
        <v>7.08</v>
      </c>
    </row>
    <row r="96" spans="1:3" x14ac:dyDescent="0.25">
      <c r="A96" s="88">
        <v>85</v>
      </c>
      <c r="B96" s="89">
        <v>6.58</v>
      </c>
      <c r="C96" s="89">
        <v>6.58</v>
      </c>
    </row>
  </sheetData>
  <sheetProtection algorithmName="SHA-512" hashValue="ggYuQQS77wvN5DLB33RVleWFf4Q5iG/8+ykMY+z4QvHMo3lmXZw9nN6VuemhD5uHEGb0YiAljMZfFED1tCrqiA==" saltValue="OHmNwRtD9pOWY9Y0r2rrgw==" spinCount="100000" sheet="1" objects="1" scenarios="1"/>
  <conditionalFormatting sqref="A6:A16">
    <cfRule type="expression" dxfId="1027" priority="21" stopIfTrue="1">
      <formula>MOD(ROW(),2)=0</formula>
    </cfRule>
    <cfRule type="expression" dxfId="1026" priority="22" stopIfTrue="1">
      <formula>MOD(ROW(),2)&lt;&gt;0</formula>
    </cfRule>
  </conditionalFormatting>
  <conditionalFormatting sqref="B6:C21">
    <cfRule type="expression" dxfId="1025" priority="23" stopIfTrue="1">
      <formula>MOD(ROW(),2)=0</formula>
    </cfRule>
    <cfRule type="expression" dxfId="1024" priority="24" stopIfTrue="1">
      <formula>MOD(ROW(),2)&lt;&gt;0</formula>
    </cfRule>
  </conditionalFormatting>
  <conditionalFormatting sqref="A17:A20">
    <cfRule type="expression" dxfId="1023" priority="13" stopIfTrue="1">
      <formula>MOD(ROW(),2)=0</formula>
    </cfRule>
    <cfRule type="expression" dxfId="1022" priority="14" stopIfTrue="1">
      <formula>MOD(ROW(),2)&lt;&gt;0</formula>
    </cfRule>
  </conditionalFormatting>
  <conditionalFormatting sqref="B17:B18 B20:B21">
    <cfRule type="expression" dxfId="1021" priority="15" stopIfTrue="1">
      <formula>MOD(ROW(),2)=0</formula>
    </cfRule>
    <cfRule type="expression" dxfId="1020" priority="16" stopIfTrue="1">
      <formula>MOD(ROW(),2)&lt;&gt;0</formula>
    </cfRule>
  </conditionalFormatting>
  <conditionalFormatting sqref="A26:A96">
    <cfRule type="expression" dxfId="1019" priority="7" stopIfTrue="1">
      <formula>MOD(ROW(),2)=0</formula>
    </cfRule>
    <cfRule type="expression" dxfId="1018" priority="8" stopIfTrue="1">
      <formula>MOD(ROW(),2)&lt;&gt;0</formula>
    </cfRule>
  </conditionalFormatting>
  <conditionalFormatting sqref="B26:C96">
    <cfRule type="expression" dxfId="1017" priority="9" stopIfTrue="1">
      <formula>MOD(ROW(),2)=0</formula>
    </cfRule>
    <cfRule type="expression" dxfId="1016" priority="10" stopIfTrue="1">
      <formula>MOD(ROW(),2)&lt;&gt;0</formula>
    </cfRule>
  </conditionalFormatting>
  <conditionalFormatting sqref="B19">
    <cfRule type="expression" dxfId="1015" priority="5" stopIfTrue="1">
      <formula>MOD(ROW(),2)=0</formula>
    </cfRule>
    <cfRule type="expression" dxfId="1014" priority="6" stopIfTrue="1">
      <formula>MOD(ROW(),2)&lt;&gt;0</formula>
    </cfRule>
  </conditionalFormatting>
  <conditionalFormatting sqref="A21">
    <cfRule type="expression" dxfId="1013" priority="1" stopIfTrue="1">
      <formula>MOD(ROW(),2)=0</formula>
    </cfRule>
    <cfRule type="expression" dxfId="1012" priority="2" stopIfTrue="1">
      <formula>MOD(ROW(),2)&lt;&gt;0</formula>
    </cfRule>
  </conditionalFormatting>
  <hyperlinks>
    <hyperlink ref="B24" location="Assumptions!A1" display="Assumptions" xr:uid="{663B769D-B971-41F7-8890-839CBA54B65A}"/>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57"/>
  <dimension ref="A1:I96"/>
  <sheetViews>
    <sheetView showGridLines="0" zoomScale="85" zoomScaleNormal="85" workbookViewId="0">
      <selection activeCell="B18" sqref="B18"/>
    </sheetView>
  </sheetViews>
  <sheetFormatPr defaultColWidth="10" defaultRowHeight="12.5" x14ac:dyDescent="0.25"/>
  <cols>
    <col min="1" max="1" width="31.81640625" style="28" customWidth="1"/>
    <col min="2" max="2" width="22.81640625" style="28" customWidth="1"/>
    <col min="3" max="3" width="26.453125" style="28" customWidth="1"/>
    <col min="4" max="4" width="10" style="28" customWidth="1"/>
    <col min="5" max="16384" width="10" style="28"/>
  </cols>
  <sheetData>
    <row r="1" spans="1:9" ht="20" x14ac:dyDescent="0.4">
      <c r="A1" s="40" t="s">
        <v>227</v>
      </c>
      <c r="B1" s="41"/>
      <c r="C1" s="41"/>
      <c r="D1" s="41"/>
      <c r="E1" s="41"/>
      <c r="F1" s="41"/>
      <c r="G1" s="41"/>
      <c r="H1" s="41"/>
      <c r="I1" s="41"/>
    </row>
    <row r="2" spans="1:9" ht="15.5" x14ac:dyDescent="0.35">
      <c r="A2" s="42" t="str">
        <f>IF(title="&gt; Enter workbook title here","Enter workbook title in Cover sheet",title)</f>
        <v>Fire Northern Ireland - Consolidated Factor Spreadsheet</v>
      </c>
      <c r="B2" s="43"/>
      <c r="C2" s="43"/>
      <c r="D2" s="43"/>
      <c r="E2" s="43"/>
      <c r="F2" s="43"/>
      <c r="G2" s="43"/>
      <c r="H2" s="43"/>
      <c r="I2" s="43"/>
    </row>
    <row r="3" spans="1:9" ht="15.5" x14ac:dyDescent="0.35">
      <c r="A3" s="44" t="str">
        <f>TABLE_FACTOR_TYPE_1&amp;" - x-"&amp;TABLE_SERIES_NUMBER_1</f>
        <v>Pension Credit - x-314</v>
      </c>
      <c r="B3" s="43"/>
      <c r="C3" s="43"/>
      <c r="D3" s="43"/>
      <c r="E3" s="43"/>
      <c r="F3" s="43"/>
      <c r="G3" s="43"/>
      <c r="H3" s="43"/>
      <c r="I3" s="43"/>
    </row>
    <row r="4" spans="1:9" x14ac:dyDescent="0.25">
      <c r="A4" s="45"/>
    </row>
    <row r="6" spans="1:9" ht="13" x14ac:dyDescent="0.3">
      <c r="A6" s="75" t="s">
        <v>562</v>
      </c>
      <c r="B6" s="159" t="s">
        <v>563</v>
      </c>
      <c r="C6" s="159"/>
    </row>
    <row r="7" spans="1:9" x14ac:dyDescent="0.25">
      <c r="A7" s="77" t="s">
        <v>305</v>
      </c>
      <c r="B7" s="159" t="s">
        <v>319</v>
      </c>
      <c r="C7" s="159"/>
    </row>
    <row r="8" spans="1:9" x14ac:dyDescent="0.25">
      <c r="A8" s="77" t="s">
        <v>306</v>
      </c>
      <c r="B8" s="159" t="s">
        <v>332</v>
      </c>
      <c r="C8" s="159"/>
    </row>
    <row r="9" spans="1:9" x14ac:dyDescent="0.25">
      <c r="A9" s="77" t="s">
        <v>307</v>
      </c>
      <c r="B9" s="159" t="s">
        <v>387</v>
      </c>
      <c r="C9" s="159"/>
    </row>
    <row r="10" spans="1:9" x14ac:dyDescent="0.25">
      <c r="A10" s="77" t="s">
        <v>233</v>
      </c>
      <c r="B10" s="159" t="s">
        <v>388</v>
      </c>
      <c r="C10" s="159"/>
    </row>
    <row r="11" spans="1:9" x14ac:dyDescent="0.25">
      <c r="A11" s="77" t="s">
        <v>308</v>
      </c>
      <c r="B11" s="159" t="s">
        <v>389</v>
      </c>
      <c r="C11" s="159"/>
    </row>
    <row r="12" spans="1:9" x14ac:dyDescent="0.25">
      <c r="A12" s="77" t="s">
        <v>309</v>
      </c>
      <c r="B12" s="159" t="s">
        <v>324</v>
      </c>
      <c r="C12" s="159"/>
    </row>
    <row r="13" spans="1:9" x14ac:dyDescent="0.25">
      <c r="A13" s="77" t="s">
        <v>570</v>
      </c>
      <c r="B13" s="159">
        <v>1</v>
      </c>
      <c r="C13" s="159"/>
    </row>
    <row r="14" spans="1:9" x14ac:dyDescent="0.25">
      <c r="A14" s="77" t="s">
        <v>311</v>
      </c>
      <c r="B14" s="159">
        <v>314</v>
      </c>
      <c r="C14" s="159"/>
    </row>
    <row r="15" spans="1:9" x14ac:dyDescent="0.25">
      <c r="A15" s="77" t="s">
        <v>573</v>
      </c>
      <c r="B15" s="159" t="s">
        <v>392</v>
      </c>
      <c r="C15" s="159"/>
    </row>
    <row r="16" spans="1:9" x14ac:dyDescent="0.25">
      <c r="A16" s="77" t="s">
        <v>313</v>
      </c>
      <c r="B16" s="159" t="s">
        <v>391</v>
      </c>
      <c r="C16" s="159"/>
    </row>
    <row r="17" spans="1:3" x14ac:dyDescent="0.25">
      <c r="A17" s="77" t="s">
        <v>642</v>
      </c>
      <c r="B17" s="159"/>
      <c r="C17" s="159"/>
    </row>
    <row r="18" spans="1:3" x14ac:dyDescent="0.25">
      <c r="A18" s="77" t="s">
        <v>315</v>
      </c>
      <c r="B18" s="161">
        <v>45070</v>
      </c>
      <c r="C18" s="159"/>
    </row>
    <row r="19" spans="1:3" x14ac:dyDescent="0.25">
      <c r="A19" s="77" t="s">
        <v>316</v>
      </c>
      <c r="B19" s="161">
        <v>45014</v>
      </c>
      <c r="C19" s="159"/>
    </row>
    <row r="20" spans="1:3" x14ac:dyDescent="0.25">
      <c r="A20" s="77" t="s">
        <v>317</v>
      </c>
      <c r="B20" s="159" t="s">
        <v>327</v>
      </c>
      <c r="C20" s="159"/>
    </row>
    <row r="21" spans="1:3" x14ac:dyDescent="0.25">
      <c r="A21" s="77" t="s">
        <v>318</v>
      </c>
      <c r="B21" s="159" t="s">
        <v>328</v>
      </c>
      <c r="C21" s="159"/>
    </row>
    <row r="23" spans="1:3" x14ac:dyDescent="0.25">
      <c r="B23" s="91" t="str">
        <f>HYPERLINK("#'Factor List'!A1","Back to Factor List")</f>
        <v>Back to Factor List</v>
      </c>
    </row>
    <row r="24" spans="1:3" x14ac:dyDescent="0.25">
      <c r="B24" s="91" t="s">
        <v>240</v>
      </c>
    </row>
    <row r="25" spans="1:3" x14ac:dyDescent="0.25">
      <c r="B25" s="91"/>
    </row>
    <row r="26" spans="1:3" ht="26" x14ac:dyDescent="0.25">
      <c r="A26" s="87" t="s">
        <v>643</v>
      </c>
      <c r="B26" s="87" t="s">
        <v>661</v>
      </c>
      <c r="C26" s="87" t="s">
        <v>662</v>
      </c>
    </row>
    <row r="27" spans="1:3" x14ac:dyDescent="0.25">
      <c r="A27" s="88">
        <v>16</v>
      </c>
      <c r="B27" s="89">
        <v>8.92</v>
      </c>
      <c r="C27" s="89">
        <v>8.92</v>
      </c>
    </row>
    <row r="28" spans="1:3" x14ac:dyDescent="0.25">
      <c r="A28" s="88">
        <v>17</v>
      </c>
      <c r="B28" s="89">
        <v>9.0399999999999991</v>
      </c>
      <c r="C28" s="89">
        <v>9.0399999999999991</v>
      </c>
    </row>
    <row r="29" spans="1:3" x14ac:dyDescent="0.25">
      <c r="A29" s="88">
        <v>18</v>
      </c>
      <c r="B29" s="89">
        <v>9.17</v>
      </c>
      <c r="C29" s="89">
        <v>9.17</v>
      </c>
    </row>
    <row r="30" spans="1:3" x14ac:dyDescent="0.25">
      <c r="A30" s="88">
        <v>19</v>
      </c>
      <c r="B30" s="89">
        <v>9.3000000000000007</v>
      </c>
      <c r="C30" s="89">
        <v>9.3000000000000007</v>
      </c>
    </row>
    <row r="31" spans="1:3" x14ac:dyDescent="0.25">
      <c r="A31" s="88">
        <v>20</v>
      </c>
      <c r="B31" s="89">
        <v>9.43</v>
      </c>
      <c r="C31" s="89">
        <v>9.43</v>
      </c>
    </row>
    <row r="32" spans="1:3" x14ac:dyDescent="0.25">
      <c r="A32" s="88">
        <v>21</v>
      </c>
      <c r="B32" s="89">
        <v>9.56</v>
      </c>
      <c r="C32" s="89">
        <v>9.56</v>
      </c>
    </row>
    <row r="33" spans="1:3" x14ac:dyDescent="0.25">
      <c r="A33" s="88">
        <v>22</v>
      </c>
      <c r="B33" s="89">
        <v>9.69</v>
      </c>
      <c r="C33" s="89">
        <v>9.69</v>
      </c>
    </row>
    <row r="34" spans="1:3" x14ac:dyDescent="0.25">
      <c r="A34" s="88">
        <v>23</v>
      </c>
      <c r="B34" s="89">
        <v>9.83</v>
      </c>
      <c r="C34" s="89">
        <v>9.83</v>
      </c>
    </row>
    <row r="35" spans="1:3" x14ac:dyDescent="0.25">
      <c r="A35" s="88">
        <v>24</v>
      </c>
      <c r="B35" s="89">
        <v>9.9700000000000006</v>
      </c>
      <c r="C35" s="89">
        <v>9.9700000000000006</v>
      </c>
    </row>
    <row r="36" spans="1:3" x14ac:dyDescent="0.25">
      <c r="A36" s="88">
        <v>25</v>
      </c>
      <c r="B36" s="89">
        <v>10.11</v>
      </c>
      <c r="C36" s="89">
        <v>10.11</v>
      </c>
    </row>
    <row r="37" spans="1:3" x14ac:dyDescent="0.25">
      <c r="A37" s="88">
        <v>26</v>
      </c>
      <c r="B37" s="89">
        <v>10.25</v>
      </c>
      <c r="C37" s="89">
        <v>10.25</v>
      </c>
    </row>
    <row r="38" spans="1:3" x14ac:dyDescent="0.25">
      <c r="A38" s="88">
        <v>27</v>
      </c>
      <c r="B38" s="89">
        <v>10.39</v>
      </c>
      <c r="C38" s="89">
        <v>10.39</v>
      </c>
    </row>
    <row r="39" spans="1:3" x14ac:dyDescent="0.25">
      <c r="A39" s="88">
        <v>28</v>
      </c>
      <c r="B39" s="89">
        <v>10.54</v>
      </c>
      <c r="C39" s="89">
        <v>10.54</v>
      </c>
    </row>
    <row r="40" spans="1:3" x14ac:dyDescent="0.25">
      <c r="A40" s="88">
        <v>29</v>
      </c>
      <c r="B40" s="89">
        <v>10.69</v>
      </c>
      <c r="C40" s="89">
        <v>10.69</v>
      </c>
    </row>
    <row r="41" spans="1:3" x14ac:dyDescent="0.25">
      <c r="A41" s="88">
        <v>30</v>
      </c>
      <c r="B41" s="89">
        <v>10.84</v>
      </c>
      <c r="C41" s="89">
        <v>10.84</v>
      </c>
    </row>
    <row r="42" spans="1:3" x14ac:dyDescent="0.25">
      <c r="A42" s="88">
        <v>31</v>
      </c>
      <c r="B42" s="89">
        <v>10.99</v>
      </c>
      <c r="C42" s="89">
        <v>10.99</v>
      </c>
    </row>
    <row r="43" spans="1:3" x14ac:dyDescent="0.25">
      <c r="A43" s="88">
        <v>32</v>
      </c>
      <c r="B43" s="89">
        <v>11.15</v>
      </c>
      <c r="C43" s="89">
        <v>11.15</v>
      </c>
    </row>
    <row r="44" spans="1:3" x14ac:dyDescent="0.25">
      <c r="A44" s="88">
        <v>33</v>
      </c>
      <c r="B44" s="89">
        <v>11.3</v>
      </c>
      <c r="C44" s="89">
        <v>11.3</v>
      </c>
    </row>
    <row r="45" spans="1:3" x14ac:dyDescent="0.25">
      <c r="A45" s="88">
        <v>34</v>
      </c>
      <c r="B45" s="89">
        <v>11.46</v>
      </c>
      <c r="C45" s="89">
        <v>11.46</v>
      </c>
    </row>
    <row r="46" spans="1:3" x14ac:dyDescent="0.25">
      <c r="A46" s="88">
        <v>35</v>
      </c>
      <c r="B46" s="89">
        <v>11.63</v>
      </c>
      <c r="C46" s="89">
        <v>11.63</v>
      </c>
    </row>
    <row r="47" spans="1:3" x14ac:dyDescent="0.25">
      <c r="A47" s="88">
        <v>36</v>
      </c>
      <c r="B47" s="89">
        <v>11.79</v>
      </c>
      <c r="C47" s="89">
        <v>11.79</v>
      </c>
    </row>
    <row r="48" spans="1:3" x14ac:dyDescent="0.25">
      <c r="A48" s="88">
        <v>37</v>
      </c>
      <c r="B48" s="89">
        <v>11.96</v>
      </c>
      <c r="C48" s="89">
        <v>11.96</v>
      </c>
    </row>
    <row r="49" spans="1:3" x14ac:dyDescent="0.25">
      <c r="A49" s="88">
        <v>38</v>
      </c>
      <c r="B49" s="89">
        <v>12.13</v>
      </c>
      <c r="C49" s="89">
        <v>12.13</v>
      </c>
    </row>
    <row r="50" spans="1:3" x14ac:dyDescent="0.25">
      <c r="A50" s="88">
        <v>39</v>
      </c>
      <c r="B50" s="89">
        <v>12.31</v>
      </c>
      <c r="C50" s="89">
        <v>12.31</v>
      </c>
    </row>
    <row r="51" spans="1:3" x14ac:dyDescent="0.25">
      <c r="A51" s="88">
        <v>40</v>
      </c>
      <c r="B51" s="89">
        <v>12.48</v>
      </c>
      <c r="C51" s="89">
        <v>12.48</v>
      </c>
    </row>
    <row r="52" spans="1:3" x14ac:dyDescent="0.25">
      <c r="A52" s="88">
        <v>41</v>
      </c>
      <c r="B52" s="89">
        <v>12.67</v>
      </c>
      <c r="C52" s="89">
        <v>12.67</v>
      </c>
    </row>
    <row r="53" spans="1:3" x14ac:dyDescent="0.25">
      <c r="A53" s="88">
        <v>42</v>
      </c>
      <c r="B53" s="89">
        <v>12.85</v>
      </c>
      <c r="C53" s="89">
        <v>12.85</v>
      </c>
    </row>
    <row r="54" spans="1:3" x14ac:dyDescent="0.25">
      <c r="A54" s="88">
        <v>43</v>
      </c>
      <c r="B54" s="89">
        <v>13.04</v>
      </c>
      <c r="C54" s="89">
        <v>13.04</v>
      </c>
    </row>
    <row r="55" spans="1:3" x14ac:dyDescent="0.25">
      <c r="A55" s="88">
        <v>44</v>
      </c>
      <c r="B55" s="89">
        <v>13.24</v>
      </c>
      <c r="C55" s="89">
        <v>13.24</v>
      </c>
    </row>
    <row r="56" spans="1:3" x14ac:dyDescent="0.25">
      <c r="A56" s="88">
        <v>45</v>
      </c>
      <c r="B56" s="89">
        <v>13.44</v>
      </c>
      <c r="C56" s="89">
        <v>13.44</v>
      </c>
    </row>
    <row r="57" spans="1:3" x14ac:dyDescent="0.25">
      <c r="A57" s="88">
        <v>46</v>
      </c>
      <c r="B57" s="89">
        <v>13.64</v>
      </c>
      <c r="C57" s="89">
        <v>13.64</v>
      </c>
    </row>
    <row r="58" spans="1:3" x14ac:dyDescent="0.25">
      <c r="A58" s="88">
        <v>47</v>
      </c>
      <c r="B58" s="89">
        <v>13.85</v>
      </c>
      <c r="C58" s="89">
        <v>13.85</v>
      </c>
    </row>
    <row r="59" spans="1:3" x14ac:dyDescent="0.25">
      <c r="A59" s="88">
        <v>48</v>
      </c>
      <c r="B59" s="89">
        <v>14.07</v>
      </c>
      <c r="C59" s="89">
        <v>14.07</v>
      </c>
    </row>
    <row r="60" spans="1:3" x14ac:dyDescent="0.25">
      <c r="A60" s="88">
        <v>49</v>
      </c>
      <c r="B60" s="89">
        <v>14.29</v>
      </c>
      <c r="C60" s="89">
        <v>14.29</v>
      </c>
    </row>
    <row r="61" spans="1:3" x14ac:dyDescent="0.25">
      <c r="A61" s="88">
        <v>50</v>
      </c>
      <c r="B61" s="89">
        <v>14.52</v>
      </c>
      <c r="C61" s="89">
        <v>14.52</v>
      </c>
    </row>
    <row r="62" spans="1:3" x14ac:dyDescent="0.25">
      <c r="A62" s="88">
        <v>51</v>
      </c>
      <c r="B62" s="89">
        <v>14.76</v>
      </c>
      <c r="C62" s="89">
        <v>14.76</v>
      </c>
    </row>
    <row r="63" spans="1:3" x14ac:dyDescent="0.25">
      <c r="A63" s="88">
        <v>52</v>
      </c>
      <c r="B63" s="89">
        <v>15</v>
      </c>
      <c r="C63" s="89">
        <v>15</v>
      </c>
    </row>
    <row r="64" spans="1:3" x14ac:dyDescent="0.25">
      <c r="A64" s="88">
        <v>53</v>
      </c>
      <c r="B64" s="89">
        <v>15.25</v>
      </c>
      <c r="C64" s="89">
        <v>15.25</v>
      </c>
    </row>
    <row r="65" spans="1:3" x14ac:dyDescent="0.25">
      <c r="A65" s="88">
        <v>54</v>
      </c>
      <c r="B65" s="89">
        <v>15.51</v>
      </c>
      <c r="C65" s="89">
        <v>15.51</v>
      </c>
    </row>
    <row r="66" spans="1:3" x14ac:dyDescent="0.25">
      <c r="A66" s="88">
        <v>55</v>
      </c>
      <c r="B66" s="89">
        <v>15.77</v>
      </c>
      <c r="C66" s="89">
        <v>15.77</v>
      </c>
    </row>
    <row r="67" spans="1:3" x14ac:dyDescent="0.25">
      <c r="A67" s="88">
        <v>56</v>
      </c>
      <c r="B67" s="89">
        <v>16.04</v>
      </c>
      <c r="C67" s="89">
        <v>16.04</v>
      </c>
    </row>
    <row r="68" spans="1:3" x14ac:dyDescent="0.25">
      <c r="A68" s="88">
        <v>57</v>
      </c>
      <c r="B68" s="89">
        <v>16.329999999999998</v>
      </c>
      <c r="C68" s="89">
        <v>16.329999999999998</v>
      </c>
    </row>
    <row r="69" spans="1:3" x14ac:dyDescent="0.25">
      <c r="A69" s="88">
        <v>58</v>
      </c>
      <c r="B69" s="89">
        <v>16.62</v>
      </c>
      <c r="C69" s="89">
        <v>16.62</v>
      </c>
    </row>
    <row r="70" spans="1:3" x14ac:dyDescent="0.25">
      <c r="A70" s="88">
        <v>59</v>
      </c>
      <c r="B70" s="89">
        <v>16.920000000000002</v>
      </c>
      <c r="C70" s="89">
        <v>16.920000000000002</v>
      </c>
    </row>
    <row r="71" spans="1:3" x14ac:dyDescent="0.25">
      <c r="A71" s="88">
        <v>60</v>
      </c>
      <c r="B71" s="89">
        <v>17.239999999999998</v>
      </c>
      <c r="C71" s="89">
        <v>17.239999999999998</v>
      </c>
    </row>
    <row r="72" spans="1:3" x14ac:dyDescent="0.25">
      <c r="A72" s="88">
        <v>61</v>
      </c>
      <c r="B72" s="89">
        <v>17.57</v>
      </c>
      <c r="C72" s="89">
        <v>17.57</v>
      </c>
    </row>
    <row r="73" spans="1:3" x14ac:dyDescent="0.25">
      <c r="A73" s="88">
        <v>62</v>
      </c>
      <c r="B73" s="89">
        <v>17.91</v>
      </c>
      <c r="C73" s="89">
        <v>17.91</v>
      </c>
    </row>
    <row r="74" spans="1:3" x14ac:dyDescent="0.25">
      <c r="A74" s="88">
        <v>63</v>
      </c>
      <c r="B74" s="89">
        <v>18.27</v>
      </c>
      <c r="C74" s="89">
        <v>18.27</v>
      </c>
    </row>
    <row r="75" spans="1:3" x14ac:dyDescent="0.25">
      <c r="A75" s="88">
        <v>64</v>
      </c>
      <c r="B75" s="89">
        <v>18.64</v>
      </c>
      <c r="C75" s="89">
        <v>18.64</v>
      </c>
    </row>
    <row r="76" spans="1:3" x14ac:dyDescent="0.25">
      <c r="A76" s="88">
        <v>65</v>
      </c>
      <c r="B76" s="89">
        <v>18.52</v>
      </c>
      <c r="C76" s="89">
        <v>18.52</v>
      </c>
    </row>
    <row r="77" spans="1:3" x14ac:dyDescent="0.25">
      <c r="A77" s="88">
        <v>66</v>
      </c>
      <c r="B77" s="89">
        <v>17.88</v>
      </c>
      <c r="C77" s="89">
        <v>17.88</v>
      </c>
    </row>
    <row r="78" spans="1:3" x14ac:dyDescent="0.25">
      <c r="A78" s="88">
        <v>67</v>
      </c>
      <c r="B78" s="89">
        <v>17.239999999999998</v>
      </c>
      <c r="C78" s="89">
        <v>17.239999999999998</v>
      </c>
    </row>
    <row r="79" spans="1:3" x14ac:dyDescent="0.25">
      <c r="A79" s="88">
        <v>68</v>
      </c>
      <c r="B79" s="89">
        <v>16.61</v>
      </c>
      <c r="C79" s="89">
        <v>16.61</v>
      </c>
    </row>
    <row r="80" spans="1:3" x14ac:dyDescent="0.25">
      <c r="A80" s="88">
        <v>69</v>
      </c>
      <c r="B80" s="89">
        <v>15.98</v>
      </c>
      <c r="C80" s="89">
        <v>15.98</v>
      </c>
    </row>
    <row r="81" spans="1:3" x14ac:dyDescent="0.25">
      <c r="A81" s="88">
        <v>70</v>
      </c>
      <c r="B81" s="89">
        <v>15.35</v>
      </c>
      <c r="C81" s="89">
        <v>15.35</v>
      </c>
    </row>
    <row r="82" spans="1:3" x14ac:dyDescent="0.25">
      <c r="A82" s="88">
        <v>71</v>
      </c>
      <c r="B82" s="89">
        <v>14.72</v>
      </c>
      <c r="C82" s="89">
        <v>14.72</v>
      </c>
    </row>
    <row r="83" spans="1:3" x14ac:dyDescent="0.25">
      <c r="A83" s="88">
        <v>72</v>
      </c>
      <c r="B83" s="89">
        <v>14.1</v>
      </c>
      <c r="C83" s="89">
        <v>14.1</v>
      </c>
    </row>
    <row r="84" spans="1:3" x14ac:dyDescent="0.25">
      <c r="A84" s="88">
        <v>73</v>
      </c>
      <c r="B84" s="89">
        <v>13.48</v>
      </c>
      <c r="C84" s="89">
        <v>13.48</v>
      </c>
    </row>
    <row r="85" spans="1:3" x14ac:dyDescent="0.25">
      <c r="A85" s="88">
        <v>74</v>
      </c>
      <c r="B85" s="89">
        <v>12.86</v>
      </c>
      <c r="C85" s="89">
        <v>12.86</v>
      </c>
    </row>
    <row r="86" spans="1:3" x14ac:dyDescent="0.25">
      <c r="A86" s="88">
        <v>75</v>
      </c>
      <c r="B86" s="89">
        <v>12.24</v>
      </c>
      <c r="C86" s="89">
        <v>12.24</v>
      </c>
    </row>
    <row r="87" spans="1:3" x14ac:dyDescent="0.25">
      <c r="A87" s="88">
        <v>76</v>
      </c>
      <c r="B87" s="89">
        <v>11.63</v>
      </c>
      <c r="C87" s="89">
        <v>11.63</v>
      </c>
    </row>
    <row r="88" spans="1:3" x14ac:dyDescent="0.25">
      <c r="A88" s="88">
        <v>77</v>
      </c>
      <c r="B88" s="89">
        <v>11.02</v>
      </c>
      <c r="C88" s="89">
        <v>11.02</v>
      </c>
    </row>
    <row r="89" spans="1:3" x14ac:dyDescent="0.25">
      <c r="A89" s="88">
        <v>78</v>
      </c>
      <c r="B89" s="89">
        <v>10.42</v>
      </c>
      <c r="C89" s="89">
        <v>10.42</v>
      </c>
    </row>
    <row r="90" spans="1:3" x14ac:dyDescent="0.25">
      <c r="A90" s="88">
        <v>79</v>
      </c>
      <c r="B90" s="89">
        <v>9.83</v>
      </c>
      <c r="C90" s="89">
        <v>9.83</v>
      </c>
    </row>
    <row r="91" spans="1:3" x14ac:dyDescent="0.25">
      <c r="A91" s="88">
        <v>80</v>
      </c>
      <c r="B91" s="89">
        <v>9.26</v>
      </c>
      <c r="C91" s="89">
        <v>9.26</v>
      </c>
    </row>
    <row r="92" spans="1:3" x14ac:dyDescent="0.25">
      <c r="A92" s="88">
        <v>81</v>
      </c>
      <c r="B92" s="89">
        <v>8.69</v>
      </c>
      <c r="C92" s="89">
        <v>8.69</v>
      </c>
    </row>
    <row r="93" spans="1:3" x14ac:dyDescent="0.25">
      <c r="A93" s="88">
        <v>82</v>
      </c>
      <c r="B93" s="89">
        <v>8.14</v>
      </c>
      <c r="C93" s="89">
        <v>8.14</v>
      </c>
    </row>
    <row r="94" spans="1:3" x14ac:dyDescent="0.25">
      <c r="A94" s="88">
        <v>83</v>
      </c>
      <c r="B94" s="89">
        <v>7.6</v>
      </c>
      <c r="C94" s="89">
        <v>7.6</v>
      </c>
    </row>
    <row r="95" spans="1:3" x14ac:dyDescent="0.25">
      <c r="A95" s="88">
        <v>84</v>
      </c>
      <c r="B95" s="89">
        <v>7.08</v>
      </c>
      <c r="C95" s="89">
        <v>7.08</v>
      </c>
    </row>
    <row r="96" spans="1:3" x14ac:dyDescent="0.25">
      <c r="A96" s="88">
        <v>85</v>
      </c>
      <c r="B96" s="89">
        <v>6.58</v>
      </c>
      <c r="C96" s="89">
        <v>6.58</v>
      </c>
    </row>
  </sheetData>
  <sheetProtection algorithmName="SHA-512" hashValue="ICqLPaY5Newr6ciiZFY9Ei4Vhq/uKFBm++SuJ8I4AW1fe8Sop1EKa+wyn6f6c45cTW5dW74deaEBCREhebucZw==" saltValue="DA44ufiimWoRhPGR3Z/r4w==" spinCount="100000" sheet="1" objects="1" scenarios="1"/>
  <conditionalFormatting sqref="A6:A16">
    <cfRule type="expression" dxfId="1011" priority="21" stopIfTrue="1">
      <formula>MOD(ROW(),2)=0</formula>
    </cfRule>
    <cfRule type="expression" dxfId="1010" priority="22" stopIfTrue="1">
      <formula>MOD(ROW(),2)&lt;&gt;0</formula>
    </cfRule>
  </conditionalFormatting>
  <conditionalFormatting sqref="B6:C21">
    <cfRule type="expression" dxfId="1009" priority="23" stopIfTrue="1">
      <formula>MOD(ROW(),2)=0</formula>
    </cfRule>
    <cfRule type="expression" dxfId="1008" priority="24" stopIfTrue="1">
      <formula>MOD(ROW(),2)&lt;&gt;0</formula>
    </cfRule>
  </conditionalFormatting>
  <conditionalFormatting sqref="A17:A20">
    <cfRule type="expression" dxfId="1007" priority="13" stopIfTrue="1">
      <formula>MOD(ROW(),2)=0</formula>
    </cfRule>
    <cfRule type="expression" dxfId="1006" priority="14" stopIfTrue="1">
      <formula>MOD(ROW(),2)&lt;&gt;0</formula>
    </cfRule>
  </conditionalFormatting>
  <conditionalFormatting sqref="B17:B18 B20:B21">
    <cfRule type="expression" dxfId="1005" priority="15" stopIfTrue="1">
      <formula>MOD(ROW(),2)=0</formula>
    </cfRule>
    <cfRule type="expression" dxfId="1004" priority="16" stopIfTrue="1">
      <formula>MOD(ROW(),2)&lt;&gt;0</formula>
    </cfRule>
  </conditionalFormatting>
  <conditionalFormatting sqref="A26:A96">
    <cfRule type="expression" dxfId="1003" priority="7" stopIfTrue="1">
      <formula>MOD(ROW(),2)=0</formula>
    </cfRule>
    <cfRule type="expression" dxfId="1002" priority="8" stopIfTrue="1">
      <formula>MOD(ROW(),2)&lt;&gt;0</formula>
    </cfRule>
  </conditionalFormatting>
  <conditionalFormatting sqref="B26:C96">
    <cfRule type="expression" dxfId="1001" priority="9" stopIfTrue="1">
      <formula>MOD(ROW(),2)=0</formula>
    </cfRule>
    <cfRule type="expression" dxfId="1000" priority="10" stopIfTrue="1">
      <formula>MOD(ROW(),2)&lt;&gt;0</formula>
    </cfRule>
  </conditionalFormatting>
  <conditionalFormatting sqref="B19">
    <cfRule type="expression" dxfId="999" priority="5" stopIfTrue="1">
      <formula>MOD(ROW(),2)=0</formula>
    </cfRule>
    <cfRule type="expression" dxfId="998" priority="6" stopIfTrue="1">
      <formula>MOD(ROW(),2)&lt;&gt;0</formula>
    </cfRule>
  </conditionalFormatting>
  <conditionalFormatting sqref="A21">
    <cfRule type="expression" dxfId="997" priority="1" stopIfTrue="1">
      <formula>MOD(ROW(),2)=0</formula>
    </cfRule>
    <cfRule type="expression" dxfId="996" priority="2" stopIfTrue="1">
      <formula>MOD(ROW(),2)&lt;&gt;0</formula>
    </cfRule>
  </conditionalFormatting>
  <hyperlinks>
    <hyperlink ref="B24" location="Assumptions!A1" display="Assumptions" xr:uid="{831DBFCB-7168-421A-BFDC-AC0E95DE4C51}"/>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tabColor rgb="FFFFC000"/>
  </sheetPr>
  <dimension ref="A1:L52"/>
  <sheetViews>
    <sheetView showGridLines="0" topLeftCell="A19" zoomScale="85" zoomScaleNormal="85" workbookViewId="0">
      <selection activeCell="F38" sqref="F38"/>
    </sheetView>
  </sheetViews>
  <sheetFormatPr defaultRowHeight="12.5" x14ac:dyDescent="0.25"/>
  <cols>
    <col min="1" max="1" width="66.81640625" customWidth="1"/>
    <col min="2" max="2" width="3.1796875" customWidth="1"/>
    <col min="3" max="3" width="62.54296875" customWidth="1"/>
    <col min="257" max="257" width="66.81640625" customWidth="1"/>
    <col min="258" max="258" width="3.1796875" customWidth="1"/>
    <col min="259" max="259" width="62.54296875" customWidth="1"/>
    <col min="513" max="513" width="66.81640625" customWidth="1"/>
    <col min="514" max="514" width="3.1796875" customWidth="1"/>
    <col min="515" max="515" width="62.54296875" customWidth="1"/>
    <col min="769" max="769" width="66.81640625" customWidth="1"/>
    <col min="770" max="770" width="3.1796875" customWidth="1"/>
    <col min="771" max="771" width="62.54296875" customWidth="1"/>
    <col min="1025" max="1025" width="66.81640625" customWidth="1"/>
    <col min="1026" max="1026" width="3.1796875" customWidth="1"/>
    <col min="1027" max="1027" width="62.54296875" customWidth="1"/>
    <col min="1281" max="1281" width="66.81640625" customWidth="1"/>
    <col min="1282" max="1282" width="3.1796875" customWidth="1"/>
    <col min="1283" max="1283" width="62.54296875" customWidth="1"/>
    <col min="1537" max="1537" width="66.81640625" customWidth="1"/>
    <col min="1538" max="1538" width="3.1796875" customWidth="1"/>
    <col min="1539" max="1539" width="62.54296875" customWidth="1"/>
    <col min="1793" max="1793" width="66.81640625" customWidth="1"/>
    <col min="1794" max="1794" width="3.1796875" customWidth="1"/>
    <col min="1795" max="1795" width="62.54296875" customWidth="1"/>
    <col min="2049" max="2049" width="66.81640625" customWidth="1"/>
    <col min="2050" max="2050" width="3.1796875" customWidth="1"/>
    <col min="2051" max="2051" width="62.54296875" customWidth="1"/>
    <col min="2305" max="2305" width="66.81640625" customWidth="1"/>
    <col min="2306" max="2306" width="3.1796875" customWidth="1"/>
    <col min="2307" max="2307" width="62.54296875" customWidth="1"/>
    <col min="2561" max="2561" width="66.81640625" customWidth="1"/>
    <col min="2562" max="2562" width="3.1796875" customWidth="1"/>
    <col min="2563" max="2563" width="62.54296875" customWidth="1"/>
    <col min="2817" max="2817" width="66.81640625" customWidth="1"/>
    <col min="2818" max="2818" width="3.1796875" customWidth="1"/>
    <col min="2819" max="2819" width="62.54296875" customWidth="1"/>
    <col min="3073" max="3073" width="66.81640625" customWidth="1"/>
    <col min="3074" max="3074" width="3.1796875" customWidth="1"/>
    <col min="3075" max="3075" width="62.54296875" customWidth="1"/>
    <col min="3329" max="3329" width="66.81640625" customWidth="1"/>
    <col min="3330" max="3330" width="3.1796875" customWidth="1"/>
    <col min="3331" max="3331" width="62.54296875" customWidth="1"/>
    <col min="3585" max="3585" width="66.81640625" customWidth="1"/>
    <col min="3586" max="3586" width="3.1796875" customWidth="1"/>
    <col min="3587" max="3587" width="62.54296875" customWidth="1"/>
    <col min="3841" max="3841" width="66.81640625" customWidth="1"/>
    <col min="3842" max="3842" width="3.1796875" customWidth="1"/>
    <col min="3843" max="3843" width="62.54296875" customWidth="1"/>
    <col min="4097" max="4097" width="66.81640625" customWidth="1"/>
    <col min="4098" max="4098" width="3.1796875" customWidth="1"/>
    <col min="4099" max="4099" width="62.54296875" customWidth="1"/>
    <col min="4353" max="4353" width="66.81640625" customWidth="1"/>
    <col min="4354" max="4354" width="3.1796875" customWidth="1"/>
    <col min="4355" max="4355" width="62.54296875" customWidth="1"/>
    <col min="4609" max="4609" width="66.81640625" customWidth="1"/>
    <col min="4610" max="4610" width="3.1796875" customWidth="1"/>
    <col min="4611" max="4611" width="62.54296875" customWidth="1"/>
    <col min="4865" max="4865" width="66.81640625" customWidth="1"/>
    <col min="4866" max="4866" width="3.1796875" customWidth="1"/>
    <col min="4867" max="4867" width="62.54296875" customWidth="1"/>
    <col min="5121" max="5121" width="66.81640625" customWidth="1"/>
    <col min="5122" max="5122" width="3.1796875" customWidth="1"/>
    <col min="5123" max="5123" width="62.54296875" customWidth="1"/>
    <col min="5377" max="5377" width="66.81640625" customWidth="1"/>
    <col min="5378" max="5378" width="3.1796875" customWidth="1"/>
    <col min="5379" max="5379" width="62.54296875" customWidth="1"/>
    <col min="5633" max="5633" width="66.81640625" customWidth="1"/>
    <col min="5634" max="5634" width="3.1796875" customWidth="1"/>
    <col min="5635" max="5635" width="62.54296875" customWidth="1"/>
    <col min="5889" max="5889" width="66.81640625" customWidth="1"/>
    <col min="5890" max="5890" width="3.1796875" customWidth="1"/>
    <col min="5891" max="5891" width="62.54296875" customWidth="1"/>
    <col min="6145" max="6145" width="66.81640625" customWidth="1"/>
    <col min="6146" max="6146" width="3.1796875" customWidth="1"/>
    <col min="6147" max="6147" width="62.54296875" customWidth="1"/>
    <col min="6401" max="6401" width="66.81640625" customWidth="1"/>
    <col min="6402" max="6402" width="3.1796875" customWidth="1"/>
    <col min="6403" max="6403" width="62.54296875" customWidth="1"/>
    <col min="6657" max="6657" width="66.81640625" customWidth="1"/>
    <col min="6658" max="6658" width="3.1796875" customWidth="1"/>
    <col min="6659" max="6659" width="62.54296875" customWidth="1"/>
    <col min="6913" max="6913" width="66.81640625" customWidth="1"/>
    <col min="6914" max="6914" width="3.1796875" customWidth="1"/>
    <col min="6915" max="6915" width="62.54296875" customWidth="1"/>
    <col min="7169" max="7169" width="66.81640625" customWidth="1"/>
    <col min="7170" max="7170" width="3.1796875" customWidth="1"/>
    <col min="7171" max="7171" width="62.54296875" customWidth="1"/>
    <col min="7425" max="7425" width="66.81640625" customWidth="1"/>
    <col min="7426" max="7426" width="3.1796875" customWidth="1"/>
    <col min="7427" max="7427" width="62.54296875" customWidth="1"/>
    <col min="7681" max="7681" width="66.81640625" customWidth="1"/>
    <col min="7682" max="7682" width="3.1796875" customWidth="1"/>
    <col min="7683" max="7683" width="62.54296875" customWidth="1"/>
    <col min="7937" max="7937" width="66.81640625" customWidth="1"/>
    <col min="7938" max="7938" width="3.1796875" customWidth="1"/>
    <col min="7939" max="7939" width="62.54296875" customWidth="1"/>
    <col min="8193" max="8193" width="66.81640625" customWidth="1"/>
    <col min="8194" max="8194" width="3.1796875" customWidth="1"/>
    <col min="8195" max="8195" width="62.54296875" customWidth="1"/>
    <col min="8449" max="8449" width="66.81640625" customWidth="1"/>
    <col min="8450" max="8450" width="3.1796875" customWidth="1"/>
    <col min="8451" max="8451" width="62.54296875" customWidth="1"/>
    <col min="8705" max="8705" width="66.81640625" customWidth="1"/>
    <col min="8706" max="8706" width="3.1796875" customWidth="1"/>
    <col min="8707" max="8707" width="62.54296875" customWidth="1"/>
    <col min="8961" max="8961" width="66.81640625" customWidth="1"/>
    <col min="8962" max="8962" width="3.1796875" customWidth="1"/>
    <col min="8963" max="8963" width="62.54296875" customWidth="1"/>
    <col min="9217" max="9217" width="66.81640625" customWidth="1"/>
    <col min="9218" max="9218" width="3.1796875" customWidth="1"/>
    <col min="9219" max="9219" width="62.54296875" customWidth="1"/>
    <col min="9473" max="9473" width="66.81640625" customWidth="1"/>
    <col min="9474" max="9474" width="3.1796875" customWidth="1"/>
    <col min="9475" max="9475" width="62.54296875" customWidth="1"/>
    <col min="9729" max="9729" width="66.81640625" customWidth="1"/>
    <col min="9730" max="9730" width="3.1796875" customWidth="1"/>
    <col min="9731" max="9731" width="62.54296875" customWidth="1"/>
    <col min="9985" max="9985" width="66.81640625" customWidth="1"/>
    <col min="9986" max="9986" width="3.1796875" customWidth="1"/>
    <col min="9987" max="9987" width="62.54296875" customWidth="1"/>
    <col min="10241" max="10241" width="66.81640625" customWidth="1"/>
    <col min="10242" max="10242" width="3.1796875" customWidth="1"/>
    <col min="10243" max="10243" width="62.54296875" customWidth="1"/>
    <col min="10497" max="10497" width="66.81640625" customWidth="1"/>
    <col min="10498" max="10498" width="3.1796875" customWidth="1"/>
    <col min="10499" max="10499" width="62.54296875" customWidth="1"/>
    <col min="10753" max="10753" width="66.81640625" customWidth="1"/>
    <col min="10754" max="10754" width="3.1796875" customWidth="1"/>
    <col min="10755" max="10755" width="62.54296875" customWidth="1"/>
    <col min="11009" max="11009" width="66.81640625" customWidth="1"/>
    <col min="11010" max="11010" width="3.1796875" customWidth="1"/>
    <col min="11011" max="11011" width="62.54296875" customWidth="1"/>
    <col min="11265" max="11265" width="66.81640625" customWidth="1"/>
    <col min="11266" max="11266" width="3.1796875" customWidth="1"/>
    <col min="11267" max="11267" width="62.54296875" customWidth="1"/>
    <col min="11521" max="11521" width="66.81640625" customWidth="1"/>
    <col min="11522" max="11522" width="3.1796875" customWidth="1"/>
    <col min="11523" max="11523" width="62.54296875" customWidth="1"/>
    <col min="11777" max="11777" width="66.81640625" customWidth="1"/>
    <col min="11778" max="11778" width="3.1796875" customWidth="1"/>
    <col min="11779" max="11779" width="62.54296875" customWidth="1"/>
    <col min="12033" max="12033" width="66.81640625" customWidth="1"/>
    <col min="12034" max="12034" width="3.1796875" customWidth="1"/>
    <col min="12035" max="12035" width="62.54296875" customWidth="1"/>
    <col min="12289" max="12289" width="66.81640625" customWidth="1"/>
    <col min="12290" max="12290" width="3.1796875" customWidth="1"/>
    <col min="12291" max="12291" width="62.54296875" customWidth="1"/>
    <col min="12545" max="12545" width="66.81640625" customWidth="1"/>
    <col min="12546" max="12546" width="3.1796875" customWidth="1"/>
    <col min="12547" max="12547" width="62.54296875" customWidth="1"/>
    <col min="12801" max="12801" width="66.81640625" customWidth="1"/>
    <col min="12802" max="12802" width="3.1796875" customWidth="1"/>
    <col min="12803" max="12803" width="62.54296875" customWidth="1"/>
    <col min="13057" max="13057" width="66.81640625" customWidth="1"/>
    <col min="13058" max="13058" width="3.1796875" customWidth="1"/>
    <col min="13059" max="13059" width="62.54296875" customWidth="1"/>
    <col min="13313" max="13313" width="66.81640625" customWidth="1"/>
    <col min="13314" max="13314" width="3.1796875" customWidth="1"/>
    <col min="13315" max="13315" width="62.54296875" customWidth="1"/>
    <col min="13569" max="13569" width="66.81640625" customWidth="1"/>
    <col min="13570" max="13570" width="3.1796875" customWidth="1"/>
    <col min="13571" max="13571" width="62.54296875" customWidth="1"/>
    <col min="13825" max="13825" width="66.81640625" customWidth="1"/>
    <col min="13826" max="13826" width="3.1796875" customWidth="1"/>
    <col min="13827" max="13827" width="62.54296875" customWidth="1"/>
    <col min="14081" max="14081" width="66.81640625" customWidth="1"/>
    <col min="14082" max="14082" width="3.1796875" customWidth="1"/>
    <col min="14083" max="14083" width="62.54296875" customWidth="1"/>
    <col min="14337" max="14337" width="66.81640625" customWidth="1"/>
    <col min="14338" max="14338" width="3.1796875" customWidth="1"/>
    <col min="14339" max="14339" width="62.54296875" customWidth="1"/>
    <col min="14593" max="14593" width="66.81640625" customWidth="1"/>
    <col min="14594" max="14594" width="3.1796875" customWidth="1"/>
    <col min="14595" max="14595" width="62.54296875" customWidth="1"/>
    <col min="14849" max="14849" width="66.81640625" customWidth="1"/>
    <col min="14850" max="14850" width="3.1796875" customWidth="1"/>
    <col min="14851" max="14851" width="62.54296875" customWidth="1"/>
    <col min="15105" max="15105" width="66.81640625" customWidth="1"/>
    <col min="15106" max="15106" width="3.1796875" customWidth="1"/>
    <col min="15107" max="15107" width="62.54296875" customWidth="1"/>
    <col min="15361" max="15361" width="66.81640625" customWidth="1"/>
    <col min="15362" max="15362" width="3.1796875" customWidth="1"/>
    <col min="15363" max="15363" width="62.54296875" customWidth="1"/>
    <col min="15617" max="15617" width="66.81640625" customWidth="1"/>
    <col min="15618" max="15618" width="3.1796875" customWidth="1"/>
    <col min="15619" max="15619" width="62.54296875" customWidth="1"/>
    <col min="15873" max="15873" width="66.81640625" customWidth="1"/>
    <col min="15874" max="15874" width="3.1796875" customWidth="1"/>
    <col min="15875" max="15875" width="62.54296875" customWidth="1"/>
    <col min="16129" max="16129" width="66.81640625" customWidth="1"/>
    <col min="16130" max="16130" width="3.1796875" customWidth="1"/>
    <col min="16131" max="16131" width="62.54296875" customWidth="1"/>
  </cols>
  <sheetData>
    <row r="1" spans="1:12" ht="20" x14ac:dyDescent="0.4">
      <c r="A1" s="4" t="s">
        <v>227</v>
      </c>
      <c r="B1" s="4"/>
      <c r="C1" s="4"/>
      <c r="D1" s="4"/>
      <c r="E1" s="4"/>
      <c r="F1" s="4"/>
      <c r="G1" s="4"/>
      <c r="H1" s="4"/>
      <c r="I1" s="4"/>
      <c r="J1" s="4"/>
      <c r="K1" s="4"/>
      <c r="L1" s="4"/>
    </row>
    <row r="2" spans="1:12" ht="15.5" x14ac:dyDescent="0.35">
      <c r="A2" s="5" t="str">
        <f>IF(title="&gt; Enter workbook title here","Enter workbook title in Cover sheet",title)</f>
        <v>Fire Northern Ireland - Consolidated Factor Spreadsheet</v>
      </c>
      <c r="B2" s="5"/>
      <c r="C2" s="5"/>
      <c r="D2" s="5"/>
      <c r="E2" s="5"/>
      <c r="F2" s="5"/>
      <c r="G2" s="5"/>
      <c r="H2" s="5"/>
      <c r="I2" s="5"/>
      <c r="J2" s="5"/>
      <c r="K2" s="5"/>
      <c r="L2" s="5"/>
    </row>
    <row r="3" spans="1:12" ht="15.5" x14ac:dyDescent="0.35">
      <c r="A3" s="6" t="s">
        <v>261</v>
      </c>
      <c r="B3" s="6"/>
      <c r="C3" s="6"/>
      <c r="D3" s="6"/>
      <c r="E3" s="6"/>
      <c r="F3" s="6"/>
      <c r="G3" s="6"/>
      <c r="H3" s="6"/>
      <c r="I3" s="6"/>
      <c r="J3" s="6"/>
      <c r="K3" s="6"/>
      <c r="L3" s="6"/>
    </row>
    <row r="4" spans="1:12" x14ac:dyDescent="0.25">
      <c r="A4" s="7"/>
      <c r="B4" s="7"/>
    </row>
    <row r="5" spans="1:12" x14ac:dyDescent="0.25">
      <c r="E5" s="8"/>
      <c r="F5" s="8"/>
      <c r="G5" s="8"/>
    </row>
    <row r="6" spans="1:12" ht="13" x14ac:dyDescent="0.3">
      <c r="A6" s="1" t="s">
        <v>262</v>
      </c>
      <c r="B6" s="1"/>
    </row>
    <row r="8" spans="1:12" x14ac:dyDescent="0.25">
      <c r="A8" s="26" t="s">
        <v>263</v>
      </c>
      <c r="B8" s="26"/>
    </row>
    <row r="9" spans="1:12" x14ac:dyDescent="0.25">
      <c r="A9" s="26" t="s">
        <v>264</v>
      </c>
      <c r="B9" s="26"/>
    </row>
    <row r="11" spans="1:12" ht="13" x14ac:dyDescent="0.3">
      <c r="A11" s="107" t="s">
        <v>265</v>
      </c>
      <c r="B11" s="107"/>
      <c r="C11" s="109"/>
    </row>
    <row r="12" spans="1:12" ht="13" x14ac:dyDescent="0.25">
      <c r="A12" s="108" t="s">
        <v>266</v>
      </c>
      <c r="B12" s="110"/>
      <c r="C12" s="111"/>
    </row>
    <row r="13" spans="1:12" ht="13" x14ac:dyDescent="0.25">
      <c r="A13" s="108" t="s">
        <v>267</v>
      </c>
      <c r="B13" s="110"/>
      <c r="C13" s="111"/>
    </row>
    <row r="14" spans="1:12" ht="13" x14ac:dyDescent="0.25">
      <c r="A14" s="108" t="s">
        <v>268</v>
      </c>
      <c r="B14" s="110"/>
      <c r="C14" s="111"/>
    </row>
    <row r="15" spans="1:12" ht="13" x14ac:dyDescent="0.25">
      <c r="A15" s="108" t="s">
        <v>269</v>
      </c>
      <c r="B15" s="110"/>
      <c r="C15" s="111"/>
    </row>
    <row r="16" spans="1:12" ht="16.5" customHeight="1" x14ac:dyDescent="0.25">
      <c r="A16" s="108" t="s">
        <v>270</v>
      </c>
      <c r="B16" s="110"/>
      <c r="C16" s="111"/>
    </row>
    <row r="17" spans="1:3" x14ac:dyDescent="0.25">
      <c r="A17" s="108" t="s">
        <v>271</v>
      </c>
      <c r="B17" s="109"/>
      <c r="C17" s="112"/>
    </row>
    <row r="19" spans="1:3" ht="13" x14ac:dyDescent="0.3">
      <c r="A19" s="107" t="s">
        <v>272</v>
      </c>
      <c r="B19" s="112"/>
      <c r="C19" s="109"/>
    </row>
    <row r="20" spans="1:3" x14ac:dyDescent="0.25">
      <c r="A20" s="109" t="s">
        <v>266</v>
      </c>
      <c r="B20" s="109"/>
      <c r="C20" s="110"/>
    </row>
    <row r="21" spans="1:3" x14ac:dyDescent="0.25">
      <c r="A21" s="109" t="s">
        <v>273</v>
      </c>
      <c r="B21" s="109"/>
      <c r="C21" s="113" t="s">
        <v>274</v>
      </c>
    </row>
    <row r="22" spans="1:3" x14ac:dyDescent="0.25">
      <c r="A22" s="109" t="s">
        <v>270</v>
      </c>
      <c r="B22" s="109"/>
      <c r="C22" s="109"/>
    </row>
    <row r="23" spans="1:3" x14ac:dyDescent="0.25">
      <c r="A23" s="109" t="s">
        <v>275</v>
      </c>
      <c r="B23" s="109"/>
      <c r="C23" s="112">
        <v>45070</v>
      </c>
    </row>
    <row r="25" spans="1:3" ht="13" x14ac:dyDescent="0.3">
      <c r="A25" s="107" t="s">
        <v>276</v>
      </c>
      <c r="B25" s="109"/>
      <c r="C25" s="109"/>
    </row>
    <row r="26" spans="1:3" x14ac:dyDescent="0.25">
      <c r="A26" s="109" t="s">
        <v>266</v>
      </c>
      <c r="B26" s="109"/>
      <c r="C26" s="110"/>
    </row>
    <row r="27" spans="1:3" x14ac:dyDescent="0.25">
      <c r="A27" s="109" t="s">
        <v>273</v>
      </c>
      <c r="B27" s="109"/>
      <c r="C27" s="110" t="s">
        <v>277</v>
      </c>
    </row>
    <row r="28" spans="1:3" x14ac:dyDescent="0.25">
      <c r="A28" s="109" t="s">
        <v>278</v>
      </c>
      <c r="B28" s="109"/>
      <c r="C28" s="110" t="s">
        <v>279</v>
      </c>
    </row>
    <row r="29" spans="1:3" x14ac:dyDescent="0.25">
      <c r="A29" s="109" t="s">
        <v>270</v>
      </c>
      <c r="B29" s="109"/>
      <c r="C29" s="109"/>
    </row>
    <row r="30" spans="1:3" x14ac:dyDescent="0.25">
      <c r="A30" s="109" t="s">
        <v>275</v>
      </c>
      <c r="B30" s="109"/>
      <c r="C30" s="112">
        <v>45106</v>
      </c>
    </row>
    <row r="32" spans="1:3" ht="13" x14ac:dyDescent="0.3">
      <c r="A32" s="107" t="s">
        <v>280</v>
      </c>
      <c r="B32" s="109"/>
      <c r="C32" s="109"/>
    </row>
    <row r="33" spans="1:3" x14ac:dyDescent="0.25">
      <c r="A33" s="109" t="s">
        <v>266</v>
      </c>
      <c r="B33" s="109"/>
      <c r="C33" s="110"/>
    </row>
    <row r="34" spans="1:3" ht="37.5" x14ac:dyDescent="0.25">
      <c r="A34" s="109" t="s">
        <v>273</v>
      </c>
      <c r="B34" s="109"/>
      <c r="C34" s="110" t="s">
        <v>281</v>
      </c>
    </row>
    <row r="35" spans="1:3" x14ac:dyDescent="0.25">
      <c r="A35" s="109" t="s">
        <v>278</v>
      </c>
      <c r="B35" s="109"/>
      <c r="C35" s="110"/>
    </row>
    <row r="36" spans="1:3" x14ac:dyDescent="0.25">
      <c r="A36" s="109" t="s">
        <v>270</v>
      </c>
      <c r="B36" s="109"/>
      <c r="C36" s="109"/>
    </row>
    <row r="37" spans="1:3" x14ac:dyDescent="0.25">
      <c r="A37" s="109" t="s">
        <v>275</v>
      </c>
      <c r="B37" s="109"/>
      <c r="C37" s="112">
        <v>45135</v>
      </c>
    </row>
    <row r="39" spans="1:3" ht="13" x14ac:dyDescent="0.3">
      <c r="A39" s="120" t="s">
        <v>282</v>
      </c>
      <c r="B39" s="121"/>
      <c r="C39" s="121"/>
    </row>
    <row r="40" spans="1:3" x14ac:dyDescent="0.25">
      <c r="A40" s="121" t="s">
        <v>266</v>
      </c>
      <c r="B40" s="121"/>
      <c r="C40" s="122"/>
    </row>
    <row r="41" spans="1:3" x14ac:dyDescent="0.25">
      <c r="A41" s="123" t="s">
        <v>273</v>
      </c>
      <c r="B41" s="121"/>
      <c r="C41" s="122" t="s">
        <v>283</v>
      </c>
    </row>
    <row r="42" spans="1:3" ht="27.65" customHeight="1" x14ac:dyDescent="0.25">
      <c r="A42" s="121" t="s">
        <v>278</v>
      </c>
      <c r="B42" s="121"/>
      <c r="C42" s="122" t="s">
        <v>284</v>
      </c>
    </row>
    <row r="43" spans="1:3" x14ac:dyDescent="0.25">
      <c r="A43" s="121" t="s">
        <v>270</v>
      </c>
      <c r="B43" s="121"/>
      <c r="C43" s="121"/>
    </row>
    <row r="44" spans="1:3" x14ac:dyDescent="0.25">
      <c r="A44" s="121" t="s">
        <v>275</v>
      </c>
      <c r="B44" s="121"/>
      <c r="C44" s="124">
        <v>45196</v>
      </c>
    </row>
    <row r="46" spans="1:3" ht="13" x14ac:dyDescent="0.3">
      <c r="A46" s="125" t="s">
        <v>285</v>
      </c>
      <c r="B46" s="174"/>
      <c r="C46" s="174"/>
    </row>
    <row r="47" spans="1:3" x14ac:dyDescent="0.25">
      <c r="A47" s="126" t="s">
        <v>266</v>
      </c>
      <c r="B47" s="175" t="s">
        <v>286</v>
      </c>
      <c r="C47" s="175"/>
    </row>
    <row r="48" spans="1:3" x14ac:dyDescent="0.25">
      <c r="A48" s="127" t="s">
        <v>273</v>
      </c>
      <c r="B48" s="174"/>
      <c r="C48" s="174"/>
    </row>
    <row r="49" spans="1:3" x14ac:dyDescent="0.25">
      <c r="A49" s="126" t="s">
        <v>278</v>
      </c>
      <c r="B49" s="175" t="s">
        <v>287</v>
      </c>
      <c r="C49" s="175"/>
    </row>
    <row r="50" spans="1:3" x14ac:dyDescent="0.25">
      <c r="A50" s="127" t="s">
        <v>270</v>
      </c>
      <c r="B50" s="174"/>
      <c r="C50" s="174"/>
    </row>
    <row r="51" spans="1:3" ht="25" x14ac:dyDescent="0.25">
      <c r="A51" s="126" t="s">
        <v>288</v>
      </c>
      <c r="B51" s="128"/>
      <c r="C51" s="129" t="s">
        <v>289</v>
      </c>
    </row>
    <row r="52" spans="1:3" x14ac:dyDescent="0.25">
      <c r="A52" s="127" t="s">
        <v>275</v>
      </c>
      <c r="B52" s="130"/>
      <c r="C52" s="131">
        <v>45688</v>
      </c>
    </row>
  </sheetData>
  <sheetProtection algorithmName="SHA-512" hashValue="XDNmerlkMIZNYF6pBcHAMsO/NZ3SQu/PxMH9XftBBS+IoOuBdjgrgViJTFJk+U3kdH+ITC/YXOAMCudtDUYrLQ==" saltValue="GPMU5OCaFyQKXnF/AGcHow==" spinCount="100000" sheet="1" objects="1" scenarios="1"/>
  <mergeCells count="5">
    <mergeCell ref="B46:C46"/>
    <mergeCell ref="B47:C47"/>
    <mergeCell ref="B48:C48"/>
    <mergeCell ref="B49:C49"/>
    <mergeCell ref="B50:C50"/>
  </mergeCells>
  <conditionalFormatting sqref="C13 B19:C23 B25:C30">
    <cfRule type="expression" dxfId="1646" priority="17" stopIfTrue="1">
      <formula>MOD(ROW(),2)=0</formula>
    </cfRule>
    <cfRule type="expression" dxfId="1645" priority="18" stopIfTrue="1">
      <formula>MOD(ROW(),2)&lt;&gt;0</formula>
    </cfRule>
  </conditionalFormatting>
  <conditionalFormatting sqref="C15">
    <cfRule type="expression" dxfId="1644" priority="15" stopIfTrue="1">
      <formula>MOD(ROW(),2)=0</formula>
    </cfRule>
    <cfRule type="expression" dxfId="1643" priority="16" stopIfTrue="1">
      <formula>MOD(ROW(),2)&lt;&gt;0</formula>
    </cfRule>
  </conditionalFormatting>
  <conditionalFormatting sqref="A11:A17 A19:A23 A25:A30">
    <cfRule type="expression" dxfId="1642" priority="19" stopIfTrue="1">
      <formula>MOD(ROW(),2)=0</formula>
    </cfRule>
    <cfRule type="expression" dxfId="1641" priority="20" stopIfTrue="1">
      <formula>MOD(ROW(),2)&lt;&gt;0</formula>
    </cfRule>
  </conditionalFormatting>
  <conditionalFormatting sqref="B11:C17">
    <cfRule type="expression" priority="21" stopIfTrue="1">
      <formula>MOD(ROW(),2)=0</formula>
    </cfRule>
    <cfRule type="expression" priority="22" stopIfTrue="1">
      <formula>MOD(ROW(),2)&lt;&gt;0</formula>
    </cfRule>
    <cfRule type="expression" priority="25" stopIfTrue="1">
      <formula>MOD(ROW(),2)=0</formula>
    </cfRule>
    <cfRule type="expression" priority="26" stopIfTrue="1">
      <formula>MOD(ROW(),2)&lt;&gt;0</formula>
    </cfRule>
    <cfRule type="expression" priority="33" stopIfTrue="1">
      <formula>MOD(ROW(),2)=0</formula>
    </cfRule>
    <cfRule type="expression" priority="34" stopIfTrue="1">
      <formula>MOD(ROW(),2)&lt;&gt;0</formula>
    </cfRule>
  </conditionalFormatting>
  <conditionalFormatting sqref="A11:A17">
    <cfRule type="expression" priority="23" stopIfTrue="1">
      <formula>MOD(ROW(),2)=0</formula>
    </cfRule>
    <cfRule type="expression" priority="24" stopIfTrue="1">
      <formula>MOD(ROW(),2)&lt;&gt;0</formula>
    </cfRule>
    <cfRule type="expression" priority="31" stopIfTrue="1">
      <formula>MOD(ROW(),2)=0</formula>
    </cfRule>
    <cfRule type="expression" priority="32" stopIfTrue="1">
      <formula>MOD(ROW(),2)&lt;&gt;0</formula>
    </cfRule>
  </conditionalFormatting>
  <conditionalFormatting sqref="A19:A23">
    <cfRule type="expression" priority="27" stopIfTrue="1">
      <formula>MOD(ROW(),2)=0</formula>
    </cfRule>
    <cfRule type="expression" priority="28" stopIfTrue="1">
      <formula>MOD(ROW(),2)&lt;&gt;0</formula>
    </cfRule>
    <cfRule type="expression" priority="35" stopIfTrue="1">
      <formula>MOD(ROW(),2)=0</formula>
    </cfRule>
    <cfRule type="expression" priority="36" stopIfTrue="1">
      <formula>MOD(ROW(),2)&lt;&gt;0</formula>
    </cfRule>
  </conditionalFormatting>
  <conditionalFormatting sqref="B19:C23">
    <cfRule type="expression" priority="29" stopIfTrue="1">
      <formula>MOD(ROW(),2)=0</formula>
    </cfRule>
    <cfRule type="expression" priority="30" stopIfTrue="1">
      <formula>MOD(ROW(),2)&lt;&gt;0</formula>
    </cfRule>
    <cfRule type="expression" priority="37" stopIfTrue="1">
      <formula>MOD(ROW(),2)=0</formula>
    </cfRule>
    <cfRule type="expression" priority="38" stopIfTrue="1">
      <formula>MOD(ROW(),2)&lt;&gt;0</formula>
    </cfRule>
  </conditionalFormatting>
  <conditionalFormatting sqref="A25:A30">
    <cfRule type="expression" priority="39" stopIfTrue="1">
      <formula>MOD(ROW(),2)=0</formula>
    </cfRule>
    <cfRule type="expression" priority="40" stopIfTrue="1">
      <formula>MOD(ROW(),2)&lt;&gt;0</formula>
    </cfRule>
  </conditionalFormatting>
  <conditionalFormatting sqref="B25:C30">
    <cfRule type="expression" priority="41" stopIfTrue="1">
      <formula>MOD(ROW(),2)=0</formula>
    </cfRule>
    <cfRule type="expression" priority="42" stopIfTrue="1">
      <formula>MOD(ROW(),2)&lt;&gt;0</formula>
    </cfRule>
  </conditionalFormatting>
  <conditionalFormatting sqref="A39:A44">
    <cfRule type="expression" dxfId="1640" priority="9" stopIfTrue="1">
      <formula>MOD(ROW(),2)=0</formula>
    </cfRule>
    <cfRule type="expression" dxfId="1639" priority="10" stopIfTrue="1">
      <formula>MOD(ROW(),2)&lt;&gt;0</formula>
    </cfRule>
  </conditionalFormatting>
  <conditionalFormatting sqref="B39:C44">
    <cfRule type="expression" dxfId="1638" priority="11" stopIfTrue="1">
      <formula>MOD(ROW(),2)=0</formula>
    </cfRule>
    <cfRule type="expression" dxfId="1637" priority="12" stopIfTrue="1">
      <formula>MOD(ROW(),2)&lt;&gt;0</formula>
    </cfRule>
  </conditionalFormatting>
  <conditionalFormatting sqref="B32:C37">
    <cfRule type="expression" dxfId="1636" priority="1" stopIfTrue="1">
      <formula>MOD(ROW(),2)=0</formula>
    </cfRule>
    <cfRule type="expression" dxfId="1635" priority="2" stopIfTrue="1">
      <formula>MOD(ROW(),2)&lt;&gt;0</formula>
    </cfRule>
  </conditionalFormatting>
  <conditionalFormatting sqref="A32:A37">
    <cfRule type="expression" dxfId="1634" priority="3" stopIfTrue="1">
      <formula>MOD(ROW(),2)=0</formula>
    </cfRule>
    <cfRule type="expression" dxfId="1633" priority="4" stopIfTrue="1">
      <formula>MOD(ROW(),2)&lt;&gt;0</formula>
    </cfRule>
  </conditionalFormatting>
  <conditionalFormatting sqref="A32:A37">
    <cfRule type="expression" priority="5" stopIfTrue="1">
      <formula>MOD(ROW(),2)=0</formula>
    </cfRule>
    <cfRule type="expression" priority="6" stopIfTrue="1">
      <formula>MOD(ROW(),2)&lt;&gt;0</formula>
    </cfRule>
  </conditionalFormatting>
  <conditionalFormatting sqref="B32:C37">
    <cfRule type="expression" priority="7" stopIfTrue="1">
      <formula>MOD(ROW(),2)=0</formula>
    </cfRule>
    <cfRule type="expression" priority="8" stopIfTrue="1">
      <formula>MOD(ROW(),2)&lt;&gt;0</formula>
    </cfRule>
  </conditionalFormatting>
  <pageMargins left="0.7" right="0.7" top="0.75" bottom="0.75" header="0.3" footer="0.3"/>
  <pageSetup paperSize="9" orientation="landscape"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58"/>
  <dimension ref="A1:I96"/>
  <sheetViews>
    <sheetView showGridLines="0" zoomScale="85" zoomScaleNormal="85" workbookViewId="0">
      <selection activeCell="B18" sqref="B18"/>
    </sheetView>
  </sheetViews>
  <sheetFormatPr defaultColWidth="10" defaultRowHeight="12.5" x14ac:dyDescent="0.25"/>
  <cols>
    <col min="1" max="1" width="31.81640625" style="28" customWidth="1"/>
    <col min="2" max="2" width="22.81640625" style="28" customWidth="1"/>
    <col min="3" max="3" width="28.1796875" style="28" customWidth="1"/>
    <col min="4" max="4" width="10" style="28" customWidth="1"/>
    <col min="5" max="16384" width="10" style="28"/>
  </cols>
  <sheetData>
    <row r="1" spans="1:9" ht="20" x14ac:dyDescent="0.4">
      <c r="A1" s="40" t="s">
        <v>227</v>
      </c>
      <c r="B1" s="41"/>
      <c r="C1" s="41"/>
      <c r="D1" s="41"/>
      <c r="E1" s="41"/>
      <c r="F1" s="41"/>
      <c r="G1" s="41"/>
      <c r="H1" s="41"/>
      <c r="I1" s="41"/>
    </row>
    <row r="2" spans="1:9" ht="15.5" x14ac:dyDescent="0.35">
      <c r="A2" s="42" t="str">
        <f>IF(title="&gt; Enter workbook title here","Enter workbook title in Cover sheet",title)</f>
        <v>Fire Northern Ireland - Consolidated Factor Spreadsheet</v>
      </c>
      <c r="B2" s="43"/>
      <c r="C2" s="43"/>
      <c r="D2" s="43"/>
      <c r="E2" s="43"/>
      <c r="F2" s="43"/>
      <c r="G2" s="43"/>
      <c r="H2" s="43"/>
      <c r="I2" s="43"/>
    </row>
    <row r="3" spans="1:9" ht="15.5" x14ac:dyDescent="0.35">
      <c r="A3" s="44" t="str">
        <f>TABLE_FACTOR_TYPE_1&amp;" - x-"&amp;TABLE_SERIES_NUMBER_1</f>
        <v>Pension Credit - x-315</v>
      </c>
      <c r="B3" s="43"/>
      <c r="C3" s="43"/>
      <c r="D3" s="43"/>
      <c r="E3" s="43"/>
      <c r="F3" s="43"/>
      <c r="G3" s="43"/>
      <c r="H3" s="43"/>
      <c r="I3" s="43"/>
    </row>
    <row r="4" spans="1:9" x14ac:dyDescent="0.25">
      <c r="A4" s="45"/>
    </row>
    <row r="6" spans="1:9" ht="13" x14ac:dyDescent="0.3">
      <c r="A6" s="75" t="s">
        <v>562</v>
      </c>
      <c r="B6" s="159" t="s">
        <v>563</v>
      </c>
      <c r="C6" s="159"/>
    </row>
    <row r="7" spans="1:9" x14ac:dyDescent="0.25">
      <c r="A7" s="77" t="s">
        <v>305</v>
      </c>
      <c r="B7" s="159" t="s">
        <v>319</v>
      </c>
      <c r="C7" s="159"/>
    </row>
    <row r="8" spans="1:9" x14ac:dyDescent="0.25">
      <c r="A8" s="77" t="s">
        <v>306</v>
      </c>
      <c r="B8" s="159" t="s">
        <v>332</v>
      </c>
      <c r="C8" s="159"/>
    </row>
    <row r="9" spans="1:9" x14ac:dyDescent="0.25">
      <c r="A9" s="77" t="s">
        <v>307</v>
      </c>
      <c r="B9" s="159" t="s">
        <v>387</v>
      </c>
      <c r="C9" s="159"/>
    </row>
    <row r="10" spans="1:9" x14ac:dyDescent="0.25">
      <c r="A10" s="77" t="s">
        <v>233</v>
      </c>
      <c r="B10" s="159" t="s">
        <v>393</v>
      </c>
      <c r="C10" s="159"/>
    </row>
    <row r="11" spans="1:9" x14ac:dyDescent="0.25">
      <c r="A11" s="77" t="s">
        <v>308</v>
      </c>
      <c r="B11" s="159" t="s">
        <v>389</v>
      </c>
      <c r="C11" s="159"/>
    </row>
    <row r="12" spans="1:9" x14ac:dyDescent="0.25">
      <c r="A12" s="77" t="s">
        <v>309</v>
      </c>
      <c r="B12" s="159" t="s">
        <v>324</v>
      </c>
      <c r="C12" s="159"/>
    </row>
    <row r="13" spans="1:9" x14ac:dyDescent="0.25">
      <c r="A13" s="77" t="s">
        <v>570</v>
      </c>
      <c r="B13" s="159">
        <v>1</v>
      </c>
      <c r="C13" s="159"/>
    </row>
    <row r="14" spans="1:9" x14ac:dyDescent="0.25">
      <c r="A14" s="77" t="s">
        <v>311</v>
      </c>
      <c r="B14" s="159">
        <v>315</v>
      </c>
      <c r="C14" s="159"/>
    </row>
    <row r="15" spans="1:9" x14ac:dyDescent="0.25">
      <c r="A15" s="77" t="s">
        <v>573</v>
      </c>
      <c r="B15" s="159" t="s">
        <v>394</v>
      </c>
      <c r="C15" s="159"/>
    </row>
    <row r="16" spans="1:9" x14ac:dyDescent="0.25">
      <c r="A16" s="77" t="s">
        <v>313</v>
      </c>
      <c r="B16" s="159" t="s">
        <v>395</v>
      </c>
      <c r="C16" s="159"/>
    </row>
    <row r="17" spans="1:3" x14ac:dyDescent="0.25">
      <c r="A17" s="77" t="s">
        <v>642</v>
      </c>
      <c r="B17" s="159"/>
      <c r="C17" s="159"/>
    </row>
    <row r="18" spans="1:3" x14ac:dyDescent="0.25">
      <c r="A18" s="77" t="s">
        <v>315</v>
      </c>
      <c r="B18" s="161">
        <v>45070</v>
      </c>
      <c r="C18" s="159"/>
    </row>
    <row r="19" spans="1:3" x14ac:dyDescent="0.25">
      <c r="A19" s="77" t="s">
        <v>316</v>
      </c>
      <c r="B19" s="161">
        <v>45014</v>
      </c>
      <c r="C19" s="159"/>
    </row>
    <row r="20" spans="1:3" x14ac:dyDescent="0.25">
      <c r="A20" s="77" t="s">
        <v>317</v>
      </c>
      <c r="B20" s="159" t="s">
        <v>327</v>
      </c>
      <c r="C20" s="159"/>
    </row>
    <row r="21" spans="1:3" x14ac:dyDescent="0.25">
      <c r="A21" s="77" t="s">
        <v>318</v>
      </c>
      <c r="B21" s="159" t="s">
        <v>328</v>
      </c>
      <c r="C21" s="159"/>
    </row>
    <row r="23" spans="1:3" x14ac:dyDescent="0.25">
      <c r="B23" s="91" t="str">
        <f>HYPERLINK("#'Factor List'!A1","Back to Factor List")</f>
        <v>Back to Factor List</v>
      </c>
    </row>
    <row r="24" spans="1:3" x14ac:dyDescent="0.25">
      <c r="B24" s="91" t="s">
        <v>240</v>
      </c>
    </row>
    <row r="25" spans="1:3" x14ac:dyDescent="0.25">
      <c r="B25" s="91"/>
    </row>
    <row r="26" spans="1:3" ht="26" x14ac:dyDescent="0.25">
      <c r="A26" s="87" t="s">
        <v>643</v>
      </c>
      <c r="B26" s="87" t="s">
        <v>661</v>
      </c>
      <c r="C26" s="87" t="s">
        <v>662</v>
      </c>
    </row>
    <row r="27" spans="1:3" x14ac:dyDescent="0.25">
      <c r="A27" s="88">
        <v>16</v>
      </c>
      <c r="B27" s="89">
        <v>11.11</v>
      </c>
      <c r="C27" s="89">
        <v>11.11</v>
      </c>
    </row>
    <row r="28" spans="1:3" x14ac:dyDescent="0.25">
      <c r="A28" s="88">
        <v>17</v>
      </c>
      <c r="B28" s="89">
        <v>11.27</v>
      </c>
      <c r="C28" s="89">
        <v>11.27</v>
      </c>
    </row>
    <row r="29" spans="1:3" x14ac:dyDescent="0.25">
      <c r="A29" s="88">
        <v>18</v>
      </c>
      <c r="B29" s="89">
        <v>11.43</v>
      </c>
      <c r="C29" s="89">
        <v>11.43</v>
      </c>
    </row>
    <row r="30" spans="1:3" x14ac:dyDescent="0.25">
      <c r="A30" s="88">
        <v>19</v>
      </c>
      <c r="B30" s="89">
        <v>11.6</v>
      </c>
      <c r="C30" s="89">
        <v>11.6</v>
      </c>
    </row>
    <row r="31" spans="1:3" x14ac:dyDescent="0.25">
      <c r="A31" s="88">
        <v>20</v>
      </c>
      <c r="B31" s="89">
        <v>11.77</v>
      </c>
      <c r="C31" s="89">
        <v>11.77</v>
      </c>
    </row>
    <row r="32" spans="1:3" x14ac:dyDescent="0.25">
      <c r="A32" s="88">
        <v>21</v>
      </c>
      <c r="B32" s="89">
        <v>11.94</v>
      </c>
      <c r="C32" s="89">
        <v>11.94</v>
      </c>
    </row>
    <row r="33" spans="1:3" x14ac:dyDescent="0.25">
      <c r="A33" s="88">
        <v>22</v>
      </c>
      <c r="B33" s="89">
        <v>12.11</v>
      </c>
      <c r="C33" s="89">
        <v>12.11</v>
      </c>
    </row>
    <row r="34" spans="1:3" x14ac:dyDescent="0.25">
      <c r="A34" s="88">
        <v>23</v>
      </c>
      <c r="B34" s="89">
        <v>12.29</v>
      </c>
      <c r="C34" s="89">
        <v>12.29</v>
      </c>
    </row>
    <row r="35" spans="1:3" x14ac:dyDescent="0.25">
      <c r="A35" s="88">
        <v>24</v>
      </c>
      <c r="B35" s="89">
        <v>12.46</v>
      </c>
      <c r="C35" s="89">
        <v>12.46</v>
      </c>
    </row>
    <row r="36" spans="1:3" x14ac:dyDescent="0.25">
      <c r="A36" s="88">
        <v>25</v>
      </c>
      <c r="B36" s="89">
        <v>12.65</v>
      </c>
      <c r="C36" s="89">
        <v>12.65</v>
      </c>
    </row>
    <row r="37" spans="1:3" x14ac:dyDescent="0.25">
      <c r="A37" s="88">
        <v>26</v>
      </c>
      <c r="B37" s="89">
        <v>12.83</v>
      </c>
      <c r="C37" s="89">
        <v>12.83</v>
      </c>
    </row>
    <row r="38" spans="1:3" x14ac:dyDescent="0.25">
      <c r="A38" s="88">
        <v>27</v>
      </c>
      <c r="B38" s="89">
        <v>13.02</v>
      </c>
      <c r="C38" s="89">
        <v>13.02</v>
      </c>
    </row>
    <row r="39" spans="1:3" x14ac:dyDescent="0.25">
      <c r="A39" s="88">
        <v>28</v>
      </c>
      <c r="B39" s="89">
        <v>13.21</v>
      </c>
      <c r="C39" s="89">
        <v>13.21</v>
      </c>
    </row>
    <row r="40" spans="1:3" x14ac:dyDescent="0.25">
      <c r="A40" s="88">
        <v>29</v>
      </c>
      <c r="B40" s="89">
        <v>13.4</v>
      </c>
      <c r="C40" s="89">
        <v>13.4</v>
      </c>
    </row>
    <row r="41" spans="1:3" x14ac:dyDescent="0.25">
      <c r="A41" s="88">
        <v>30</v>
      </c>
      <c r="B41" s="89">
        <v>13.59</v>
      </c>
      <c r="C41" s="89">
        <v>13.59</v>
      </c>
    </row>
    <row r="42" spans="1:3" x14ac:dyDescent="0.25">
      <c r="A42" s="88">
        <v>31</v>
      </c>
      <c r="B42" s="89">
        <v>13.79</v>
      </c>
      <c r="C42" s="89">
        <v>13.79</v>
      </c>
    </row>
    <row r="43" spans="1:3" x14ac:dyDescent="0.25">
      <c r="A43" s="88">
        <v>32</v>
      </c>
      <c r="B43" s="89">
        <v>13.99</v>
      </c>
      <c r="C43" s="89">
        <v>13.99</v>
      </c>
    </row>
    <row r="44" spans="1:3" x14ac:dyDescent="0.25">
      <c r="A44" s="88">
        <v>33</v>
      </c>
      <c r="B44" s="89">
        <v>14.2</v>
      </c>
      <c r="C44" s="89">
        <v>14.2</v>
      </c>
    </row>
    <row r="45" spans="1:3" x14ac:dyDescent="0.25">
      <c r="A45" s="88">
        <v>34</v>
      </c>
      <c r="B45" s="89">
        <v>14.41</v>
      </c>
      <c r="C45" s="89">
        <v>14.41</v>
      </c>
    </row>
    <row r="46" spans="1:3" x14ac:dyDescent="0.25">
      <c r="A46" s="88">
        <v>35</v>
      </c>
      <c r="B46" s="89">
        <v>14.62</v>
      </c>
      <c r="C46" s="89">
        <v>14.62</v>
      </c>
    </row>
    <row r="47" spans="1:3" x14ac:dyDescent="0.25">
      <c r="A47" s="88">
        <v>36</v>
      </c>
      <c r="B47" s="89">
        <v>14.84</v>
      </c>
      <c r="C47" s="89">
        <v>14.84</v>
      </c>
    </row>
    <row r="48" spans="1:3" x14ac:dyDescent="0.25">
      <c r="A48" s="88">
        <v>37</v>
      </c>
      <c r="B48" s="89">
        <v>15.06</v>
      </c>
      <c r="C48" s="89">
        <v>15.06</v>
      </c>
    </row>
    <row r="49" spans="1:3" x14ac:dyDescent="0.25">
      <c r="A49" s="88">
        <v>38</v>
      </c>
      <c r="B49" s="89">
        <v>15.28</v>
      </c>
      <c r="C49" s="89">
        <v>15.28</v>
      </c>
    </row>
    <row r="50" spans="1:3" x14ac:dyDescent="0.25">
      <c r="A50" s="88">
        <v>39</v>
      </c>
      <c r="B50" s="89">
        <v>15.51</v>
      </c>
      <c r="C50" s="89">
        <v>15.51</v>
      </c>
    </row>
    <row r="51" spans="1:3" x14ac:dyDescent="0.25">
      <c r="A51" s="88">
        <v>40</v>
      </c>
      <c r="B51" s="89">
        <v>15.75</v>
      </c>
      <c r="C51" s="89">
        <v>15.75</v>
      </c>
    </row>
    <row r="52" spans="1:3" x14ac:dyDescent="0.25">
      <c r="A52" s="88">
        <v>41</v>
      </c>
      <c r="B52" s="89">
        <v>15.98</v>
      </c>
      <c r="C52" s="89">
        <v>15.98</v>
      </c>
    </row>
    <row r="53" spans="1:3" x14ac:dyDescent="0.25">
      <c r="A53" s="88">
        <v>42</v>
      </c>
      <c r="B53" s="89">
        <v>16.23</v>
      </c>
      <c r="C53" s="89">
        <v>16.23</v>
      </c>
    </row>
    <row r="54" spans="1:3" x14ac:dyDescent="0.25">
      <c r="A54" s="88">
        <v>43</v>
      </c>
      <c r="B54" s="89">
        <v>16.48</v>
      </c>
      <c r="C54" s="89">
        <v>16.48</v>
      </c>
    </row>
    <row r="55" spans="1:3" x14ac:dyDescent="0.25">
      <c r="A55" s="88">
        <v>44</v>
      </c>
      <c r="B55" s="89">
        <v>16.73</v>
      </c>
      <c r="C55" s="89">
        <v>16.73</v>
      </c>
    </row>
    <row r="56" spans="1:3" x14ac:dyDescent="0.25">
      <c r="A56" s="88">
        <v>45</v>
      </c>
      <c r="B56" s="89">
        <v>17</v>
      </c>
      <c r="C56" s="89">
        <v>17</v>
      </c>
    </row>
    <row r="57" spans="1:3" x14ac:dyDescent="0.25">
      <c r="A57" s="88">
        <v>46</v>
      </c>
      <c r="B57" s="89">
        <v>17.27</v>
      </c>
      <c r="C57" s="89">
        <v>17.27</v>
      </c>
    </row>
    <row r="58" spans="1:3" x14ac:dyDescent="0.25">
      <c r="A58" s="88">
        <v>47</v>
      </c>
      <c r="B58" s="89">
        <v>17.54</v>
      </c>
      <c r="C58" s="89">
        <v>17.54</v>
      </c>
    </row>
    <row r="59" spans="1:3" x14ac:dyDescent="0.25">
      <c r="A59" s="88">
        <v>48</v>
      </c>
      <c r="B59" s="89">
        <v>17.829999999999998</v>
      </c>
      <c r="C59" s="89">
        <v>17.829999999999998</v>
      </c>
    </row>
    <row r="60" spans="1:3" x14ac:dyDescent="0.25">
      <c r="A60" s="88">
        <v>49</v>
      </c>
      <c r="B60" s="89">
        <v>18.12</v>
      </c>
      <c r="C60" s="89">
        <v>18.12</v>
      </c>
    </row>
    <row r="61" spans="1:3" x14ac:dyDescent="0.25">
      <c r="A61" s="88">
        <v>50</v>
      </c>
      <c r="B61" s="89">
        <v>18.420000000000002</v>
      </c>
      <c r="C61" s="89">
        <v>18.420000000000002</v>
      </c>
    </row>
    <row r="62" spans="1:3" x14ac:dyDescent="0.25">
      <c r="A62" s="88">
        <v>51</v>
      </c>
      <c r="B62" s="89">
        <v>18.73</v>
      </c>
      <c r="C62" s="89">
        <v>18.73</v>
      </c>
    </row>
    <row r="63" spans="1:3" x14ac:dyDescent="0.25">
      <c r="A63" s="88">
        <v>52</v>
      </c>
      <c r="B63" s="89">
        <v>19.05</v>
      </c>
      <c r="C63" s="89">
        <v>19.05</v>
      </c>
    </row>
    <row r="64" spans="1:3" x14ac:dyDescent="0.25">
      <c r="A64" s="88">
        <v>53</v>
      </c>
      <c r="B64" s="89">
        <v>19.38</v>
      </c>
      <c r="C64" s="89">
        <v>19.38</v>
      </c>
    </row>
    <row r="65" spans="1:3" x14ac:dyDescent="0.25">
      <c r="A65" s="88">
        <v>54</v>
      </c>
      <c r="B65" s="89">
        <v>19.72</v>
      </c>
      <c r="C65" s="89">
        <v>19.72</v>
      </c>
    </row>
    <row r="66" spans="1:3" x14ac:dyDescent="0.25">
      <c r="A66" s="88">
        <v>55</v>
      </c>
      <c r="B66" s="89">
        <v>20.07</v>
      </c>
      <c r="C66" s="89">
        <v>20.07</v>
      </c>
    </row>
    <row r="67" spans="1:3" x14ac:dyDescent="0.25">
      <c r="A67" s="88">
        <v>56</v>
      </c>
      <c r="B67" s="89">
        <v>20.43</v>
      </c>
      <c r="C67" s="89">
        <v>20.43</v>
      </c>
    </row>
    <row r="68" spans="1:3" x14ac:dyDescent="0.25">
      <c r="A68" s="88">
        <v>57</v>
      </c>
      <c r="B68" s="89">
        <v>20.8</v>
      </c>
      <c r="C68" s="89">
        <v>20.8</v>
      </c>
    </row>
    <row r="69" spans="1:3" x14ac:dyDescent="0.25">
      <c r="A69" s="88">
        <v>58</v>
      </c>
      <c r="B69" s="89">
        <v>21.19</v>
      </c>
      <c r="C69" s="89">
        <v>21.19</v>
      </c>
    </row>
    <row r="70" spans="1:3" x14ac:dyDescent="0.25">
      <c r="A70" s="88">
        <v>59</v>
      </c>
      <c r="B70" s="89">
        <v>21.59</v>
      </c>
      <c r="C70" s="89">
        <v>21.59</v>
      </c>
    </row>
    <row r="71" spans="1:3" x14ac:dyDescent="0.25">
      <c r="A71" s="88">
        <v>60</v>
      </c>
      <c r="B71" s="89">
        <v>21.49</v>
      </c>
      <c r="C71" s="89">
        <v>21.49</v>
      </c>
    </row>
    <row r="72" spans="1:3" x14ac:dyDescent="0.25">
      <c r="A72" s="88">
        <v>61</v>
      </c>
      <c r="B72" s="89">
        <v>20.88</v>
      </c>
      <c r="C72" s="89">
        <v>20.88</v>
      </c>
    </row>
    <row r="73" spans="1:3" x14ac:dyDescent="0.25">
      <c r="A73" s="88">
        <v>62</v>
      </c>
      <c r="B73" s="89">
        <v>20.27</v>
      </c>
      <c r="C73" s="89">
        <v>20.27</v>
      </c>
    </row>
    <row r="74" spans="1:3" x14ac:dyDescent="0.25">
      <c r="A74" s="88">
        <v>63</v>
      </c>
      <c r="B74" s="89">
        <v>19.66</v>
      </c>
      <c r="C74" s="89">
        <v>19.66</v>
      </c>
    </row>
    <row r="75" spans="1:3" x14ac:dyDescent="0.25">
      <c r="A75" s="88">
        <v>64</v>
      </c>
      <c r="B75" s="89">
        <v>19.05</v>
      </c>
      <c r="C75" s="89">
        <v>19.05</v>
      </c>
    </row>
    <row r="76" spans="1:3" x14ac:dyDescent="0.25">
      <c r="A76" s="88">
        <v>65</v>
      </c>
      <c r="B76" s="89">
        <v>18.440000000000001</v>
      </c>
      <c r="C76" s="89">
        <v>18.440000000000001</v>
      </c>
    </row>
    <row r="77" spans="1:3" x14ac:dyDescent="0.25">
      <c r="A77" s="88">
        <v>66</v>
      </c>
      <c r="B77" s="89">
        <v>17.829999999999998</v>
      </c>
      <c r="C77" s="89">
        <v>17.829999999999998</v>
      </c>
    </row>
    <row r="78" spans="1:3" x14ac:dyDescent="0.25">
      <c r="A78" s="88">
        <v>67</v>
      </c>
      <c r="B78" s="89">
        <v>17.21</v>
      </c>
      <c r="C78" s="89">
        <v>17.21</v>
      </c>
    </row>
    <row r="79" spans="1:3" x14ac:dyDescent="0.25">
      <c r="A79" s="88">
        <v>68</v>
      </c>
      <c r="B79" s="89">
        <v>16.600000000000001</v>
      </c>
      <c r="C79" s="89">
        <v>16.600000000000001</v>
      </c>
    </row>
    <row r="80" spans="1:3" x14ac:dyDescent="0.25">
      <c r="A80" s="88">
        <v>69</v>
      </c>
      <c r="B80" s="89">
        <v>15.97</v>
      </c>
      <c r="C80" s="89">
        <v>15.97</v>
      </c>
    </row>
    <row r="81" spans="1:3" x14ac:dyDescent="0.25">
      <c r="A81" s="88">
        <v>70</v>
      </c>
      <c r="B81" s="89">
        <v>15.35</v>
      </c>
      <c r="C81" s="89">
        <v>15.35</v>
      </c>
    </row>
    <row r="82" spans="1:3" x14ac:dyDescent="0.25">
      <c r="A82" s="88">
        <v>71</v>
      </c>
      <c r="B82" s="89">
        <v>14.72</v>
      </c>
      <c r="C82" s="89">
        <v>14.72</v>
      </c>
    </row>
    <row r="83" spans="1:3" x14ac:dyDescent="0.25">
      <c r="A83" s="88">
        <v>72</v>
      </c>
      <c r="B83" s="89">
        <v>14.1</v>
      </c>
      <c r="C83" s="89">
        <v>14.1</v>
      </c>
    </row>
    <row r="84" spans="1:3" x14ac:dyDescent="0.25">
      <c r="A84" s="88">
        <v>73</v>
      </c>
      <c r="B84" s="89">
        <v>13.48</v>
      </c>
      <c r="C84" s="89">
        <v>13.48</v>
      </c>
    </row>
    <row r="85" spans="1:3" x14ac:dyDescent="0.25">
      <c r="A85" s="88">
        <v>74</v>
      </c>
      <c r="B85" s="89">
        <v>12.86</v>
      </c>
      <c r="C85" s="89">
        <v>12.86</v>
      </c>
    </row>
    <row r="86" spans="1:3" x14ac:dyDescent="0.25">
      <c r="A86" s="88">
        <v>75</v>
      </c>
      <c r="B86" s="89">
        <v>12.24</v>
      </c>
      <c r="C86" s="89">
        <v>12.24</v>
      </c>
    </row>
    <row r="87" spans="1:3" x14ac:dyDescent="0.25">
      <c r="A87" s="88">
        <v>76</v>
      </c>
      <c r="B87" s="89">
        <v>11.63</v>
      </c>
      <c r="C87" s="89">
        <v>11.63</v>
      </c>
    </row>
    <row r="88" spans="1:3" x14ac:dyDescent="0.25">
      <c r="A88" s="88">
        <v>77</v>
      </c>
      <c r="B88" s="89">
        <v>11.02</v>
      </c>
      <c r="C88" s="89">
        <v>11.02</v>
      </c>
    </row>
    <row r="89" spans="1:3" x14ac:dyDescent="0.25">
      <c r="A89" s="88">
        <v>78</v>
      </c>
      <c r="B89" s="89">
        <v>10.42</v>
      </c>
      <c r="C89" s="89">
        <v>10.42</v>
      </c>
    </row>
    <row r="90" spans="1:3" x14ac:dyDescent="0.25">
      <c r="A90" s="88">
        <v>79</v>
      </c>
      <c r="B90" s="89">
        <v>9.83</v>
      </c>
      <c r="C90" s="89">
        <v>9.83</v>
      </c>
    </row>
    <row r="91" spans="1:3" x14ac:dyDescent="0.25">
      <c r="A91" s="88">
        <v>80</v>
      </c>
      <c r="B91" s="89">
        <v>9.26</v>
      </c>
      <c r="C91" s="89">
        <v>9.26</v>
      </c>
    </row>
    <row r="92" spans="1:3" x14ac:dyDescent="0.25">
      <c r="A92" s="88">
        <v>81</v>
      </c>
      <c r="B92" s="89">
        <v>8.69</v>
      </c>
      <c r="C92" s="89">
        <v>8.69</v>
      </c>
    </row>
    <row r="93" spans="1:3" x14ac:dyDescent="0.25">
      <c r="A93" s="88">
        <v>82</v>
      </c>
      <c r="B93" s="89">
        <v>8.14</v>
      </c>
      <c r="C93" s="89">
        <v>8.14</v>
      </c>
    </row>
    <row r="94" spans="1:3" x14ac:dyDescent="0.25">
      <c r="A94" s="88">
        <v>83</v>
      </c>
      <c r="B94" s="89">
        <v>7.6</v>
      </c>
      <c r="C94" s="89">
        <v>7.6</v>
      </c>
    </row>
    <row r="95" spans="1:3" x14ac:dyDescent="0.25">
      <c r="A95" s="88">
        <v>84</v>
      </c>
      <c r="B95" s="89">
        <v>7.08</v>
      </c>
      <c r="C95" s="89">
        <v>7.08</v>
      </c>
    </row>
    <row r="96" spans="1:3" x14ac:dyDescent="0.25">
      <c r="A96" s="88">
        <v>85</v>
      </c>
      <c r="B96" s="89">
        <v>6.58</v>
      </c>
      <c r="C96" s="89">
        <v>6.58</v>
      </c>
    </row>
  </sheetData>
  <sheetProtection algorithmName="SHA-512" hashValue="bRrFZu3niY0YZjWvEA95ZPLBS5TTiZ0N4xzWj8X3+xA4dU95mYPWA2ShrA04AFx+kpPow5VUoAJWq5/06wIaOQ==" saltValue="hOhR27wLxVxRp+ZwzNKc/g==" spinCount="100000" sheet="1" objects="1" scenarios="1"/>
  <conditionalFormatting sqref="A6:A16">
    <cfRule type="expression" dxfId="995" priority="21" stopIfTrue="1">
      <formula>MOD(ROW(),2)=0</formula>
    </cfRule>
    <cfRule type="expression" dxfId="994" priority="22" stopIfTrue="1">
      <formula>MOD(ROW(),2)&lt;&gt;0</formula>
    </cfRule>
  </conditionalFormatting>
  <conditionalFormatting sqref="B6:C21">
    <cfRule type="expression" dxfId="993" priority="23" stopIfTrue="1">
      <formula>MOD(ROW(),2)=0</formula>
    </cfRule>
    <cfRule type="expression" dxfId="992" priority="24" stopIfTrue="1">
      <formula>MOD(ROW(),2)&lt;&gt;0</formula>
    </cfRule>
  </conditionalFormatting>
  <conditionalFormatting sqref="A17:A20">
    <cfRule type="expression" dxfId="991" priority="13" stopIfTrue="1">
      <formula>MOD(ROW(),2)=0</formula>
    </cfRule>
    <cfRule type="expression" dxfId="990" priority="14" stopIfTrue="1">
      <formula>MOD(ROW(),2)&lt;&gt;0</formula>
    </cfRule>
  </conditionalFormatting>
  <conditionalFormatting sqref="B17:B18 B20:B21">
    <cfRule type="expression" dxfId="989" priority="15" stopIfTrue="1">
      <formula>MOD(ROW(),2)=0</formula>
    </cfRule>
    <cfRule type="expression" dxfId="988" priority="16" stopIfTrue="1">
      <formula>MOD(ROW(),2)&lt;&gt;0</formula>
    </cfRule>
  </conditionalFormatting>
  <conditionalFormatting sqref="A26:A96">
    <cfRule type="expression" dxfId="987" priority="7" stopIfTrue="1">
      <formula>MOD(ROW(),2)=0</formula>
    </cfRule>
    <cfRule type="expression" dxfId="986" priority="8" stopIfTrue="1">
      <formula>MOD(ROW(),2)&lt;&gt;0</formula>
    </cfRule>
  </conditionalFormatting>
  <conditionalFormatting sqref="B26:C96">
    <cfRule type="expression" dxfId="985" priority="9" stopIfTrue="1">
      <formula>MOD(ROW(),2)=0</formula>
    </cfRule>
    <cfRule type="expression" dxfId="984" priority="10" stopIfTrue="1">
      <formula>MOD(ROW(),2)&lt;&gt;0</formula>
    </cfRule>
  </conditionalFormatting>
  <conditionalFormatting sqref="B19">
    <cfRule type="expression" dxfId="983" priority="5" stopIfTrue="1">
      <formula>MOD(ROW(),2)=0</formula>
    </cfRule>
    <cfRule type="expression" dxfId="982" priority="6" stopIfTrue="1">
      <formula>MOD(ROW(),2)&lt;&gt;0</formula>
    </cfRule>
  </conditionalFormatting>
  <conditionalFormatting sqref="A21">
    <cfRule type="expression" dxfId="981" priority="1" stopIfTrue="1">
      <formula>MOD(ROW(),2)=0</formula>
    </cfRule>
    <cfRule type="expression" dxfId="980" priority="2" stopIfTrue="1">
      <formula>MOD(ROW(),2)&lt;&gt;0</formula>
    </cfRule>
  </conditionalFormatting>
  <hyperlinks>
    <hyperlink ref="B24" location="Assumptions!A1" display="Assumptions" xr:uid="{20459549-EB2E-40A4-B0A5-5CDFB2D33384}"/>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Sheet59"/>
  <dimension ref="A1:I94"/>
  <sheetViews>
    <sheetView showGridLines="0" zoomScale="85" zoomScaleNormal="85" workbookViewId="0">
      <selection activeCell="B18" sqref="B18"/>
    </sheetView>
  </sheetViews>
  <sheetFormatPr defaultColWidth="10" defaultRowHeight="12.5" x14ac:dyDescent="0.25"/>
  <cols>
    <col min="1" max="1" width="31.81640625" style="28" customWidth="1"/>
    <col min="2" max="5" width="22.81640625" style="28" customWidth="1"/>
    <col min="6" max="16384" width="10" style="28"/>
  </cols>
  <sheetData>
    <row r="1" spans="1:9" ht="20" x14ac:dyDescent="0.4">
      <c r="A1" s="40" t="s">
        <v>227</v>
      </c>
      <c r="B1" s="41"/>
      <c r="C1" s="41"/>
      <c r="D1" s="41"/>
      <c r="E1" s="41"/>
      <c r="F1" s="41"/>
      <c r="G1" s="41"/>
      <c r="H1" s="41"/>
      <c r="I1" s="41"/>
    </row>
    <row r="2" spans="1:9" ht="15.5" x14ac:dyDescent="0.35">
      <c r="A2" s="42" t="str">
        <f>IF(title="&gt; Enter workbook title here","Enter workbook title in Cover sheet",title)</f>
        <v>Fire Northern Ireland - Consolidated Factor Spreadsheet</v>
      </c>
      <c r="B2" s="43"/>
      <c r="C2" s="43"/>
      <c r="D2" s="43"/>
      <c r="E2" s="43"/>
      <c r="F2" s="43"/>
      <c r="G2" s="43"/>
      <c r="H2" s="43"/>
      <c r="I2" s="43"/>
    </row>
    <row r="3" spans="1:9" ht="15.5" x14ac:dyDescent="0.35">
      <c r="A3" s="44" t="str">
        <f>TABLE_FACTOR_TYPE_1&amp;" - x-"&amp;TABLE_SERIES_NUMBER_1</f>
        <v>Pension Credit - x-316</v>
      </c>
      <c r="B3" s="43"/>
      <c r="C3" s="43"/>
      <c r="D3" s="43"/>
      <c r="E3" s="43"/>
      <c r="F3" s="43"/>
      <c r="G3" s="43"/>
      <c r="H3" s="43"/>
      <c r="I3" s="43"/>
    </row>
    <row r="4" spans="1:9" x14ac:dyDescent="0.25">
      <c r="A4" s="45"/>
    </row>
    <row r="6" spans="1:9" ht="13" x14ac:dyDescent="0.3">
      <c r="A6" s="75" t="s">
        <v>562</v>
      </c>
      <c r="B6" s="159" t="s">
        <v>563</v>
      </c>
      <c r="C6" s="159"/>
      <c r="D6" s="159"/>
      <c r="E6" s="159"/>
    </row>
    <row r="7" spans="1:9" x14ac:dyDescent="0.25">
      <c r="A7" s="77" t="s">
        <v>305</v>
      </c>
      <c r="B7" s="159" t="s">
        <v>319</v>
      </c>
      <c r="C7" s="159"/>
      <c r="D7" s="159"/>
      <c r="E7" s="159"/>
    </row>
    <row r="8" spans="1:9" x14ac:dyDescent="0.25">
      <c r="A8" s="77" t="s">
        <v>306</v>
      </c>
      <c r="B8" s="159">
        <v>2015</v>
      </c>
      <c r="C8" s="159"/>
      <c r="D8" s="159"/>
      <c r="E8" s="159"/>
    </row>
    <row r="9" spans="1:9" x14ac:dyDescent="0.25">
      <c r="A9" s="77" t="s">
        <v>307</v>
      </c>
      <c r="B9" s="159" t="s">
        <v>387</v>
      </c>
      <c r="C9" s="159"/>
      <c r="D9" s="159"/>
      <c r="E9" s="159"/>
    </row>
    <row r="10" spans="1:9" x14ac:dyDescent="0.25">
      <c r="A10" s="77" t="s">
        <v>233</v>
      </c>
      <c r="B10" s="159" t="s">
        <v>396</v>
      </c>
      <c r="C10" s="159"/>
      <c r="D10" s="159"/>
      <c r="E10" s="159"/>
    </row>
    <row r="11" spans="1:9" x14ac:dyDescent="0.25">
      <c r="A11" s="77" t="s">
        <v>308</v>
      </c>
      <c r="B11" s="159" t="s">
        <v>329</v>
      </c>
      <c r="C11" s="159"/>
      <c r="D11" s="159"/>
      <c r="E11" s="159"/>
    </row>
    <row r="12" spans="1:9" x14ac:dyDescent="0.25">
      <c r="A12" s="77" t="s">
        <v>309</v>
      </c>
      <c r="B12" s="159" t="s">
        <v>324</v>
      </c>
      <c r="C12" s="159"/>
      <c r="D12" s="159"/>
      <c r="E12" s="159"/>
    </row>
    <row r="13" spans="1:9" x14ac:dyDescent="0.25">
      <c r="A13" s="77" t="s">
        <v>570</v>
      </c>
      <c r="B13" s="159">
        <v>0</v>
      </c>
      <c r="C13" s="159"/>
      <c r="D13" s="159"/>
      <c r="E13" s="159"/>
    </row>
    <row r="14" spans="1:9" x14ac:dyDescent="0.25">
      <c r="A14" s="77" t="s">
        <v>311</v>
      </c>
      <c r="B14" s="159">
        <v>316</v>
      </c>
      <c r="C14" s="159"/>
      <c r="D14" s="159"/>
      <c r="E14" s="159"/>
    </row>
    <row r="15" spans="1:9" x14ac:dyDescent="0.25">
      <c r="A15" s="77" t="s">
        <v>573</v>
      </c>
      <c r="B15" s="159" t="s">
        <v>397</v>
      </c>
      <c r="C15" s="159"/>
      <c r="D15" s="159"/>
      <c r="E15" s="159"/>
    </row>
    <row r="16" spans="1:9" x14ac:dyDescent="0.25">
      <c r="A16" s="77" t="s">
        <v>313</v>
      </c>
      <c r="B16" s="159" t="s">
        <v>398</v>
      </c>
      <c r="C16" s="159"/>
      <c r="D16" s="159"/>
      <c r="E16" s="159"/>
    </row>
    <row r="17" spans="1:5" x14ac:dyDescent="0.25">
      <c r="A17" s="77" t="s">
        <v>642</v>
      </c>
      <c r="B17" s="159"/>
      <c r="C17" s="159"/>
      <c r="D17" s="159"/>
      <c r="E17" s="159"/>
    </row>
    <row r="18" spans="1:5" x14ac:dyDescent="0.25">
      <c r="A18" s="77" t="s">
        <v>315</v>
      </c>
      <c r="B18" s="161">
        <v>45070</v>
      </c>
      <c r="C18" s="159"/>
      <c r="D18" s="159"/>
      <c r="E18" s="159"/>
    </row>
    <row r="19" spans="1:5" x14ac:dyDescent="0.25">
      <c r="A19" s="77" t="s">
        <v>316</v>
      </c>
      <c r="B19" s="161">
        <v>45014</v>
      </c>
      <c r="C19" s="159"/>
      <c r="D19" s="159"/>
      <c r="E19" s="159"/>
    </row>
    <row r="20" spans="1:5" x14ac:dyDescent="0.25">
      <c r="A20" s="77" t="s">
        <v>317</v>
      </c>
      <c r="B20" s="159" t="s">
        <v>327</v>
      </c>
      <c r="C20" s="159"/>
      <c r="D20" s="159"/>
      <c r="E20" s="159"/>
    </row>
    <row r="21" spans="1:5" x14ac:dyDescent="0.25">
      <c r="A21" s="77" t="s">
        <v>318</v>
      </c>
      <c r="B21" s="159" t="s">
        <v>328</v>
      </c>
      <c r="C21" s="159"/>
      <c r="D21" s="159"/>
      <c r="E21" s="159"/>
    </row>
    <row r="23" spans="1:5" x14ac:dyDescent="0.25">
      <c r="B23" s="91" t="str">
        <f>HYPERLINK("#'Factor List'!A1","Back to Factor List")</f>
        <v>Back to Factor List</v>
      </c>
    </row>
    <row r="24" spans="1:5" x14ac:dyDescent="0.25">
      <c r="B24" s="91" t="s">
        <v>240</v>
      </c>
    </row>
    <row r="25" spans="1:5" x14ac:dyDescent="0.25">
      <c r="B25" s="91"/>
    </row>
    <row r="26" spans="1:5" ht="13" x14ac:dyDescent="0.25">
      <c r="A26" s="87" t="s">
        <v>643</v>
      </c>
      <c r="B26" s="87" t="s">
        <v>663</v>
      </c>
      <c r="C26" s="87" t="s">
        <v>664</v>
      </c>
      <c r="D26" s="87" t="s">
        <v>665</v>
      </c>
      <c r="E26" s="87" t="s">
        <v>666</v>
      </c>
    </row>
    <row r="27" spans="1:5" x14ac:dyDescent="0.25">
      <c r="A27" s="88">
        <v>18</v>
      </c>
      <c r="B27" s="89">
        <v>9.17</v>
      </c>
      <c r="C27" s="89">
        <v>8.74</v>
      </c>
      <c r="D27" s="89">
        <v>8.33</v>
      </c>
      <c r="E27" s="89">
        <v>7.92</v>
      </c>
    </row>
    <row r="28" spans="1:5" x14ac:dyDescent="0.25">
      <c r="A28" s="88">
        <v>19</v>
      </c>
      <c r="B28" s="89">
        <v>9.3000000000000007</v>
      </c>
      <c r="C28" s="89">
        <v>8.8699999999999992</v>
      </c>
      <c r="D28" s="89">
        <v>8.44</v>
      </c>
      <c r="E28" s="89">
        <v>8.0299999999999994</v>
      </c>
    </row>
    <row r="29" spans="1:5" x14ac:dyDescent="0.25">
      <c r="A29" s="88">
        <v>20</v>
      </c>
      <c r="B29" s="89">
        <v>9.43</v>
      </c>
      <c r="C29" s="89">
        <v>8.99</v>
      </c>
      <c r="D29" s="89">
        <v>8.56</v>
      </c>
      <c r="E29" s="89">
        <v>8.14</v>
      </c>
    </row>
    <row r="30" spans="1:5" x14ac:dyDescent="0.25">
      <c r="A30" s="88">
        <v>21</v>
      </c>
      <c r="B30" s="89">
        <v>9.56</v>
      </c>
      <c r="C30" s="89">
        <v>9.11</v>
      </c>
      <c r="D30" s="89">
        <v>8.68</v>
      </c>
      <c r="E30" s="89">
        <v>8.25</v>
      </c>
    </row>
    <row r="31" spans="1:5" x14ac:dyDescent="0.25">
      <c r="A31" s="88">
        <v>22</v>
      </c>
      <c r="B31" s="89">
        <v>9.69</v>
      </c>
      <c r="C31" s="89">
        <v>9.24</v>
      </c>
      <c r="D31" s="89">
        <v>8.8000000000000007</v>
      </c>
      <c r="E31" s="89">
        <v>8.36</v>
      </c>
    </row>
    <row r="32" spans="1:5" x14ac:dyDescent="0.25">
      <c r="A32" s="88">
        <v>23</v>
      </c>
      <c r="B32" s="89">
        <v>9.83</v>
      </c>
      <c r="C32" s="89">
        <v>9.3699999999999992</v>
      </c>
      <c r="D32" s="89">
        <v>8.92</v>
      </c>
      <c r="E32" s="89">
        <v>8.48</v>
      </c>
    </row>
    <row r="33" spans="1:5" x14ac:dyDescent="0.25">
      <c r="A33" s="88">
        <v>24</v>
      </c>
      <c r="B33" s="89">
        <v>9.9700000000000006</v>
      </c>
      <c r="C33" s="89">
        <v>9.5</v>
      </c>
      <c r="D33" s="89">
        <v>9.0399999999999991</v>
      </c>
      <c r="E33" s="89">
        <v>8.59</v>
      </c>
    </row>
    <row r="34" spans="1:5" x14ac:dyDescent="0.25">
      <c r="A34" s="88">
        <v>25</v>
      </c>
      <c r="B34" s="89">
        <v>10.11</v>
      </c>
      <c r="C34" s="89">
        <v>9.6300000000000008</v>
      </c>
      <c r="D34" s="89">
        <v>9.17</v>
      </c>
      <c r="E34" s="89">
        <v>8.7100000000000009</v>
      </c>
    </row>
    <row r="35" spans="1:5" x14ac:dyDescent="0.25">
      <c r="A35" s="88">
        <v>26</v>
      </c>
      <c r="B35" s="89">
        <v>10.25</v>
      </c>
      <c r="C35" s="89">
        <v>9.77</v>
      </c>
      <c r="D35" s="89">
        <v>9.2899999999999991</v>
      </c>
      <c r="E35" s="89">
        <v>8.83</v>
      </c>
    </row>
    <row r="36" spans="1:5" x14ac:dyDescent="0.25">
      <c r="A36" s="88">
        <v>27</v>
      </c>
      <c r="B36" s="89">
        <v>10.39</v>
      </c>
      <c r="C36" s="89">
        <v>9.9</v>
      </c>
      <c r="D36" s="89">
        <v>9.42</v>
      </c>
      <c r="E36" s="89">
        <v>8.9499999999999993</v>
      </c>
    </row>
    <row r="37" spans="1:5" x14ac:dyDescent="0.25">
      <c r="A37" s="88">
        <v>28</v>
      </c>
      <c r="B37" s="89">
        <v>10.54</v>
      </c>
      <c r="C37" s="89">
        <v>10.039999999999999</v>
      </c>
      <c r="D37" s="89">
        <v>9.5500000000000007</v>
      </c>
      <c r="E37" s="89">
        <v>9.07</v>
      </c>
    </row>
    <row r="38" spans="1:5" x14ac:dyDescent="0.25">
      <c r="A38" s="88">
        <v>29</v>
      </c>
      <c r="B38" s="89">
        <v>10.69</v>
      </c>
      <c r="C38" s="89">
        <v>10.18</v>
      </c>
      <c r="D38" s="89">
        <v>9.68</v>
      </c>
      <c r="E38" s="89">
        <v>9.1999999999999993</v>
      </c>
    </row>
    <row r="39" spans="1:5" x14ac:dyDescent="0.25">
      <c r="A39" s="88">
        <v>30</v>
      </c>
      <c r="B39" s="89">
        <v>10.84</v>
      </c>
      <c r="C39" s="89">
        <v>10.32</v>
      </c>
      <c r="D39" s="89">
        <v>9.82</v>
      </c>
      <c r="E39" s="89">
        <v>9.32</v>
      </c>
    </row>
    <row r="40" spans="1:5" x14ac:dyDescent="0.25">
      <c r="A40" s="88">
        <v>31</v>
      </c>
      <c r="B40" s="89">
        <v>10.99</v>
      </c>
      <c r="C40" s="89">
        <v>10.46</v>
      </c>
      <c r="D40" s="89">
        <v>9.9499999999999993</v>
      </c>
      <c r="E40" s="89">
        <v>9.4499999999999993</v>
      </c>
    </row>
    <row r="41" spans="1:5" x14ac:dyDescent="0.25">
      <c r="A41" s="88">
        <v>32</v>
      </c>
      <c r="B41" s="89">
        <v>11.15</v>
      </c>
      <c r="C41" s="89">
        <v>10.61</v>
      </c>
      <c r="D41" s="89">
        <v>10.09</v>
      </c>
      <c r="E41" s="89">
        <v>9.58</v>
      </c>
    </row>
    <row r="42" spans="1:5" x14ac:dyDescent="0.25">
      <c r="A42" s="88">
        <v>33</v>
      </c>
      <c r="B42" s="89">
        <v>11.3</v>
      </c>
      <c r="C42" s="89">
        <v>10.76</v>
      </c>
      <c r="D42" s="89">
        <v>10.23</v>
      </c>
      <c r="E42" s="89">
        <v>9.7100000000000009</v>
      </c>
    </row>
    <row r="43" spans="1:5" x14ac:dyDescent="0.25">
      <c r="A43" s="88">
        <v>34</v>
      </c>
      <c r="B43" s="89">
        <v>11.46</v>
      </c>
      <c r="C43" s="89">
        <v>10.91</v>
      </c>
      <c r="D43" s="89">
        <v>10.37</v>
      </c>
      <c r="E43" s="89">
        <v>9.84</v>
      </c>
    </row>
    <row r="44" spans="1:5" x14ac:dyDescent="0.25">
      <c r="A44" s="88">
        <v>35</v>
      </c>
      <c r="B44" s="89">
        <v>11.63</v>
      </c>
      <c r="C44" s="89">
        <v>11.06</v>
      </c>
      <c r="D44" s="89">
        <v>10.52</v>
      </c>
      <c r="E44" s="89">
        <v>9.98</v>
      </c>
    </row>
    <row r="45" spans="1:5" x14ac:dyDescent="0.25">
      <c r="A45" s="88">
        <v>36</v>
      </c>
      <c r="B45" s="89">
        <v>11.79</v>
      </c>
      <c r="C45" s="89">
        <v>11.22</v>
      </c>
      <c r="D45" s="89">
        <v>10.66</v>
      </c>
      <c r="E45" s="89">
        <v>10.119999999999999</v>
      </c>
    </row>
    <row r="46" spans="1:5" x14ac:dyDescent="0.25">
      <c r="A46" s="88">
        <v>37</v>
      </c>
      <c r="B46" s="89">
        <v>11.96</v>
      </c>
      <c r="C46" s="89">
        <v>11.38</v>
      </c>
      <c r="D46" s="89">
        <v>10.81</v>
      </c>
      <c r="E46" s="89">
        <v>10.26</v>
      </c>
    </row>
    <row r="47" spans="1:5" x14ac:dyDescent="0.25">
      <c r="A47" s="88">
        <v>38</v>
      </c>
      <c r="B47" s="89">
        <v>12.13</v>
      </c>
      <c r="C47" s="89">
        <v>11.54</v>
      </c>
      <c r="D47" s="89">
        <v>10.96</v>
      </c>
      <c r="E47" s="89">
        <v>10.4</v>
      </c>
    </row>
    <row r="48" spans="1:5" x14ac:dyDescent="0.25">
      <c r="A48" s="88">
        <v>39</v>
      </c>
      <c r="B48" s="89">
        <v>12.31</v>
      </c>
      <c r="C48" s="89">
        <v>11.71</v>
      </c>
      <c r="D48" s="89">
        <v>11.12</v>
      </c>
      <c r="E48" s="89">
        <v>10.55</v>
      </c>
    </row>
    <row r="49" spans="1:5" x14ac:dyDescent="0.25">
      <c r="A49" s="88">
        <v>40</v>
      </c>
      <c r="B49" s="89">
        <v>12.48</v>
      </c>
      <c r="C49" s="89">
        <v>11.87</v>
      </c>
      <c r="D49" s="89">
        <v>11.28</v>
      </c>
      <c r="E49" s="89">
        <v>10.69</v>
      </c>
    </row>
    <row r="50" spans="1:5" x14ac:dyDescent="0.25">
      <c r="A50" s="88">
        <v>41</v>
      </c>
      <c r="B50" s="89">
        <v>12.67</v>
      </c>
      <c r="C50" s="89">
        <v>12.05</v>
      </c>
      <c r="D50" s="89">
        <v>11.44</v>
      </c>
      <c r="E50" s="89">
        <v>10.85</v>
      </c>
    </row>
    <row r="51" spans="1:5" x14ac:dyDescent="0.25">
      <c r="A51" s="88">
        <v>42</v>
      </c>
      <c r="B51" s="89">
        <v>12.85</v>
      </c>
      <c r="C51" s="89">
        <v>12.22</v>
      </c>
      <c r="D51" s="89">
        <v>11.6</v>
      </c>
      <c r="E51" s="89">
        <v>11</v>
      </c>
    </row>
    <row r="52" spans="1:5" x14ac:dyDescent="0.25">
      <c r="A52" s="88">
        <v>43</v>
      </c>
      <c r="B52" s="89">
        <v>13.04</v>
      </c>
      <c r="C52" s="89">
        <v>12.4</v>
      </c>
      <c r="D52" s="89">
        <v>11.77</v>
      </c>
      <c r="E52" s="89">
        <v>11.16</v>
      </c>
    </row>
    <row r="53" spans="1:5" x14ac:dyDescent="0.25">
      <c r="A53" s="88">
        <v>44</v>
      </c>
      <c r="B53" s="89">
        <v>13.24</v>
      </c>
      <c r="C53" s="89">
        <v>12.58</v>
      </c>
      <c r="D53" s="89">
        <v>11.94</v>
      </c>
      <c r="E53" s="89">
        <v>11.32</v>
      </c>
    </row>
    <row r="54" spans="1:5" x14ac:dyDescent="0.25">
      <c r="A54" s="88">
        <v>45</v>
      </c>
      <c r="B54" s="89">
        <v>13.44</v>
      </c>
      <c r="C54" s="89">
        <v>12.77</v>
      </c>
      <c r="D54" s="89">
        <v>12.12</v>
      </c>
      <c r="E54" s="89">
        <v>11.49</v>
      </c>
    </row>
    <row r="55" spans="1:5" x14ac:dyDescent="0.25">
      <c r="A55" s="88">
        <v>46</v>
      </c>
      <c r="B55" s="89">
        <v>13.64</v>
      </c>
      <c r="C55" s="89">
        <v>12.96</v>
      </c>
      <c r="D55" s="89">
        <v>12.3</v>
      </c>
      <c r="E55" s="89">
        <v>11.66</v>
      </c>
    </row>
    <row r="56" spans="1:5" x14ac:dyDescent="0.25">
      <c r="A56" s="88">
        <v>47</v>
      </c>
      <c r="B56" s="89">
        <v>13.85</v>
      </c>
      <c r="C56" s="89">
        <v>13.16</v>
      </c>
      <c r="D56" s="89">
        <v>12.49</v>
      </c>
      <c r="E56" s="89">
        <v>11.83</v>
      </c>
    </row>
    <row r="57" spans="1:5" x14ac:dyDescent="0.25">
      <c r="A57" s="88">
        <v>48</v>
      </c>
      <c r="B57" s="89">
        <v>14.07</v>
      </c>
      <c r="C57" s="89">
        <v>13.37</v>
      </c>
      <c r="D57" s="89">
        <v>12.68</v>
      </c>
      <c r="E57" s="89">
        <v>12.01</v>
      </c>
    </row>
    <row r="58" spans="1:5" x14ac:dyDescent="0.25">
      <c r="A58" s="88">
        <v>49</v>
      </c>
      <c r="B58" s="89">
        <v>14.29</v>
      </c>
      <c r="C58" s="89">
        <v>13.58</v>
      </c>
      <c r="D58" s="89">
        <v>12.88</v>
      </c>
      <c r="E58" s="89">
        <v>12.19</v>
      </c>
    </row>
    <row r="59" spans="1:5" x14ac:dyDescent="0.25">
      <c r="A59" s="88">
        <v>50</v>
      </c>
      <c r="B59" s="89">
        <v>14.52</v>
      </c>
      <c r="C59" s="89">
        <v>13.79</v>
      </c>
      <c r="D59" s="89">
        <v>13.08</v>
      </c>
      <c r="E59" s="89">
        <v>12.38</v>
      </c>
    </row>
    <row r="60" spans="1:5" x14ac:dyDescent="0.25">
      <c r="A60" s="88">
        <v>51</v>
      </c>
      <c r="B60" s="89">
        <v>14.76</v>
      </c>
      <c r="C60" s="89">
        <v>14.01</v>
      </c>
      <c r="D60" s="89">
        <v>13.29</v>
      </c>
      <c r="E60" s="89">
        <v>12.58</v>
      </c>
    </row>
    <row r="61" spans="1:5" x14ac:dyDescent="0.25">
      <c r="A61" s="88">
        <v>52</v>
      </c>
      <c r="B61" s="89">
        <v>15</v>
      </c>
      <c r="C61" s="89">
        <v>14.24</v>
      </c>
      <c r="D61" s="89">
        <v>13.5</v>
      </c>
      <c r="E61" s="89">
        <v>12.78</v>
      </c>
    </row>
    <row r="62" spans="1:5" x14ac:dyDescent="0.25">
      <c r="A62" s="88">
        <v>53</v>
      </c>
      <c r="B62" s="89">
        <v>15.25</v>
      </c>
      <c r="C62" s="89">
        <v>14.48</v>
      </c>
      <c r="D62" s="89">
        <v>13.72</v>
      </c>
      <c r="E62" s="89">
        <v>12.99</v>
      </c>
    </row>
    <row r="63" spans="1:5" x14ac:dyDescent="0.25">
      <c r="A63" s="88">
        <v>54</v>
      </c>
      <c r="B63" s="89">
        <v>15.51</v>
      </c>
      <c r="C63" s="89">
        <v>14.72</v>
      </c>
      <c r="D63" s="89">
        <v>13.95</v>
      </c>
      <c r="E63" s="89">
        <v>13.2</v>
      </c>
    </row>
    <row r="64" spans="1:5" x14ac:dyDescent="0.25">
      <c r="A64" s="88">
        <v>55</v>
      </c>
      <c r="B64" s="89">
        <v>15.77</v>
      </c>
      <c r="C64" s="89">
        <v>14.97</v>
      </c>
      <c r="D64" s="89">
        <v>14.18</v>
      </c>
      <c r="E64" s="89">
        <v>13.42</v>
      </c>
    </row>
    <row r="65" spans="1:5" x14ac:dyDescent="0.25">
      <c r="A65" s="88">
        <v>56</v>
      </c>
      <c r="B65" s="89">
        <v>16.04</v>
      </c>
      <c r="C65" s="89">
        <v>15.22</v>
      </c>
      <c r="D65" s="89">
        <v>14.42</v>
      </c>
      <c r="E65" s="89">
        <v>13.64</v>
      </c>
    </row>
    <row r="66" spans="1:5" x14ac:dyDescent="0.25">
      <c r="A66" s="88">
        <v>57</v>
      </c>
      <c r="B66" s="89">
        <v>16.329999999999998</v>
      </c>
      <c r="C66" s="89">
        <v>15.49</v>
      </c>
      <c r="D66" s="89">
        <v>14.67</v>
      </c>
      <c r="E66" s="89">
        <v>13.88</v>
      </c>
    </row>
    <row r="67" spans="1:5" x14ac:dyDescent="0.25">
      <c r="A67" s="88">
        <v>58</v>
      </c>
      <c r="B67" s="89">
        <v>16.62</v>
      </c>
      <c r="C67" s="89">
        <v>15.77</v>
      </c>
      <c r="D67" s="89">
        <v>14.93</v>
      </c>
      <c r="E67" s="89">
        <v>14.12</v>
      </c>
    </row>
    <row r="68" spans="1:5" x14ac:dyDescent="0.25">
      <c r="A68" s="88">
        <v>59</v>
      </c>
      <c r="B68" s="89">
        <v>16.920000000000002</v>
      </c>
      <c r="C68" s="89">
        <v>16.05</v>
      </c>
      <c r="D68" s="89">
        <v>15.2</v>
      </c>
      <c r="E68" s="89">
        <v>14.37</v>
      </c>
    </row>
    <row r="69" spans="1:5" x14ac:dyDescent="0.25">
      <c r="A69" s="88">
        <v>60</v>
      </c>
      <c r="B69" s="89">
        <v>17.239999999999998</v>
      </c>
      <c r="C69" s="89">
        <v>16.350000000000001</v>
      </c>
      <c r="D69" s="89">
        <v>15.48</v>
      </c>
      <c r="E69" s="89">
        <v>14.63</v>
      </c>
    </row>
    <row r="70" spans="1:5" x14ac:dyDescent="0.25">
      <c r="A70" s="88">
        <v>61</v>
      </c>
      <c r="B70" s="89">
        <v>17.57</v>
      </c>
      <c r="C70" s="89">
        <v>16.66</v>
      </c>
      <c r="D70" s="89">
        <v>15.77</v>
      </c>
      <c r="E70" s="89">
        <v>14.91</v>
      </c>
    </row>
    <row r="71" spans="1:5" x14ac:dyDescent="0.25">
      <c r="A71" s="88">
        <v>62</v>
      </c>
      <c r="B71" s="89">
        <v>17.91</v>
      </c>
      <c r="C71" s="89">
        <v>16.98</v>
      </c>
      <c r="D71" s="89">
        <v>16.07</v>
      </c>
      <c r="E71" s="89">
        <v>15.19</v>
      </c>
    </row>
    <row r="72" spans="1:5" x14ac:dyDescent="0.25">
      <c r="A72" s="88">
        <v>63</v>
      </c>
      <c r="B72" s="89">
        <v>18.27</v>
      </c>
      <c r="C72" s="89">
        <v>17.32</v>
      </c>
      <c r="D72" s="89">
        <v>16.39</v>
      </c>
      <c r="E72" s="89">
        <v>15.48</v>
      </c>
    </row>
    <row r="73" spans="1:5" x14ac:dyDescent="0.25">
      <c r="A73" s="88">
        <v>64</v>
      </c>
      <c r="B73" s="89">
        <v>18.64</v>
      </c>
      <c r="C73" s="89">
        <v>17.670000000000002</v>
      </c>
      <c r="D73" s="89">
        <v>16.72</v>
      </c>
      <c r="E73" s="89">
        <v>15.8</v>
      </c>
    </row>
    <row r="74" spans="1:5" x14ac:dyDescent="0.25">
      <c r="A74" s="88">
        <v>65</v>
      </c>
      <c r="B74" s="89">
        <v>18.52</v>
      </c>
      <c r="C74" s="89">
        <v>18.04</v>
      </c>
      <c r="D74" s="89">
        <v>17.07</v>
      </c>
      <c r="E74" s="89">
        <v>16.12</v>
      </c>
    </row>
    <row r="75" spans="1:5" x14ac:dyDescent="0.25">
      <c r="A75" s="88">
        <v>66</v>
      </c>
      <c r="B75" s="89">
        <v>17.88</v>
      </c>
      <c r="C75" s="89">
        <v>17.91</v>
      </c>
      <c r="D75" s="89">
        <v>17.440000000000001</v>
      </c>
      <c r="E75" s="89">
        <v>16.47</v>
      </c>
    </row>
    <row r="76" spans="1:5" x14ac:dyDescent="0.25">
      <c r="A76" s="88">
        <v>67</v>
      </c>
      <c r="B76" s="89">
        <v>17.239999999999998</v>
      </c>
      <c r="C76" s="89">
        <v>17.27</v>
      </c>
      <c r="D76" s="89">
        <v>17.3</v>
      </c>
      <c r="E76" s="89">
        <v>16.829999999999998</v>
      </c>
    </row>
    <row r="77" spans="1:5" x14ac:dyDescent="0.25">
      <c r="A77" s="88">
        <v>68</v>
      </c>
      <c r="B77" s="89">
        <v>16.61</v>
      </c>
      <c r="C77" s="89">
        <v>16.63</v>
      </c>
      <c r="D77" s="89">
        <v>16.649999999999999</v>
      </c>
      <c r="E77" s="89">
        <v>16.690000000000001</v>
      </c>
    </row>
    <row r="78" spans="1:5" x14ac:dyDescent="0.25">
      <c r="A78" s="88">
        <v>69</v>
      </c>
      <c r="B78" s="89">
        <v>15.98</v>
      </c>
      <c r="C78" s="89">
        <v>15.99</v>
      </c>
      <c r="D78" s="89">
        <v>16.010000000000002</v>
      </c>
      <c r="E78" s="89">
        <v>16.04</v>
      </c>
    </row>
    <row r="79" spans="1:5" x14ac:dyDescent="0.25">
      <c r="A79" s="88">
        <v>70</v>
      </c>
      <c r="B79" s="89">
        <v>15.35</v>
      </c>
      <c r="C79" s="89">
        <v>15.35</v>
      </c>
      <c r="D79" s="89">
        <v>15.36</v>
      </c>
      <c r="E79" s="89">
        <v>15.38</v>
      </c>
    </row>
    <row r="80" spans="1:5" x14ac:dyDescent="0.25">
      <c r="A80" s="88">
        <v>71</v>
      </c>
      <c r="B80" s="89">
        <v>14.72</v>
      </c>
      <c r="C80" s="89">
        <v>14.72</v>
      </c>
      <c r="D80" s="89">
        <v>14.73</v>
      </c>
      <c r="E80" s="89">
        <v>14.74</v>
      </c>
    </row>
    <row r="81" spans="1:5" x14ac:dyDescent="0.25">
      <c r="A81" s="88">
        <v>72</v>
      </c>
      <c r="B81" s="89">
        <v>14.1</v>
      </c>
      <c r="C81" s="89">
        <v>14.1</v>
      </c>
      <c r="D81" s="89">
        <v>14.1</v>
      </c>
      <c r="E81" s="89">
        <v>14.1</v>
      </c>
    </row>
    <row r="82" spans="1:5" x14ac:dyDescent="0.25">
      <c r="A82" s="88">
        <v>73</v>
      </c>
      <c r="B82" s="89">
        <v>13.48</v>
      </c>
      <c r="C82" s="89">
        <v>13.48</v>
      </c>
      <c r="D82" s="89">
        <v>13.48</v>
      </c>
      <c r="E82" s="89">
        <v>13.48</v>
      </c>
    </row>
    <row r="83" spans="1:5" x14ac:dyDescent="0.25">
      <c r="A83" s="88">
        <v>74</v>
      </c>
      <c r="B83" s="89">
        <v>12.86</v>
      </c>
      <c r="C83" s="89">
        <v>12.86</v>
      </c>
      <c r="D83" s="89">
        <v>12.86</v>
      </c>
      <c r="E83" s="89">
        <v>12.86</v>
      </c>
    </row>
    <row r="84" spans="1:5" x14ac:dyDescent="0.25">
      <c r="A84" s="88">
        <v>75</v>
      </c>
      <c r="B84" s="89">
        <v>12.24</v>
      </c>
      <c r="C84" s="89">
        <v>12.24</v>
      </c>
      <c r="D84" s="89">
        <v>12.24</v>
      </c>
      <c r="E84" s="89">
        <v>12.24</v>
      </c>
    </row>
    <row r="85" spans="1:5" x14ac:dyDescent="0.25">
      <c r="A85" s="88">
        <v>76</v>
      </c>
      <c r="B85" s="89">
        <v>11.63</v>
      </c>
      <c r="C85" s="89">
        <v>11.63</v>
      </c>
      <c r="D85" s="89">
        <v>11.63</v>
      </c>
      <c r="E85" s="89">
        <v>11.63</v>
      </c>
    </row>
    <row r="86" spans="1:5" x14ac:dyDescent="0.25">
      <c r="A86" s="88">
        <v>77</v>
      </c>
      <c r="B86" s="89">
        <v>11.02</v>
      </c>
      <c r="C86" s="89">
        <v>11.02</v>
      </c>
      <c r="D86" s="89">
        <v>11.02</v>
      </c>
      <c r="E86" s="89">
        <v>11.02</v>
      </c>
    </row>
    <row r="87" spans="1:5" x14ac:dyDescent="0.25">
      <c r="A87" s="88">
        <v>78</v>
      </c>
      <c r="B87" s="89">
        <v>10.42</v>
      </c>
      <c r="C87" s="89">
        <v>10.42</v>
      </c>
      <c r="D87" s="89">
        <v>10.42</v>
      </c>
      <c r="E87" s="89">
        <v>10.42</v>
      </c>
    </row>
    <row r="88" spans="1:5" x14ac:dyDescent="0.25">
      <c r="A88" s="88">
        <v>79</v>
      </c>
      <c r="B88" s="89">
        <v>9.83</v>
      </c>
      <c r="C88" s="89">
        <v>9.83</v>
      </c>
      <c r="D88" s="89">
        <v>9.83</v>
      </c>
      <c r="E88" s="89">
        <v>9.83</v>
      </c>
    </row>
    <row r="89" spans="1:5" x14ac:dyDescent="0.25">
      <c r="A89" s="88">
        <v>80</v>
      </c>
      <c r="B89" s="89">
        <v>9.26</v>
      </c>
      <c r="C89" s="89">
        <v>9.26</v>
      </c>
      <c r="D89" s="89">
        <v>9.26</v>
      </c>
      <c r="E89" s="89">
        <v>9.26</v>
      </c>
    </row>
    <row r="90" spans="1:5" x14ac:dyDescent="0.25">
      <c r="A90" s="88">
        <v>81</v>
      </c>
      <c r="B90" s="89">
        <v>8.69</v>
      </c>
      <c r="C90" s="89">
        <v>8.69</v>
      </c>
      <c r="D90" s="89">
        <v>8.69</v>
      </c>
      <c r="E90" s="89">
        <v>8.69</v>
      </c>
    </row>
    <row r="91" spans="1:5" x14ac:dyDescent="0.25">
      <c r="A91" s="88">
        <v>82</v>
      </c>
      <c r="B91" s="89">
        <v>8.14</v>
      </c>
      <c r="C91" s="89">
        <v>8.14</v>
      </c>
      <c r="D91" s="89">
        <v>8.14</v>
      </c>
      <c r="E91" s="89">
        <v>8.14</v>
      </c>
    </row>
    <row r="92" spans="1:5" x14ac:dyDescent="0.25">
      <c r="A92" s="88">
        <v>83</v>
      </c>
      <c r="B92" s="89">
        <v>7.6</v>
      </c>
      <c r="C92" s="89">
        <v>7.6</v>
      </c>
      <c r="D92" s="89">
        <v>7.6</v>
      </c>
      <c r="E92" s="89">
        <v>7.6</v>
      </c>
    </row>
    <row r="93" spans="1:5" x14ac:dyDescent="0.25">
      <c r="A93" s="88">
        <v>84</v>
      </c>
      <c r="B93" s="89">
        <v>7.08</v>
      </c>
      <c r="C93" s="89">
        <v>7.08</v>
      </c>
      <c r="D93" s="89">
        <v>7.08</v>
      </c>
      <c r="E93" s="89">
        <v>7.08</v>
      </c>
    </row>
    <row r="94" spans="1:5" x14ac:dyDescent="0.25">
      <c r="A94" s="88">
        <v>85</v>
      </c>
      <c r="B94" s="89">
        <v>6.58</v>
      </c>
      <c r="C94" s="89">
        <v>6.58</v>
      </c>
      <c r="D94" s="89">
        <v>6.58</v>
      </c>
      <c r="E94" s="89">
        <v>6.58</v>
      </c>
    </row>
  </sheetData>
  <sheetProtection algorithmName="SHA-512" hashValue="bPj4FcqxRFVm4yjby4+Kc7YkF9NzqmP0id5mTJNJvrl0qaR0rOhzJehDIVR8MNMW8EtwdaX/s4dqIK9MzDllaA==" saltValue="FFnA04Qxj4Q+aGc8GpLwcw==" spinCount="100000" sheet="1" objects="1" scenarios="1"/>
  <conditionalFormatting sqref="A6:A16">
    <cfRule type="expression" dxfId="979" priority="21" stopIfTrue="1">
      <formula>MOD(ROW(),2)=0</formula>
    </cfRule>
    <cfRule type="expression" dxfId="978" priority="22" stopIfTrue="1">
      <formula>MOD(ROW(),2)&lt;&gt;0</formula>
    </cfRule>
  </conditionalFormatting>
  <conditionalFormatting sqref="B6:E21">
    <cfRule type="expression" dxfId="977" priority="23" stopIfTrue="1">
      <formula>MOD(ROW(),2)=0</formula>
    </cfRule>
    <cfRule type="expression" dxfId="976" priority="24" stopIfTrue="1">
      <formula>MOD(ROW(),2)&lt;&gt;0</formula>
    </cfRule>
  </conditionalFormatting>
  <conditionalFormatting sqref="A17:A20">
    <cfRule type="expression" dxfId="975" priority="13" stopIfTrue="1">
      <formula>MOD(ROW(),2)=0</formula>
    </cfRule>
    <cfRule type="expression" dxfId="974" priority="14" stopIfTrue="1">
      <formula>MOD(ROW(),2)&lt;&gt;0</formula>
    </cfRule>
  </conditionalFormatting>
  <conditionalFormatting sqref="B17:B18 B20:B21">
    <cfRule type="expression" dxfId="973" priority="15" stopIfTrue="1">
      <formula>MOD(ROW(),2)=0</formula>
    </cfRule>
    <cfRule type="expression" dxfId="972" priority="16" stopIfTrue="1">
      <formula>MOD(ROW(),2)&lt;&gt;0</formula>
    </cfRule>
  </conditionalFormatting>
  <conditionalFormatting sqref="A26:A94">
    <cfRule type="expression" dxfId="971" priority="7" stopIfTrue="1">
      <formula>MOD(ROW(),2)=0</formula>
    </cfRule>
    <cfRule type="expression" dxfId="970" priority="8" stopIfTrue="1">
      <formula>MOD(ROW(),2)&lt;&gt;0</formula>
    </cfRule>
  </conditionalFormatting>
  <conditionalFormatting sqref="B26:E94">
    <cfRule type="expression" dxfId="969" priority="9" stopIfTrue="1">
      <formula>MOD(ROW(),2)=0</formula>
    </cfRule>
    <cfRule type="expression" dxfId="968" priority="10" stopIfTrue="1">
      <formula>MOD(ROW(),2)&lt;&gt;0</formula>
    </cfRule>
  </conditionalFormatting>
  <conditionalFormatting sqref="B19">
    <cfRule type="expression" dxfId="967" priority="5" stopIfTrue="1">
      <formula>MOD(ROW(),2)=0</formula>
    </cfRule>
    <cfRule type="expression" dxfId="966" priority="6" stopIfTrue="1">
      <formula>MOD(ROW(),2)&lt;&gt;0</formula>
    </cfRule>
  </conditionalFormatting>
  <conditionalFormatting sqref="A21">
    <cfRule type="expression" dxfId="965" priority="1" stopIfTrue="1">
      <formula>MOD(ROW(),2)=0</formula>
    </cfRule>
    <cfRule type="expression" dxfId="964" priority="2" stopIfTrue="1">
      <formula>MOD(ROW(),2)&lt;&gt;0</formula>
    </cfRule>
  </conditionalFormatting>
  <hyperlinks>
    <hyperlink ref="B24" location="Assumptions!A1" display="Assumptions" xr:uid="{78EA1A60-3D31-421C-935A-7B806940F0AB}"/>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Sheet62"/>
  <dimension ref="A1:I94"/>
  <sheetViews>
    <sheetView showGridLines="0" zoomScale="85" zoomScaleNormal="85" workbookViewId="0">
      <selection activeCell="B18" sqref="B18"/>
    </sheetView>
  </sheetViews>
  <sheetFormatPr defaultColWidth="10" defaultRowHeight="12.5" x14ac:dyDescent="0.25"/>
  <cols>
    <col min="1" max="1" width="31.81640625" style="28" customWidth="1"/>
    <col min="2" max="5" width="22.81640625" style="28" customWidth="1"/>
    <col min="6" max="16384" width="10" style="28"/>
  </cols>
  <sheetData>
    <row r="1" spans="1:9" ht="20" x14ac:dyDescent="0.4">
      <c r="A1" s="40" t="s">
        <v>227</v>
      </c>
      <c r="B1" s="41"/>
      <c r="C1" s="41"/>
      <c r="D1" s="41"/>
      <c r="E1" s="41"/>
      <c r="F1" s="41"/>
      <c r="G1" s="41"/>
      <c r="H1" s="41"/>
      <c r="I1" s="41"/>
    </row>
    <row r="2" spans="1:9" ht="15.5" x14ac:dyDescent="0.35">
      <c r="A2" s="42" t="str">
        <f>IF(title="&gt; Enter workbook title here","Enter workbook title in Cover sheet",title)</f>
        <v>Fire Northern Ireland - Consolidated Factor Spreadsheet</v>
      </c>
      <c r="B2" s="43"/>
      <c r="C2" s="43"/>
      <c r="D2" s="43"/>
      <c r="E2" s="43"/>
      <c r="F2" s="43"/>
      <c r="G2" s="43"/>
      <c r="H2" s="43"/>
      <c r="I2" s="43"/>
    </row>
    <row r="3" spans="1:9" ht="15.5" x14ac:dyDescent="0.35">
      <c r="A3" s="44" t="str">
        <f>TABLE_FACTOR_TYPE_1&amp;" - x-"&amp;TABLE_SERIES_NUMBER_1</f>
        <v>Pension Credit - x-317</v>
      </c>
      <c r="B3" s="43"/>
      <c r="C3" s="43"/>
      <c r="D3" s="43"/>
      <c r="E3" s="43"/>
      <c r="F3" s="43"/>
      <c r="G3" s="43"/>
      <c r="H3" s="43"/>
      <c r="I3" s="43"/>
    </row>
    <row r="4" spans="1:9" x14ac:dyDescent="0.25">
      <c r="A4" s="45"/>
    </row>
    <row r="6" spans="1:9" ht="13" x14ac:dyDescent="0.3">
      <c r="A6" s="75" t="s">
        <v>562</v>
      </c>
      <c r="B6" s="159" t="s">
        <v>563</v>
      </c>
      <c r="C6" s="159"/>
      <c r="D6" s="159"/>
      <c r="E6" s="159"/>
    </row>
    <row r="7" spans="1:9" x14ac:dyDescent="0.25">
      <c r="A7" s="77" t="s">
        <v>305</v>
      </c>
      <c r="B7" s="159" t="s">
        <v>319</v>
      </c>
      <c r="C7" s="159"/>
      <c r="D7" s="159"/>
      <c r="E7" s="159"/>
    </row>
    <row r="8" spans="1:9" x14ac:dyDescent="0.25">
      <c r="A8" s="77" t="s">
        <v>306</v>
      </c>
      <c r="B8" s="159">
        <v>2015</v>
      </c>
      <c r="C8" s="159"/>
      <c r="D8" s="159"/>
      <c r="E8" s="159"/>
    </row>
    <row r="9" spans="1:9" x14ac:dyDescent="0.25">
      <c r="A9" s="77" t="s">
        <v>307</v>
      </c>
      <c r="B9" s="159" t="s">
        <v>387</v>
      </c>
      <c r="C9" s="159"/>
      <c r="D9" s="159"/>
      <c r="E9" s="159"/>
    </row>
    <row r="10" spans="1:9" x14ac:dyDescent="0.25">
      <c r="A10" s="77" t="s">
        <v>233</v>
      </c>
      <c r="B10" s="159" t="s">
        <v>399</v>
      </c>
      <c r="C10" s="159"/>
      <c r="D10" s="159"/>
      <c r="E10" s="159"/>
    </row>
    <row r="11" spans="1:9" x14ac:dyDescent="0.25">
      <c r="A11" s="77" t="s">
        <v>308</v>
      </c>
      <c r="B11" s="159" t="s">
        <v>323</v>
      </c>
      <c r="C11" s="159"/>
      <c r="D11" s="159"/>
      <c r="E11" s="159"/>
    </row>
    <row r="12" spans="1:9" x14ac:dyDescent="0.25">
      <c r="A12" s="77" t="s">
        <v>309</v>
      </c>
      <c r="B12" s="159" t="s">
        <v>324</v>
      </c>
      <c r="C12" s="159"/>
      <c r="D12" s="159"/>
      <c r="E12" s="159"/>
    </row>
    <row r="13" spans="1:9" x14ac:dyDescent="0.25">
      <c r="A13" s="77" t="s">
        <v>570</v>
      </c>
      <c r="B13" s="159">
        <v>0</v>
      </c>
      <c r="C13" s="159"/>
      <c r="D13" s="159"/>
      <c r="E13" s="159"/>
    </row>
    <row r="14" spans="1:9" x14ac:dyDescent="0.25">
      <c r="A14" s="77" t="s">
        <v>311</v>
      </c>
      <c r="B14" s="159">
        <v>317</v>
      </c>
      <c r="C14" s="159"/>
      <c r="D14" s="159"/>
      <c r="E14" s="159"/>
    </row>
    <row r="15" spans="1:9" x14ac:dyDescent="0.25">
      <c r="A15" s="77" t="s">
        <v>573</v>
      </c>
      <c r="B15" s="159" t="s">
        <v>400</v>
      </c>
      <c r="C15" s="159"/>
      <c r="D15" s="159"/>
      <c r="E15" s="159"/>
    </row>
    <row r="16" spans="1:9" x14ac:dyDescent="0.25">
      <c r="A16" s="77" t="s">
        <v>313</v>
      </c>
      <c r="B16" s="159" t="s">
        <v>401</v>
      </c>
      <c r="C16" s="159"/>
      <c r="D16" s="159"/>
      <c r="E16" s="159"/>
    </row>
    <row r="17" spans="1:5" x14ac:dyDescent="0.25">
      <c r="A17" s="77" t="s">
        <v>642</v>
      </c>
      <c r="B17" s="159"/>
      <c r="C17" s="159"/>
      <c r="D17" s="159"/>
      <c r="E17" s="159"/>
    </row>
    <row r="18" spans="1:5" x14ac:dyDescent="0.25">
      <c r="A18" s="77" t="s">
        <v>315</v>
      </c>
      <c r="B18" s="161">
        <v>45070</v>
      </c>
      <c r="C18" s="159"/>
      <c r="D18" s="159"/>
      <c r="E18" s="159"/>
    </row>
    <row r="19" spans="1:5" x14ac:dyDescent="0.25">
      <c r="A19" s="77" t="s">
        <v>316</v>
      </c>
      <c r="B19" s="161">
        <v>45014</v>
      </c>
      <c r="C19" s="159"/>
      <c r="D19" s="159"/>
      <c r="E19" s="159"/>
    </row>
    <row r="20" spans="1:5" x14ac:dyDescent="0.25">
      <c r="A20" s="77" t="s">
        <v>317</v>
      </c>
      <c r="B20" s="159" t="s">
        <v>327</v>
      </c>
      <c r="C20" s="159"/>
      <c r="D20" s="159"/>
      <c r="E20" s="159"/>
    </row>
    <row r="21" spans="1:5" x14ac:dyDescent="0.25">
      <c r="A21" s="77" t="s">
        <v>318</v>
      </c>
      <c r="B21" s="159" t="s">
        <v>328</v>
      </c>
      <c r="C21" s="159"/>
      <c r="D21" s="159"/>
      <c r="E21" s="159"/>
    </row>
    <row r="23" spans="1:5" x14ac:dyDescent="0.25">
      <c r="B23" s="91" t="str">
        <f>HYPERLINK("#'Factor List'!A1","Back to Factor List")</f>
        <v>Back to Factor List</v>
      </c>
    </row>
    <row r="24" spans="1:5" x14ac:dyDescent="0.25">
      <c r="B24" s="91" t="s">
        <v>240</v>
      </c>
    </row>
    <row r="25" spans="1:5" x14ac:dyDescent="0.25">
      <c r="B25" s="91"/>
    </row>
    <row r="26" spans="1:5" ht="13" x14ac:dyDescent="0.25">
      <c r="A26" s="87" t="s">
        <v>643</v>
      </c>
      <c r="B26" s="87" t="s">
        <v>663</v>
      </c>
      <c r="C26" s="87" t="s">
        <v>664</v>
      </c>
      <c r="D26" s="87" t="s">
        <v>665</v>
      </c>
      <c r="E26" s="87" t="s">
        <v>666</v>
      </c>
    </row>
    <row r="27" spans="1:5" x14ac:dyDescent="0.25">
      <c r="A27" s="88">
        <v>18</v>
      </c>
      <c r="B27" s="89">
        <v>9.17</v>
      </c>
      <c r="C27" s="89">
        <v>8.74</v>
      </c>
      <c r="D27" s="89">
        <v>8.33</v>
      </c>
      <c r="E27" s="89">
        <v>7.92</v>
      </c>
    </row>
    <row r="28" spans="1:5" x14ac:dyDescent="0.25">
      <c r="A28" s="88">
        <v>19</v>
      </c>
      <c r="B28" s="89">
        <v>9.3000000000000007</v>
      </c>
      <c r="C28" s="89">
        <v>8.8699999999999992</v>
      </c>
      <c r="D28" s="89">
        <v>8.44</v>
      </c>
      <c r="E28" s="89">
        <v>8.0299999999999994</v>
      </c>
    </row>
    <row r="29" spans="1:5" x14ac:dyDescent="0.25">
      <c r="A29" s="88">
        <v>20</v>
      </c>
      <c r="B29" s="89">
        <v>9.43</v>
      </c>
      <c r="C29" s="89">
        <v>8.99</v>
      </c>
      <c r="D29" s="89">
        <v>8.56</v>
      </c>
      <c r="E29" s="89">
        <v>8.14</v>
      </c>
    </row>
    <row r="30" spans="1:5" x14ac:dyDescent="0.25">
      <c r="A30" s="88">
        <v>21</v>
      </c>
      <c r="B30" s="89">
        <v>9.56</v>
      </c>
      <c r="C30" s="89">
        <v>9.11</v>
      </c>
      <c r="D30" s="89">
        <v>8.68</v>
      </c>
      <c r="E30" s="89">
        <v>8.25</v>
      </c>
    </row>
    <row r="31" spans="1:5" x14ac:dyDescent="0.25">
      <c r="A31" s="88">
        <v>22</v>
      </c>
      <c r="B31" s="89">
        <v>9.69</v>
      </c>
      <c r="C31" s="89">
        <v>9.24</v>
      </c>
      <c r="D31" s="89">
        <v>8.8000000000000007</v>
      </c>
      <c r="E31" s="89">
        <v>8.36</v>
      </c>
    </row>
    <row r="32" spans="1:5" x14ac:dyDescent="0.25">
      <c r="A32" s="88">
        <v>23</v>
      </c>
      <c r="B32" s="89">
        <v>9.83</v>
      </c>
      <c r="C32" s="89">
        <v>9.3699999999999992</v>
      </c>
      <c r="D32" s="89">
        <v>8.92</v>
      </c>
      <c r="E32" s="89">
        <v>8.48</v>
      </c>
    </row>
    <row r="33" spans="1:5" x14ac:dyDescent="0.25">
      <c r="A33" s="88">
        <v>24</v>
      </c>
      <c r="B33" s="89">
        <v>9.9700000000000006</v>
      </c>
      <c r="C33" s="89">
        <v>9.5</v>
      </c>
      <c r="D33" s="89">
        <v>9.0399999999999991</v>
      </c>
      <c r="E33" s="89">
        <v>8.59</v>
      </c>
    </row>
    <row r="34" spans="1:5" x14ac:dyDescent="0.25">
      <c r="A34" s="88">
        <v>25</v>
      </c>
      <c r="B34" s="89">
        <v>10.11</v>
      </c>
      <c r="C34" s="89">
        <v>9.6300000000000008</v>
      </c>
      <c r="D34" s="89">
        <v>9.17</v>
      </c>
      <c r="E34" s="89">
        <v>8.7100000000000009</v>
      </c>
    </row>
    <row r="35" spans="1:5" x14ac:dyDescent="0.25">
      <c r="A35" s="88">
        <v>26</v>
      </c>
      <c r="B35" s="89">
        <v>10.25</v>
      </c>
      <c r="C35" s="89">
        <v>9.77</v>
      </c>
      <c r="D35" s="89">
        <v>9.2899999999999991</v>
      </c>
      <c r="E35" s="89">
        <v>8.83</v>
      </c>
    </row>
    <row r="36" spans="1:5" x14ac:dyDescent="0.25">
      <c r="A36" s="88">
        <v>27</v>
      </c>
      <c r="B36" s="89">
        <v>10.39</v>
      </c>
      <c r="C36" s="89">
        <v>9.9</v>
      </c>
      <c r="D36" s="89">
        <v>9.42</v>
      </c>
      <c r="E36" s="89">
        <v>8.9499999999999993</v>
      </c>
    </row>
    <row r="37" spans="1:5" x14ac:dyDescent="0.25">
      <c r="A37" s="88">
        <v>28</v>
      </c>
      <c r="B37" s="89">
        <v>10.54</v>
      </c>
      <c r="C37" s="89">
        <v>10.039999999999999</v>
      </c>
      <c r="D37" s="89">
        <v>9.5500000000000007</v>
      </c>
      <c r="E37" s="89">
        <v>9.07</v>
      </c>
    </row>
    <row r="38" spans="1:5" x14ac:dyDescent="0.25">
      <c r="A38" s="88">
        <v>29</v>
      </c>
      <c r="B38" s="89">
        <v>10.69</v>
      </c>
      <c r="C38" s="89">
        <v>10.18</v>
      </c>
      <c r="D38" s="89">
        <v>9.68</v>
      </c>
      <c r="E38" s="89">
        <v>9.1999999999999993</v>
      </c>
    </row>
    <row r="39" spans="1:5" x14ac:dyDescent="0.25">
      <c r="A39" s="88">
        <v>30</v>
      </c>
      <c r="B39" s="89">
        <v>10.84</v>
      </c>
      <c r="C39" s="89">
        <v>10.32</v>
      </c>
      <c r="D39" s="89">
        <v>9.82</v>
      </c>
      <c r="E39" s="89">
        <v>9.32</v>
      </c>
    </row>
    <row r="40" spans="1:5" x14ac:dyDescent="0.25">
      <c r="A40" s="88">
        <v>31</v>
      </c>
      <c r="B40" s="89">
        <v>10.99</v>
      </c>
      <c r="C40" s="89">
        <v>10.46</v>
      </c>
      <c r="D40" s="89">
        <v>9.9499999999999993</v>
      </c>
      <c r="E40" s="89">
        <v>9.4499999999999993</v>
      </c>
    </row>
    <row r="41" spans="1:5" x14ac:dyDescent="0.25">
      <c r="A41" s="88">
        <v>32</v>
      </c>
      <c r="B41" s="89">
        <v>11.15</v>
      </c>
      <c r="C41" s="89">
        <v>10.61</v>
      </c>
      <c r="D41" s="89">
        <v>10.09</v>
      </c>
      <c r="E41" s="89">
        <v>9.58</v>
      </c>
    </row>
    <row r="42" spans="1:5" x14ac:dyDescent="0.25">
      <c r="A42" s="88">
        <v>33</v>
      </c>
      <c r="B42" s="89">
        <v>11.3</v>
      </c>
      <c r="C42" s="89">
        <v>10.76</v>
      </c>
      <c r="D42" s="89">
        <v>10.23</v>
      </c>
      <c r="E42" s="89">
        <v>9.7100000000000009</v>
      </c>
    </row>
    <row r="43" spans="1:5" x14ac:dyDescent="0.25">
      <c r="A43" s="88">
        <v>34</v>
      </c>
      <c r="B43" s="89">
        <v>11.46</v>
      </c>
      <c r="C43" s="89">
        <v>10.91</v>
      </c>
      <c r="D43" s="89">
        <v>10.37</v>
      </c>
      <c r="E43" s="89">
        <v>9.84</v>
      </c>
    </row>
    <row r="44" spans="1:5" x14ac:dyDescent="0.25">
      <c r="A44" s="88">
        <v>35</v>
      </c>
      <c r="B44" s="89">
        <v>11.63</v>
      </c>
      <c r="C44" s="89">
        <v>11.06</v>
      </c>
      <c r="D44" s="89">
        <v>10.52</v>
      </c>
      <c r="E44" s="89">
        <v>9.98</v>
      </c>
    </row>
    <row r="45" spans="1:5" x14ac:dyDescent="0.25">
      <c r="A45" s="88">
        <v>36</v>
      </c>
      <c r="B45" s="89">
        <v>11.79</v>
      </c>
      <c r="C45" s="89">
        <v>11.22</v>
      </c>
      <c r="D45" s="89">
        <v>10.66</v>
      </c>
      <c r="E45" s="89">
        <v>10.119999999999999</v>
      </c>
    </row>
    <row r="46" spans="1:5" x14ac:dyDescent="0.25">
      <c r="A46" s="88">
        <v>37</v>
      </c>
      <c r="B46" s="89">
        <v>11.96</v>
      </c>
      <c r="C46" s="89">
        <v>11.38</v>
      </c>
      <c r="D46" s="89">
        <v>10.81</v>
      </c>
      <c r="E46" s="89">
        <v>10.26</v>
      </c>
    </row>
    <row r="47" spans="1:5" x14ac:dyDescent="0.25">
      <c r="A47" s="88">
        <v>38</v>
      </c>
      <c r="B47" s="89">
        <v>12.13</v>
      </c>
      <c r="C47" s="89">
        <v>11.54</v>
      </c>
      <c r="D47" s="89">
        <v>10.96</v>
      </c>
      <c r="E47" s="89">
        <v>10.4</v>
      </c>
    </row>
    <row r="48" spans="1:5" x14ac:dyDescent="0.25">
      <c r="A48" s="88">
        <v>39</v>
      </c>
      <c r="B48" s="89">
        <v>12.31</v>
      </c>
      <c r="C48" s="89">
        <v>11.71</v>
      </c>
      <c r="D48" s="89">
        <v>11.12</v>
      </c>
      <c r="E48" s="89">
        <v>10.55</v>
      </c>
    </row>
    <row r="49" spans="1:5" x14ac:dyDescent="0.25">
      <c r="A49" s="88">
        <v>40</v>
      </c>
      <c r="B49" s="89">
        <v>12.48</v>
      </c>
      <c r="C49" s="89">
        <v>11.87</v>
      </c>
      <c r="D49" s="89">
        <v>11.28</v>
      </c>
      <c r="E49" s="89">
        <v>10.69</v>
      </c>
    </row>
    <row r="50" spans="1:5" x14ac:dyDescent="0.25">
      <c r="A50" s="88">
        <v>41</v>
      </c>
      <c r="B50" s="89">
        <v>12.67</v>
      </c>
      <c r="C50" s="89">
        <v>12.05</v>
      </c>
      <c r="D50" s="89">
        <v>11.44</v>
      </c>
      <c r="E50" s="89">
        <v>10.85</v>
      </c>
    </row>
    <row r="51" spans="1:5" x14ac:dyDescent="0.25">
      <c r="A51" s="88">
        <v>42</v>
      </c>
      <c r="B51" s="89">
        <v>12.85</v>
      </c>
      <c r="C51" s="89">
        <v>12.22</v>
      </c>
      <c r="D51" s="89">
        <v>11.6</v>
      </c>
      <c r="E51" s="89">
        <v>11</v>
      </c>
    </row>
    <row r="52" spans="1:5" x14ac:dyDescent="0.25">
      <c r="A52" s="88">
        <v>43</v>
      </c>
      <c r="B52" s="89">
        <v>13.04</v>
      </c>
      <c r="C52" s="89">
        <v>12.4</v>
      </c>
      <c r="D52" s="89">
        <v>11.77</v>
      </c>
      <c r="E52" s="89">
        <v>11.16</v>
      </c>
    </row>
    <row r="53" spans="1:5" x14ac:dyDescent="0.25">
      <c r="A53" s="88">
        <v>44</v>
      </c>
      <c r="B53" s="89">
        <v>13.24</v>
      </c>
      <c r="C53" s="89">
        <v>12.58</v>
      </c>
      <c r="D53" s="89">
        <v>11.94</v>
      </c>
      <c r="E53" s="89">
        <v>11.32</v>
      </c>
    </row>
    <row r="54" spans="1:5" x14ac:dyDescent="0.25">
      <c r="A54" s="88">
        <v>45</v>
      </c>
      <c r="B54" s="89">
        <v>13.44</v>
      </c>
      <c r="C54" s="89">
        <v>12.77</v>
      </c>
      <c r="D54" s="89">
        <v>12.12</v>
      </c>
      <c r="E54" s="89">
        <v>11.49</v>
      </c>
    </row>
    <row r="55" spans="1:5" x14ac:dyDescent="0.25">
      <c r="A55" s="88">
        <v>46</v>
      </c>
      <c r="B55" s="89">
        <v>13.64</v>
      </c>
      <c r="C55" s="89">
        <v>12.96</v>
      </c>
      <c r="D55" s="89">
        <v>12.3</v>
      </c>
      <c r="E55" s="89">
        <v>11.66</v>
      </c>
    </row>
    <row r="56" spans="1:5" x14ac:dyDescent="0.25">
      <c r="A56" s="88">
        <v>47</v>
      </c>
      <c r="B56" s="89">
        <v>13.85</v>
      </c>
      <c r="C56" s="89">
        <v>13.16</v>
      </c>
      <c r="D56" s="89">
        <v>12.49</v>
      </c>
      <c r="E56" s="89">
        <v>11.83</v>
      </c>
    </row>
    <row r="57" spans="1:5" x14ac:dyDescent="0.25">
      <c r="A57" s="88">
        <v>48</v>
      </c>
      <c r="B57" s="89">
        <v>14.07</v>
      </c>
      <c r="C57" s="89">
        <v>13.37</v>
      </c>
      <c r="D57" s="89">
        <v>12.68</v>
      </c>
      <c r="E57" s="89">
        <v>12.01</v>
      </c>
    </row>
    <row r="58" spans="1:5" x14ac:dyDescent="0.25">
      <c r="A58" s="88">
        <v>49</v>
      </c>
      <c r="B58" s="89">
        <v>14.29</v>
      </c>
      <c r="C58" s="89">
        <v>13.58</v>
      </c>
      <c r="D58" s="89">
        <v>12.88</v>
      </c>
      <c r="E58" s="89">
        <v>12.19</v>
      </c>
    </row>
    <row r="59" spans="1:5" x14ac:dyDescent="0.25">
      <c r="A59" s="88">
        <v>50</v>
      </c>
      <c r="B59" s="89">
        <v>14.52</v>
      </c>
      <c r="C59" s="89">
        <v>13.79</v>
      </c>
      <c r="D59" s="89">
        <v>13.08</v>
      </c>
      <c r="E59" s="89">
        <v>12.38</v>
      </c>
    </row>
    <row r="60" spans="1:5" x14ac:dyDescent="0.25">
      <c r="A60" s="88">
        <v>51</v>
      </c>
      <c r="B60" s="89">
        <v>14.76</v>
      </c>
      <c r="C60" s="89">
        <v>14.01</v>
      </c>
      <c r="D60" s="89">
        <v>13.29</v>
      </c>
      <c r="E60" s="89">
        <v>12.58</v>
      </c>
    </row>
    <row r="61" spans="1:5" x14ac:dyDescent="0.25">
      <c r="A61" s="88">
        <v>52</v>
      </c>
      <c r="B61" s="89">
        <v>15</v>
      </c>
      <c r="C61" s="89">
        <v>14.24</v>
      </c>
      <c r="D61" s="89">
        <v>13.5</v>
      </c>
      <c r="E61" s="89">
        <v>12.78</v>
      </c>
    </row>
    <row r="62" spans="1:5" x14ac:dyDescent="0.25">
      <c r="A62" s="88">
        <v>53</v>
      </c>
      <c r="B62" s="89">
        <v>15.25</v>
      </c>
      <c r="C62" s="89">
        <v>14.48</v>
      </c>
      <c r="D62" s="89">
        <v>13.72</v>
      </c>
      <c r="E62" s="89">
        <v>12.99</v>
      </c>
    </row>
    <row r="63" spans="1:5" x14ac:dyDescent="0.25">
      <c r="A63" s="88">
        <v>54</v>
      </c>
      <c r="B63" s="89">
        <v>15.51</v>
      </c>
      <c r="C63" s="89">
        <v>14.72</v>
      </c>
      <c r="D63" s="89">
        <v>13.95</v>
      </c>
      <c r="E63" s="89">
        <v>13.2</v>
      </c>
    </row>
    <row r="64" spans="1:5" x14ac:dyDescent="0.25">
      <c r="A64" s="88">
        <v>55</v>
      </c>
      <c r="B64" s="89">
        <v>15.77</v>
      </c>
      <c r="C64" s="89">
        <v>14.97</v>
      </c>
      <c r="D64" s="89">
        <v>14.18</v>
      </c>
      <c r="E64" s="89">
        <v>13.42</v>
      </c>
    </row>
    <row r="65" spans="1:5" x14ac:dyDescent="0.25">
      <c r="A65" s="88">
        <v>56</v>
      </c>
      <c r="B65" s="89">
        <v>16.04</v>
      </c>
      <c r="C65" s="89">
        <v>15.22</v>
      </c>
      <c r="D65" s="89">
        <v>14.42</v>
      </c>
      <c r="E65" s="89">
        <v>13.64</v>
      </c>
    </row>
    <row r="66" spans="1:5" x14ac:dyDescent="0.25">
      <c r="A66" s="88">
        <v>57</v>
      </c>
      <c r="B66" s="89">
        <v>16.329999999999998</v>
      </c>
      <c r="C66" s="89">
        <v>15.49</v>
      </c>
      <c r="D66" s="89">
        <v>14.67</v>
      </c>
      <c r="E66" s="89">
        <v>13.88</v>
      </c>
    </row>
    <row r="67" spans="1:5" x14ac:dyDescent="0.25">
      <c r="A67" s="88">
        <v>58</v>
      </c>
      <c r="B67" s="89">
        <v>16.62</v>
      </c>
      <c r="C67" s="89">
        <v>15.77</v>
      </c>
      <c r="D67" s="89">
        <v>14.93</v>
      </c>
      <c r="E67" s="89">
        <v>14.12</v>
      </c>
    </row>
    <row r="68" spans="1:5" x14ac:dyDescent="0.25">
      <c r="A68" s="88">
        <v>59</v>
      </c>
      <c r="B68" s="89">
        <v>16.920000000000002</v>
      </c>
      <c r="C68" s="89">
        <v>16.05</v>
      </c>
      <c r="D68" s="89">
        <v>15.2</v>
      </c>
      <c r="E68" s="89">
        <v>14.37</v>
      </c>
    </row>
    <row r="69" spans="1:5" x14ac:dyDescent="0.25">
      <c r="A69" s="88">
        <v>60</v>
      </c>
      <c r="B69" s="89">
        <v>17.239999999999998</v>
      </c>
      <c r="C69" s="89">
        <v>16.350000000000001</v>
      </c>
      <c r="D69" s="89">
        <v>15.48</v>
      </c>
      <c r="E69" s="89">
        <v>14.63</v>
      </c>
    </row>
    <row r="70" spans="1:5" x14ac:dyDescent="0.25">
      <c r="A70" s="88">
        <v>61</v>
      </c>
      <c r="B70" s="89">
        <v>17.57</v>
      </c>
      <c r="C70" s="89">
        <v>16.66</v>
      </c>
      <c r="D70" s="89">
        <v>15.77</v>
      </c>
      <c r="E70" s="89">
        <v>14.91</v>
      </c>
    </row>
    <row r="71" spans="1:5" x14ac:dyDescent="0.25">
      <c r="A71" s="88">
        <v>62</v>
      </c>
      <c r="B71" s="89">
        <v>17.91</v>
      </c>
      <c r="C71" s="89">
        <v>16.98</v>
      </c>
      <c r="D71" s="89">
        <v>16.07</v>
      </c>
      <c r="E71" s="89">
        <v>15.19</v>
      </c>
    </row>
    <row r="72" spans="1:5" x14ac:dyDescent="0.25">
      <c r="A72" s="88">
        <v>63</v>
      </c>
      <c r="B72" s="89">
        <v>18.27</v>
      </c>
      <c r="C72" s="89">
        <v>17.32</v>
      </c>
      <c r="D72" s="89">
        <v>16.39</v>
      </c>
      <c r="E72" s="89">
        <v>15.48</v>
      </c>
    </row>
    <row r="73" spans="1:5" x14ac:dyDescent="0.25">
      <c r="A73" s="88">
        <v>64</v>
      </c>
      <c r="B73" s="89">
        <v>18.64</v>
      </c>
      <c r="C73" s="89">
        <v>17.670000000000002</v>
      </c>
      <c r="D73" s="89">
        <v>16.72</v>
      </c>
      <c r="E73" s="89">
        <v>15.8</v>
      </c>
    </row>
    <row r="74" spans="1:5" x14ac:dyDescent="0.25">
      <c r="A74" s="88">
        <v>65</v>
      </c>
      <c r="B74" s="89">
        <v>18.52</v>
      </c>
      <c r="C74" s="89">
        <v>18.04</v>
      </c>
      <c r="D74" s="89">
        <v>17.07</v>
      </c>
      <c r="E74" s="89">
        <v>16.12</v>
      </c>
    </row>
    <row r="75" spans="1:5" x14ac:dyDescent="0.25">
      <c r="A75" s="88">
        <v>66</v>
      </c>
      <c r="B75" s="89">
        <v>17.88</v>
      </c>
      <c r="C75" s="89">
        <v>17.91</v>
      </c>
      <c r="D75" s="89">
        <v>17.440000000000001</v>
      </c>
      <c r="E75" s="89">
        <v>16.47</v>
      </c>
    </row>
    <row r="76" spans="1:5" x14ac:dyDescent="0.25">
      <c r="A76" s="88">
        <v>67</v>
      </c>
      <c r="B76" s="89">
        <v>17.239999999999998</v>
      </c>
      <c r="C76" s="89">
        <v>17.27</v>
      </c>
      <c r="D76" s="89">
        <v>17.3</v>
      </c>
      <c r="E76" s="89">
        <v>16.829999999999998</v>
      </c>
    </row>
    <row r="77" spans="1:5" x14ac:dyDescent="0.25">
      <c r="A77" s="88">
        <v>68</v>
      </c>
      <c r="B77" s="89">
        <v>16.61</v>
      </c>
      <c r="C77" s="89">
        <v>16.63</v>
      </c>
      <c r="D77" s="89">
        <v>16.649999999999999</v>
      </c>
      <c r="E77" s="89">
        <v>16.690000000000001</v>
      </c>
    </row>
    <row r="78" spans="1:5" x14ac:dyDescent="0.25">
      <c r="A78" s="88">
        <v>69</v>
      </c>
      <c r="B78" s="89">
        <v>15.98</v>
      </c>
      <c r="C78" s="89">
        <v>15.99</v>
      </c>
      <c r="D78" s="89">
        <v>16.010000000000002</v>
      </c>
      <c r="E78" s="89">
        <v>16.04</v>
      </c>
    </row>
    <row r="79" spans="1:5" x14ac:dyDescent="0.25">
      <c r="A79" s="88">
        <v>70</v>
      </c>
      <c r="B79" s="89">
        <v>15.35</v>
      </c>
      <c r="C79" s="89">
        <v>15.35</v>
      </c>
      <c r="D79" s="89">
        <v>15.36</v>
      </c>
      <c r="E79" s="89">
        <v>15.38</v>
      </c>
    </row>
    <row r="80" spans="1:5" x14ac:dyDescent="0.25">
      <c r="A80" s="88">
        <v>71</v>
      </c>
      <c r="B80" s="89">
        <v>14.72</v>
      </c>
      <c r="C80" s="89">
        <v>14.72</v>
      </c>
      <c r="D80" s="89">
        <v>14.73</v>
      </c>
      <c r="E80" s="89">
        <v>14.74</v>
      </c>
    </row>
    <row r="81" spans="1:5" x14ac:dyDescent="0.25">
      <c r="A81" s="88">
        <v>72</v>
      </c>
      <c r="B81" s="89">
        <v>14.1</v>
      </c>
      <c r="C81" s="89">
        <v>14.1</v>
      </c>
      <c r="D81" s="89">
        <v>14.1</v>
      </c>
      <c r="E81" s="89">
        <v>14.1</v>
      </c>
    </row>
    <row r="82" spans="1:5" x14ac:dyDescent="0.25">
      <c r="A82" s="88">
        <v>73</v>
      </c>
      <c r="B82" s="89">
        <v>13.48</v>
      </c>
      <c r="C82" s="89">
        <v>13.48</v>
      </c>
      <c r="D82" s="89">
        <v>13.48</v>
      </c>
      <c r="E82" s="89">
        <v>13.48</v>
      </c>
    </row>
    <row r="83" spans="1:5" x14ac:dyDescent="0.25">
      <c r="A83" s="88">
        <v>74</v>
      </c>
      <c r="B83" s="89">
        <v>12.86</v>
      </c>
      <c r="C83" s="89">
        <v>12.86</v>
      </c>
      <c r="D83" s="89">
        <v>12.86</v>
      </c>
      <c r="E83" s="89">
        <v>12.86</v>
      </c>
    </row>
    <row r="84" spans="1:5" x14ac:dyDescent="0.25">
      <c r="A84" s="88">
        <v>75</v>
      </c>
      <c r="B84" s="89">
        <v>12.24</v>
      </c>
      <c r="C84" s="89">
        <v>12.24</v>
      </c>
      <c r="D84" s="89">
        <v>12.24</v>
      </c>
      <c r="E84" s="89">
        <v>12.24</v>
      </c>
    </row>
    <row r="85" spans="1:5" x14ac:dyDescent="0.25">
      <c r="A85" s="88">
        <v>76</v>
      </c>
      <c r="B85" s="89">
        <v>11.63</v>
      </c>
      <c r="C85" s="89">
        <v>11.63</v>
      </c>
      <c r="D85" s="89">
        <v>11.63</v>
      </c>
      <c r="E85" s="89">
        <v>11.63</v>
      </c>
    </row>
    <row r="86" spans="1:5" x14ac:dyDescent="0.25">
      <c r="A86" s="88">
        <v>77</v>
      </c>
      <c r="B86" s="89">
        <v>11.02</v>
      </c>
      <c r="C86" s="89">
        <v>11.02</v>
      </c>
      <c r="D86" s="89">
        <v>11.02</v>
      </c>
      <c r="E86" s="89">
        <v>11.02</v>
      </c>
    </row>
    <row r="87" spans="1:5" x14ac:dyDescent="0.25">
      <c r="A87" s="88">
        <v>78</v>
      </c>
      <c r="B87" s="89">
        <v>10.42</v>
      </c>
      <c r="C87" s="89">
        <v>10.42</v>
      </c>
      <c r="D87" s="89">
        <v>10.42</v>
      </c>
      <c r="E87" s="89">
        <v>10.42</v>
      </c>
    </row>
    <row r="88" spans="1:5" x14ac:dyDescent="0.25">
      <c r="A88" s="88">
        <v>79</v>
      </c>
      <c r="B88" s="89">
        <v>9.83</v>
      </c>
      <c r="C88" s="89">
        <v>9.83</v>
      </c>
      <c r="D88" s="89">
        <v>9.83</v>
      </c>
      <c r="E88" s="89">
        <v>9.83</v>
      </c>
    </row>
    <row r="89" spans="1:5" x14ac:dyDescent="0.25">
      <c r="A89" s="88">
        <v>80</v>
      </c>
      <c r="B89" s="89">
        <v>9.26</v>
      </c>
      <c r="C89" s="89">
        <v>9.26</v>
      </c>
      <c r="D89" s="89">
        <v>9.26</v>
      </c>
      <c r="E89" s="89">
        <v>9.26</v>
      </c>
    </row>
    <row r="90" spans="1:5" x14ac:dyDescent="0.25">
      <c r="A90" s="88">
        <v>81</v>
      </c>
      <c r="B90" s="89">
        <v>8.69</v>
      </c>
      <c r="C90" s="89">
        <v>8.69</v>
      </c>
      <c r="D90" s="89">
        <v>8.69</v>
      </c>
      <c r="E90" s="89">
        <v>8.69</v>
      </c>
    </row>
    <row r="91" spans="1:5" x14ac:dyDescent="0.25">
      <c r="A91" s="88">
        <v>82</v>
      </c>
      <c r="B91" s="89">
        <v>8.14</v>
      </c>
      <c r="C91" s="89">
        <v>8.14</v>
      </c>
      <c r="D91" s="89">
        <v>8.14</v>
      </c>
      <c r="E91" s="89">
        <v>8.14</v>
      </c>
    </row>
    <row r="92" spans="1:5" x14ac:dyDescent="0.25">
      <c r="A92" s="88">
        <v>83</v>
      </c>
      <c r="B92" s="89">
        <v>7.6</v>
      </c>
      <c r="C92" s="89">
        <v>7.6</v>
      </c>
      <c r="D92" s="89">
        <v>7.6</v>
      </c>
      <c r="E92" s="89">
        <v>7.6</v>
      </c>
    </row>
    <row r="93" spans="1:5" x14ac:dyDescent="0.25">
      <c r="A93" s="88">
        <v>84</v>
      </c>
      <c r="B93" s="89">
        <v>7.08</v>
      </c>
      <c r="C93" s="89">
        <v>7.08</v>
      </c>
      <c r="D93" s="89">
        <v>7.08</v>
      </c>
      <c r="E93" s="89">
        <v>7.08</v>
      </c>
    </row>
    <row r="94" spans="1:5" x14ac:dyDescent="0.25">
      <c r="A94" s="88">
        <v>85</v>
      </c>
      <c r="B94" s="89">
        <v>6.58</v>
      </c>
      <c r="C94" s="89">
        <v>6.58</v>
      </c>
      <c r="D94" s="89">
        <v>6.58</v>
      </c>
      <c r="E94" s="89">
        <v>6.58</v>
      </c>
    </row>
  </sheetData>
  <sheetProtection algorithmName="SHA-512" hashValue="N5MeDLp7YC3WHdvj2xIphOTz19Gx7NRRx5Ub699GynlisMD+htahkZlwxzO/FTvFBeYnXzsbt9I4W0xwR4HKCw==" saltValue="amyVagGSCA4VxvJHdld/sw==" spinCount="100000" sheet="1" objects="1" scenarios="1"/>
  <conditionalFormatting sqref="A6:A16">
    <cfRule type="expression" dxfId="963" priority="23" stopIfTrue="1">
      <formula>MOD(ROW(),2)=0</formula>
    </cfRule>
    <cfRule type="expression" dxfId="962" priority="24" stopIfTrue="1">
      <formula>MOD(ROW(),2)&lt;&gt;0</formula>
    </cfRule>
  </conditionalFormatting>
  <conditionalFormatting sqref="B6:E21">
    <cfRule type="expression" dxfId="961" priority="25" stopIfTrue="1">
      <formula>MOD(ROW(),2)=0</formula>
    </cfRule>
    <cfRule type="expression" dxfId="960" priority="26" stopIfTrue="1">
      <formula>MOD(ROW(),2)&lt;&gt;0</formula>
    </cfRule>
  </conditionalFormatting>
  <conditionalFormatting sqref="A17:A20">
    <cfRule type="expression" dxfId="959" priority="15" stopIfTrue="1">
      <formula>MOD(ROW(),2)=0</formula>
    </cfRule>
    <cfRule type="expression" dxfId="958" priority="16" stopIfTrue="1">
      <formula>MOD(ROW(),2)&lt;&gt;0</formula>
    </cfRule>
  </conditionalFormatting>
  <conditionalFormatting sqref="B18 B20:B21">
    <cfRule type="expression" dxfId="957" priority="17" stopIfTrue="1">
      <formula>MOD(ROW(),2)=0</formula>
    </cfRule>
    <cfRule type="expression" dxfId="956" priority="18" stopIfTrue="1">
      <formula>MOD(ROW(),2)&lt;&gt;0</formula>
    </cfRule>
  </conditionalFormatting>
  <conditionalFormatting sqref="B17">
    <cfRule type="expression" dxfId="955" priority="13" stopIfTrue="1">
      <formula>MOD(ROW(),2)=0</formula>
    </cfRule>
    <cfRule type="expression" dxfId="954" priority="14" stopIfTrue="1">
      <formula>MOD(ROW(),2)&lt;&gt;0</formula>
    </cfRule>
  </conditionalFormatting>
  <conditionalFormatting sqref="A26:A94">
    <cfRule type="expression" dxfId="953" priority="7" stopIfTrue="1">
      <formula>MOD(ROW(),2)=0</formula>
    </cfRule>
    <cfRule type="expression" dxfId="952" priority="8" stopIfTrue="1">
      <formula>MOD(ROW(),2)&lt;&gt;0</formula>
    </cfRule>
  </conditionalFormatting>
  <conditionalFormatting sqref="B26:E94">
    <cfRule type="expression" dxfId="951" priority="9" stopIfTrue="1">
      <formula>MOD(ROW(),2)=0</formula>
    </cfRule>
    <cfRule type="expression" dxfId="950" priority="10" stopIfTrue="1">
      <formula>MOD(ROW(),2)&lt;&gt;0</formula>
    </cfRule>
  </conditionalFormatting>
  <conditionalFormatting sqref="B19">
    <cfRule type="expression" dxfId="949" priority="5" stopIfTrue="1">
      <formula>MOD(ROW(),2)=0</formula>
    </cfRule>
    <cfRule type="expression" dxfId="948" priority="6" stopIfTrue="1">
      <formula>MOD(ROW(),2)&lt;&gt;0</formula>
    </cfRule>
  </conditionalFormatting>
  <conditionalFormatting sqref="A21">
    <cfRule type="expression" dxfId="947" priority="1" stopIfTrue="1">
      <formula>MOD(ROW(),2)=0</formula>
    </cfRule>
    <cfRule type="expression" dxfId="946" priority="2" stopIfTrue="1">
      <formula>MOD(ROW(),2)&lt;&gt;0</formula>
    </cfRule>
  </conditionalFormatting>
  <hyperlinks>
    <hyperlink ref="B24" location="Assumptions!A1" display="Assumptions" xr:uid="{EEF5C1AA-02B2-48FC-B5FB-D27850520C84}"/>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Sheet63"/>
  <dimension ref="A1:K46"/>
  <sheetViews>
    <sheetView showGridLines="0" zoomScale="85" zoomScaleNormal="85" workbookViewId="0">
      <selection activeCell="B18" sqref="B18"/>
    </sheetView>
  </sheetViews>
  <sheetFormatPr defaultColWidth="10" defaultRowHeight="12.5" x14ac:dyDescent="0.25"/>
  <cols>
    <col min="1" max="1" width="31.81640625" style="28" customWidth="1"/>
    <col min="2" max="11" width="22.81640625" style="28" customWidth="1"/>
    <col min="12" max="16384" width="10" style="28"/>
  </cols>
  <sheetData>
    <row r="1" spans="1:11" ht="20" x14ac:dyDescent="0.4">
      <c r="A1" s="40" t="s">
        <v>227</v>
      </c>
      <c r="B1" s="41"/>
      <c r="C1" s="41"/>
      <c r="D1" s="41"/>
      <c r="E1" s="41"/>
      <c r="F1" s="41"/>
      <c r="G1" s="41"/>
      <c r="H1" s="41"/>
      <c r="I1" s="41"/>
    </row>
    <row r="2" spans="1:11" ht="15.5" x14ac:dyDescent="0.35">
      <c r="A2" s="42" t="str">
        <f>IF(title="&gt; Enter workbook title here","Enter workbook title in Cover sheet",title)</f>
        <v>Fire Northern Ireland - Consolidated Factor Spreadsheet</v>
      </c>
      <c r="B2" s="43"/>
      <c r="C2" s="43"/>
      <c r="D2" s="43"/>
      <c r="E2" s="43"/>
      <c r="F2" s="43"/>
      <c r="G2" s="43"/>
      <c r="H2" s="43"/>
      <c r="I2" s="43"/>
    </row>
    <row r="3" spans="1:11" ht="15.5" x14ac:dyDescent="0.35">
      <c r="A3" s="44" t="str">
        <f>TABLE_FACTOR_TYPE_1&amp;" - x-"&amp;TABLE_SERIES_NUMBER_1</f>
        <v>Pension Debit - x-318</v>
      </c>
      <c r="B3" s="43"/>
      <c r="C3" s="43"/>
      <c r="D3" s="43"/>
      <c r="E3" s="43"/>
      <c r="F3" s="43"/>
      <c r="G3" s="43"/>
      <c r="H3" s="43"/>
      <c r="I3" s="43"/>
    </row>
    <row r="4" spans="1:11" x14ac:dyDescent="0.25">
      <c r="A4" s="45"/>
    </row>
    <row r="6" spans="1:11" ht="13" x14ac:dyDescent="0.3">
      <c r="A6" s="75" t="s">
        <v>562</v>
      </c>
      <c r="B6" s="159" t="s">
        <v>563</v>
      </c>
      <c r="C6" s="159"/>
      <c r="D6" s="159"/>
      <c r="E6" s="159"/>
      <c r="F6" s="159"/>
      <c r="G6" s="159"/>
      <c r="H6" s="159"/>
      <c r="I6" s="159"/>
      <c r="J6" s="159"/>
      <c r="K6" s="159"/>
    </row>
    <row r="7" spans="1:11" x14ac:dyDescent="0.25">
      <c r="A7" s="77" t="s">
        <v>305</v>
      </c>
      <c r="B7" s="159" t="s">
        <v>319</v>
      </c>
      <c r="C7" s="159"/>
      <c r="D7" s="159"/>
      <c r="E7" s="159"/>
      <c r="F7" s="159"/>
      <c r="G7" s="159"/>
      <c r="H7" s="159"/>
      <c r="I7" s="159"/>
      <c r="J7" s="159"/>
      <c r="K7" s="159"/>
    </row>
    <row r="8" spans="1:11" x14ac:dyDescent="0.25">
      <c r="A8" s="77" t="s">
        <v>306</v>
      </c>
      <c r="B8" s="159" t="s">
        <v>320</v>
      </c>
      <c r="C8" s="159"/>
      <c r="D8" s="159"/>
      <c r="E8" s="159"/>
      <c r="F8" s="159"/>
      <c r="G8" s="159"/>
      <c r="H8" s="159"/>
      <c r="I8" s="159"/>
      <c r="J8" s="159"/>
      <c r="K8" s="159"/>
    </row>
    <row r="9" spans="1:11" x14ac:dyDescent="0.25">
      <c r="A9" s="77" t="s">
        <v>307</v>
      </c>
      <c r="B9" s="159" t="s">
        <v>402</v>
      </c>
      <c r="C9" s="159"/>
      <c r="D9" s="159"/>
      <c r="E9" s="159"/>
      <c r="F9" s="159"/>
      <c r="G9" s="159"/>
      <c r="H9" s="159"/>
      <c r="I9" s="159"/>
      <c r="J9" s="159"/>
      <c r="K9" s="159"/>
    </row>
    <row r="10" spans="1:11" x14ac:dyDescent="0.25">
      <c r="A10" s="77" t="s">
        <v>233</v>
      </c>
      <c r="B10" s="159" t="s">
        <v>403</v>
      </c>
      <c r="C10" s="159"/>
      <c r="D10" s="159"/>
      <c r="E10" s="159"/>
      <c r="F10" s="159"/>
      <c r="G10" s="159"/>
      <c r="H10" s="159"/>
      <c r="I10" s="159"/>
      <c r="J10" s="159"/>
      <c r="K10" s="159"/>
    </row>
    <row r="11" spans="1:11" x14ac:dyDescent="0.25">
      <c r="A11" s="77" t="s">
        <v>308</v>
      </c>
      <c r="B11" s="159" t="s">
        <v>404</v>
      </c>
      <c r="C11" s="159"/>
      <c r="D11" s="159"/>
      <c r="E11" s="159"/>
      <c r="F11" s="159"/>
      <c r="G11" s="159"/>
      <c r="H11" s="159"/>
      <c r="I11" s="159"/>
      <c r="J11" s="159"/>
      <c r="K11" s="159"/>
    </row>
    <row r="12" spans="1:11" x14ac:dyDescent="0.25">
      <c r="A12" s="77" t="s">
        <v>309</v>
      </c>
      <c r="B12" s="159" t="s">
        <v>405</v>
      </c>
      <c r="C12" s="159"/>
      <c r="D12" s="159"/>
      <c r="E12" s="159"/>
      <c r="F12" s="159"/>
      <c r="G12" s="159"/>
      <c r="H12" s="159"/>
      <c r="I12" s="159"/>
      <c r="J12" s="159"/>
      <c r="K12" s="159"/>
    </row>
    <row r="13" spans="1:11" x14ac:dyDescent="0.25">
      <c r="A13" s="77" t="s">
        <v>570</v>
      </c>
      <c r="B13" s="159">
        <v>2</v>
      </c>
      <c r="C13" s="159"/>
      <c r="D13" s="159"/>
      <c r="E13" s="159"/>
      <c r="F13" s="159"/>
      <c r="G13" s="159"/>
      <c r="H13" s="159"/>
      <c r="I13" s="159"/>
      <c r="J13" s="159"/>
      <c r="K13" s="159"/>
    </row>
    <row r="14" spans="1:11" x14ac:dyDescent="0.25">
      <c r="A14" s="77" t="s">
        <v>311</v>
      </c>
      <c r="B14" s="159">
        <v>318</v>
      </c>
      <c r="C14" s="159"/>
      <c r="D14" s="159"/>
      <c r="E14" s="159"/>
      <c r="F14" s="159"/>
      <c r="G14" s="159"/>
      <c r="H14" s="159"/>
      <c r="I14" s="159"/>
      <c r="J14" s="159"/>
      <c r="K14" s="159"/>
    </row>
    <row r="15" spans="1:11" x14ac:dyDescent="0.25">
      <c r="A15" s="77" t="s">
        <v>573</v>
      </c>
      <c r="B15" s="159" t="s">
        <v>406</v>
      </c>
      <c r="C15" s="159"/>
      <c r="D15" s="159"/>
      <c r="E15" s="159"/>
      <c r="F15" s="159"/>
      <c r="G15" s="159"/>
      <c r="H15" s="159"/>
      <c r="I15" s="159"/>
      <c r="J15" s="159"/>
      <c r="K15" s="159"/>
    </row>
    <row r="16" spans="1:11" x14ac:dyDescent="0.25">
      <c r="A16" s="77" t="s">
        <v>313</v>
      </c>
      <c r="B16" s="159" t="s">
        <v>407</v>
      </c>
      <c r="C16" s="159"/>
      <c r="D16" s="159"/>
      <c r="E16" s="159"/>
      <c r="F16" s="159"/>
      <c r="G16" s="159"/>
      <c r="H16" s="159"/>
      <c r="I16" s="159"/>
      <c r="J16" s="159"/>
      <c r="K16" s="159"/>
    </row>
    <row r="17" spans="1:11" x14ac:dyDescent="0.25">
      <c r="A17" s="77" t="s">
        <v>642</v>
      </c>
      <c r="B17" s="159"/>
      <c r="C17" s="159"/>
      <c r="D17" s="159"/>
      <c r="E17" s="159"/>
      <c r="F17" s="159"/>
      <c r="G17" s="159"/>
      <c r="H17" s="159"/>
      <c r="I17" s="159"/>
      <c r="J17" s="159"/>
      <c r="K17" s="159"/>
    </row>
    <row r="18" spans="1:11" x14ac:dyDescent="0.25">
      <c r="A18" s="77" t="s">
        <v>315</v>
      </c>
      <c r="B18" s="161">
        <v>45070</v>
      </c>
      <c r="C18" s="159"/>
      <c r="D18" s="159"/>
      <c r="E18" s="159"/>
      <c r="F18" s="159"/>
      <c r="G18" s="159"/>
      <c r="H18" s="159"/>
      <c r="I18" s="159"/>
      <c r="J18" s="159"/>
      <c r="K18" s="159"/>
    </row>
    <row r="19" spans="1:11" x14ac:dyDescent="0.25">
      <c r="A19" s="77" t="s">
        <v>316</v>
      </c>
      <c r="B19" s="161">
        <v>45014</v>
      </c>
      <c r="C19" s="159"/>
      <c r="D19" s="159"/>
      <c r="E19" s="159"/>
      <c r="F19" s="159"/>
      <c r="G19" s="159"/>
      <c r="H19" s="159"/>
      <c r="I19" s="159"/>
      <c r="J19" s="159"/>
      <c r="K19" s="159"/>
    </row>
    <row r="20" spans="1:11" x14ac:dyDescent="0.25">
      <c r="A20" s="77" t="s">
        <v>317</v>
      </c>
      <c r="B20" s="159" t="s">
        <v>327</v>
      </c>
      <c r="C20" s="159"/>
      <c r="D20" s="159"/>
      <c r="E20" s="159"/>
      <c r="F20" s="159"/>
      <c r="G20" s="159"/>
      <c r="H20" s="159"/>
      <c r="I20" s="159"/>
      <c r="J20" s="159"/>
      <c r="K20" s="159"/>
    </row>
    <row r="21" spans="1:11" x14ac:dyDescent="0.25">
      <c r="A21" s="77" t="s">
        <v>318</v>
      </c>
      <c r="B21" s="159" t="s">
        <v>328</v>
      </c>
      <c r="C21" s="159"/>
      <c r="D21" s="159"/>
      <c r="E21" s="159"/>
      <c r="F21" s="159"/>
      <c r="G21" s="159"/>
      <c r="H21" s="159"/>
      <c r="I21" s="159"/>
      <c r="J21" s="159"/>
      <c r="K21" s="159"/>
    </row>
    <row r="23" spans="1:11" x14ac:dyDescent="0.25">
      <c r="B23" s="91" t="str">
        <f>HYPERLINK("#'Factor List'!A1","Back to Factor List")</f>
        <v>Back to Factor List</v>
      </c>
    </row>
    <row r="24" spans="1:11" x14ac:dyDescent="0.25">
      <c r="B24" s="91" t="s">
        <v>240</v>
      </c>
    </row>
    <row r="25" spans="1:11" x14ac:dyDescent="0.25">
      <c r="B25" s="91"/>
    </row>
    <row r="26" spans="1:11" ht="13" x14ac:dyDescent="0.25">
      <c r="A26" s="87" t="s">
        <v>667</v>
      </c>
      <c r="B26" s="87">
        <v>50</v>
      </c>
      <c r="C26" s="87">
        <v>51</v>
      </c>
      <c r="D26" s="87">
        <v>52</v>
      </c>
      <c r="E26" s="87">
        <v>53</v>
      </c>
      <c r="F26" s="87">
        <v>54</v>
      </c>
      <c r="G26" s="87">
        <v>55</v>
      </c>
      <c r="H26" s="87">
        <v>56</v>
      </c>
      <c r="I26" s="87">
        <v>57</v>
      </c>
      <c r="J26" s="87">
        <v>58</v>
      </c>
      <c r="K26" s="87">
        <v>59</v>
      </c>
    </row>
    <row r="27" spans="1:11" x14ac:dyDescent="0.25">
      <c r="A27" s="88">
        <v>0</v>
      </c>
      <c r="B27" s="90">
        <v>0.66300000000000003</v>
      </c>
      <c r="C27" s="90">
        <v>0.68600000000000005</v>
      </c>
      <c r="D27" s="90">
        <v>0.71099999999999997</v>
      </c>
      <c r="E27" s="90">
        <v>0.73799999999999999</v>
      </c>
      <c r="F27" s="90">
        <v>0.76800000000000002</v>
      </c>
      <c r="G27" s="90">
        <v>0.8</v>
      </c>
      <c r="H27" s="90">
        <v>0.83399999999999996</v>
      </c>
      <c r="I27" s="90">
        <v>0.871</v>
      </c>
      <c r="J27" s="90">
        <v>0.91100000000000003</v>
      </c>
      <c r="K27" s="90">
        <v>0.95399999999999996</v>
      </c>
    </row>
    <row r="28" spans="1:11" x14ac:dyDescent="0.25">
      <c r="A28" s="88">
        <v>1</v>
      </c>
      <c r="B28" s="90">
        <v>0.66500000000000004</v>
      </c>
      <c r="C28" s="90">
        <v>0.68799999999999994</v>
      </c>
      <c r="D28" s="90">
        <v>0.71399999999999997</v>
      </c>
      <c r="E28" s="90">
        <v>0.74099999999999999</v>
      </c>
      <c r="F28" s="90">
        <v>0.77</v>
      </c>
      <c r="G28" s="90">
        <v>0.80200000000000005</v>
      </c>
      <c r="H28" s="90">
        <v>0.83699999999999997</v>
      </c>
      <c r="I28" s="90">
        <v>0.874</v>
      </c>
      <c r="J28" s="90">
        <v>0.91400000000000003</v>
      </c>
      <c r="K28" s="90">
        <v>0.95799999999999996</v>
      </c>
    </row>
    <row r="29" spans="1:11" x14ac:dyDescent="0.25">
      <c r="A29" s="88">
        <v>2</v>
      </c>
      <c r="B29" s="90">
        <v>0.66700000000000004</v>
      </c>
      <c r="C29" s="90">
        <v>0.69</v>
      </c>
      <c r="D29" s="90">
        <v>0.71599999999999997</v>
      </c>
      <c r="E29" s="90">
        <v>0.74299999999999999</v>
      </c>
      <c r="F29" s="90">
        <v>0.77300000000000002</v>
      </c>
      <c r="G29" s="90">
        <v>0.80500000000000005</v>
      </c>
      <c r="H29" s="90">
        <v>0.84</v>
      </c>
      <c r="I29" s="90">
        <v>0.878</v>
      </c>
      <c r="J29" s="90">
        <v>0.91800000000000004</v>
      </c>
      <c r="K29" s="90">
        <v>0.96099999999999997</v>
      </c>
    </row>
    <row r="30" spans="1:11" x14ac:dyDescent="0.25">
      <c r="A30" s="88">
        <v>3</v>
      </c>
      <c r="B30" s="90">
        <v>0.66900000000000004</v>
      </c>
      <c r="C30" s="90">
        <v>0.69299999999999995</v>
      </c>
      <c r="D30" s="90">
        <v>0.71799999999999997</v>
      </c>
      <c r="E30" s="90">
        <v>0.746</v>
      </c>
      <c r="F30" s="90">
        <v>0.77600000000000002</v>
      </c>
      <c r="G30" s="90">
        <v>0.80800000000000005</v>
      </c>
      <c r="H30" s="90">
        <v>0.84299999999999997</v>
      </c>
      <c r="I30" s="90">
        <v>0.88100000000000001</v>
      </c>
      <c r="J30" s="90">
        <v>0.92200000000000004</v>
      </c>
      <c r="K30" s="90">
        <v>0.96499999999999997</v>
      </c>
    </row>
    <row r="31" spans="1:11" x14ac:dyDescent="0.25">
      <c r="A31" s="88">
        <v>4</v>
      </c>
      <c r="B31" s="90">
        <v>0.67100000000000004</v>
      </c>
      <c r="C31" s="90">
        <v>0.69499999999999995</v>
      </c>
      <c r="D31" s="90">
        <v>0.72</v>
      </c>
      <c r="E31" s="90">
        <v>0.748</v>
      </c>
      <c r="F31" s="90">
        <v>0.77800000000000002</v>
      </c>
      <c r="G31" s="90">
        <v>0.81100000000000005</v>
      </c>
      <c r="H31" s="90">
        <v>0.84599999999999997</v>
      </c>
      <c r="I31" s="90">
        <v>0.88400000000000001</v>
      </c>
      <c r="J31" s="90">
        <v>0.92500000000000004</v>
      </c>
      <c r="K31" s="90">
        <v>0.96899999999999997</v>
      </c>
    </row>
    <row r="32" spans="1:11" x14ac:dyDescent="0.25">
      <c r="A32" s="88">
        <v>5</v>
      </c>
      <c r="B32" s="90">
        <v>0.67300000000000004</v>
      </c>
      <c r="C32" s="90">
        <v>0.69699999999999995</v>
      </c>
      <c r="D32" s="90">
        <v>0.72299999999999998</v>
      </c>
      <c r="E32" s="90">
        <v>0.751</v>
      </c>
      <c r="F32" s="90">
        <v>0.78100000000000003</v>
      </c>
      <c r="G32" s="90">
        <v>0.81399999999999995</v>
      </c>
      <c r="H32" s="90">
        <v>0.84899999999999998</v>
      </c>
      <c r="I32" s="90">
        <v>0.88800000000000001</v>
      </c>
      <c r="J32" s="90">
        <v>0.92900000000000005</v>
      </c>
      <c r="K32" s="90">
        <v>0.97299999999999998</v>
      </c>
    </row>
    <row r="33" spans="1:11" x14ac:dyDescent="0.25">
      <c r="A33" s="88">
        <v>6</v>
      </c>
      <c r="B33" s="90">
        <v>0.67500000000000004</v>
      </c>
      <c r="C33" s="90">
        <v>0.69899999999999995</v>
      </c>
      <c r="D33" s="90">
        <v>0.72499999999999998</v>
      </c>
      <c r="E33" s="90">
        <v>0.753</v>
      </c>
      <c r="F33" s="90">
        <v>0.78400000000000003</v>
      </c>
      <c r="G33" s="90">
        <v>0.81699999999999995</v>
      </c>
      <c r="H33" s="90">
        <v>0.85299999999999998</v>
      </c>
      <c r="I33" s="90">
        <v>0.89100000000000001</v>
      </c>
      <c r="J33" s="90">
        <v>0.93200000000000005</v>
      </c>
      <c r="K33" s="90">
        <v>0.97699999999999998</v>
      </c>
    </row>
    <row r="34" spans="1:11" x14ac:dyDescent="0.25">
      <c r="A34" s="88">
        <v>7</v>
      </c>
      <c r="B34" s="90">
        <v>0.67700000000000005</v>
      </c>
      <c r="C34" s="90">
        <v>0.70099999999999996</v>
      </c>
      <c r="D34" s="90">
        <v>0.72699999999999998</v>
      </c>
      <c r="E34" s="90">
        <v>0.755</v>
      </c>
      <c r="F34" s="90">
        <v>0.78600000000000003</v>
      </c>
      <c r="G34" s="90">
        <v>0.82</v>
      </c>
      <c r="H34" s="90">
        <v>0.85599999999999998</v>
      </c>
      <c r="I34" s="90">
        <v>0.89400000000000002</v>
      </c>
      <c r="J34" s="90">
        <v>0.93600000000000005</v>
      </c>
      <c r="K34" s="90">
        <v>0.98099999999999998</v>
      </c>
    </row>
    <row r="35" spans="1:11" x14ac:dyDescent="0.25">
      <c r="A35" s="88">
        <v>8</v>
      </c>
      <c r="B35" s="90">
        <v>0.67900000000000005</v>
      </c>
      <c r="C35" s="90">
        <v>0.70299999999999996</v>
      </c>
      <c r="D35" s="90">
        <v>0.72899999999999998</v>
      </c>
      <c r="E35" s="90">
        <v>0.75800000000000001</v>
      </c>
      <c r="F35" s="90">
        <v>0.78900000000000003</v>
      </c>
      <c r="G35" s="90">
        <v>0.82299999999999995</v>
      </c>
      <c r="H35" s="90">
        <v>0.85899999999999999</v>
      </c>
      <c r="I35" s="90">
        <v>0.89800000000000002</v>
      </c>
      <c r="J35" s="90">
        <v>0.93899999999999995</v>
      </c>
      <c r="K35" s="90">
        <v>0.98499999999999999</v>
      </c>
    </row>
    <row r="36" spans="1:11" x14ac:dyDescent="0.25">
      <c r="A36" s="88">
        <v>9</v>
      </c>
      <c r="B36" s="90">
        <v>0.68100000000000005</v>
      </c>
      <c r="C36" s="90">
        <v>0.70499999999999996</v>
      </c>
      <c r="D36" s="90">
        <v>0.73199999999999998</v>
      </c>
      <c r="E36" s="90">
        <v>0.76</v>
      </c>
      <c r="F36" s="90">
        <v>0.79200000000000004</v>
      </c>
      <c r="G36" s="90">
        <v>0.82499999999999996</v>
      </c>
      <c r="H36" s="90">
        <v>0.86199999999999999</v>
      </c>
      <c r="I36" s="90">
        <v>0.90100000000000002</v>
      </c>
      <c r="J36" s="90">
        <v>0.94299999999999995</v>
      </c>
      <c r="K36" s="90">
        <v>0.98799999999999999</v>
      </c>
    </row>
    <row r="37" spans="1:11" x14ac:dyDescent="0.25">
      <c r="A37" s="88">
        <v>10</v>
      </c>
      <c r="B37" s="90">
        <v>0.68200000000000005</v>
      </c>
      <c r="C37" s="90">
        <v>0.70699999999999996</v>
      </c>
      <c r="D37" s="90">
        <v>0.73399999999999999</v>
      </c>
      <c r="E37" s="90">
        <v>0.76300000000000001</v>
      </c>
      <c r="F37" s="90">
        <v>0.79400000000000004</v>
      </c>
      <c r="G37" s="90">
        <v>0.82799999999999996</v>
      </c>
      <c r="H37" s="90">
        <v>0.86499999999999999</v>
      </c>
      <c r="I37" s="90">
        <v>0.90400000000000003</v>
      </c>
      <c r="J37" s="90">
        <v>0.94699999999999995</v>
      </c>
      <c r="K37" s="90">
        <v>0.99199999999999999</v>
      </c>
    </row>
    <row r="38" spans="1:11" x14ac:dyDescent="0.25">
      <c r="A38" s="88">
        <v>11</v>
      </c>
      <c r="B38" s="90">
        <v>0.68400000000000005</v>
      </c>
      <c r="C38" s="90">
        <v>0.70899999999999996</v>
      </c>
      <c r="D38" s="90">
        <v>0.73599999999999999</v>
      </c>
      <c r="E38" s="90">
        <v>0.76500000000000001</v>
      </c>
      <c r="F38" s="90">
        <v>0.79700000000000004</v>
      </c>
      <c r="G38" s="90">
        <v>0.83099999999999996</v>
      </c>
      <c r="H38" s="90">
        <v>0.86799999999999999</v>
      </c>
      <c r="I38" s="90">
        <v>0.90800000000000003</v>
      </c>
      <c r="J38" s="90">
        <v>0.95</v>
      </c>
      <c r="K38" s="90">
        <v>0.996</v>
      </c>
    </row>
    <row r="44" spans="1:11" ht="39.65" customHeight="1" x14ac:dyDescent="0.25"/>
    <row r="46" spans="1:11" ht="27.65" customHeight="1" x14ac:dyDescent="0.25"/>
  </sheetData>
  <sheetProtection algorithmName="SHA-512" hashValue="XOvOCPjOO6Paq+P2p/y1wEK4jLIT0LlD3x0UBp0hc2Lrtu4zSp6sMs4hexgYGT0jdX//aGzXwYe8CZLp2hDsUw==" saltValue="1IvKdF5cpsVToD+ZCB2F/Q==" spinCount="100000" sheet="1" objects="1" scenarios="1"/>
  <conditionalFormatting sqref="A6:A16">
    <cfRule type="expression" dxfId="945" priority="23" stopIfTrue="1">
      <formula>MOD(ROW(),2)=0</formula>
    </cfRule>
    <cfRule type="expression" dxfId="944" priority="24" stopIfTrue="1">
      <formula>MOD(ROW(),2)&lt;&gt;0</formula>
    </cfRule>
  </conditionalFormatting>
  <conditionalFormatting sqref="B6:K21">
    <cfRule type="expression" dxfId="943" priority="25" stopIfTrue="1">
      <formula>MOD(ROW(),2)=0</formula>
    </cfRule>
    <cfRule type="expression" dxfId="942" priority="26" stopIfTrue="1">
      <formula>MOD(ROW(),2)&lt;&gt;0</formula>
    </cfRule>
  </conditionalFormatting>
  <conditionalFormatting sqref="C17:C21">
    <cfRule type="expression" dxfId="941" priority="17" stopIfTrue="1">
      <formula>MOD(ROW(),2)=0</formula>
    </cfRule>
    <cfRule type="expression" dxfId="940" priority="18" stopIfTrue="1">
      <formula>MOD(ROW(),2)&lt;&gt;0</formula>
    </cfRule>
  </conditionalFormatting>
  <conditionalFormatting sqref="A17:A20">
    <cfRule type="expression" dxfId="939" priority="13" stopIfTrue="1">
      <formula>MOD(ROW(),2)=0</formula>
    </cfRule>
    <cfRule type="expression" dxfId="938" priority="14" stopIfTrue="1">
      <formula>MOD(ROW(),2)&lt;&gt;0</formula>
    </cfRule>
  </conditionalFormatting>
  <conditionalFormatting sqref="B17:B18 B20:B21">
    <cfRule type="expression" dxfId="937" priority="15" stopIfTrue="1">
      <formula>MOD(ROW(),2)=0</formula>
    </cfRule>
    <cfRule type="expression" dxfId="936" priority="16" stopIfTrue="1">
      <formula>MOD(ROW(),2)&lt;&gt;0</formula>
    </cfRule>
  </conditionalFormatting>
  <conditionalFormatting sqref="A26:A38">
    <cfRule type="expression" dxfId="935" priority="7" stopIfTrue="1">
      <formula>MOD(ROW(),2)=0</formula>
    </cfRule>
    <cfRule type="expression" dxfId="934" priority="8" stopIfTrue="1">
      <formula>MOD(ROW(),2)&lt;&gt;0</formula>
    </cfRule>
  </conditionalFormatting>
  <conditionalFormatting sqref="B26:K38">
    <cfRule type="expression" dxfId="933" priority="9" stopIfTrue="1">
      <formula>MOD(ROW(),2)=0</formula>
    </cfRule>
    <cfRule type="expression" dxfId="932" priority="10" stopIfTrue="1">
      <formula>MOD(ROW(),2)&lt;&gt;0</formula>
    </cfRule>
  </conditionalFormatting>
  <conditionalFormatting sqref="B19">
    <cfRule type="expression" dxfId="931" priority="5" stopIfTrue="1">
      <formula>MOD(ROW(),2)=0</formula>
    </cfRule>
    <cfRule type="expression" dxfId="930" priority="6" stopIfTrue="1">
      <formula>MOD(ROW(),2)&lt;&gt;0</formula>
    </cfRule>
  </conditionalFormatting>
  <conditionalFormatting sqref="A21">
    <cfRule type="expression" dxfId="929" priority="1" stopIfTrue="1">
      <formula>MOD(ROW(),2)=0</formula>
    </cfRule>
    <cfRule type="expression" dxfId="928" priority="2" stopIfTrue="1">
      <formula>MOD(ROW(),2)&lt;&gt;0</formula>
    </cfRule>
  </conditionalFormatting>
  <hyperlinks>
    <hyperlink ref="B24" location="Assumptions!A1" display="Assumptions" xr:uid="{F3D2A146-54F4-4833-A9AD-FEDA7FA28520}"/>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Sheet64"/>
  <dimension ref="A1:G46"/>
  <sheetViews>
    <sheetView showGridLines="0" zoomScale="85" zoomScaleNormal="85" workbookViewId="0">
      <selection activeCell="B18" sqref="B18"/>
    </sheetView>
  </sheetViews>
  <sheetFormatPr defaultColWidth="10" defaultRowHeight="12.5" x14ac:dyDescent="0.25"/>
  <cols>
    <col min="1" max="1" width="31.81640625" style="28" customWidth="1"/>
    <col min="2" max="7" width="22.81640625" style="28" customWidth="1"/>
    <col min="8" max="16384" width="10" style="28"/>
  </cols>
  <sheetData>
    <row r="1" spans="1:7" ht="20" x14ac:dyDescent="0.4">
      <c r="A1" s="40" t="s">
        <v>227</v>
      </c>
      <c r="B1" s="41"/>
      <c r="C1" s="41"/>
      <c r="D1" s="41"/>
      <c r="E1" s="41"/>
      <c r="F1" s="41"/>
      <c r="G1" s="41"/>
    </row>
    <row r="2" spans="1:7" ht="15.5" x14ac:dyDescent="0.35">
      <c r="A2" s="42" t="str">
        <f>IF(title="&gt; Enter workbook title here","Enter workbook title in Cover sheet",title)</f>
        <v>Fire Northern Ireland - Consolidated Factor Spreadsheet</v>
      </c>
      <c r="B2" s="43"/>
      <c r="C2" s="43"/>
      <c r="D2" s="43"/>
      <c r="E2" s="43"/>
      <c r="F2" s="43"/>
      <c r="G2" s="43"/>
    </row>
    <row r="3" spans="1:7" ht="15.5" x14ac:dyDescent="0.35">
      <c r="A3" s="44" t="str">
        <f>TABLE_FACTOR_TYPE_1&amp;" - x-"&amp;TABLE_SERIES_NUMBER_1</f>
        <v>Pension Debit - x-319</v>
      </c>
      <c r="B3" s="43"/>
      <c r="C3" s="43"/>
      <c r="D3" s="43"/>
      <c r="E3" s="43"/>
      <c r="F3" s="43"/>
      <c r="G3" s="43"/>
    </row>
    <row r="4" spans="1:7" x14ac:dyDescent="0.25">
      <c r="A4" s="45"/>
    </row>
    <row r="6" spans="1:7" ht="13" x14ac:dyDescent="0.3">
      <c r="A6" s="75" t="s">
        <v>562</v>
      </c>
      <c r="B6" s="159" t="s">
        <v>563</v>
      </c>
      <c r="C6" s="159"/>
      <c r="D6" s="159"/>
      <c r="E6" s="159"/>
      <c r="F6" s="159"/>
      <c r="G6" s="159"/>
    </row>
    <row r="7" spans="1:7" x14ac:dyDescent="0.25">
      <c r="A7" s="77" t="s">
        <v>305</v>
      </c>
      <c r="B7" s="159" t="s">
        <v>319</v>
      </c>
      <c r="C7" s="159"/>
      <c r="D7" s="159"/>
      <c r="E7" s="159"/>
      <c r="F7" s="159"/>
      <c r="G7" s="159"/>
    </row>
    <row r="8" spans="1:7" x14ac:dyDescent="0.25">
      <c r="A8" s="77" t="s">
        <v>306</v>
      </c>
      <c r="B8" s="159" t="s">
        <v>320</v>
      </c>
      <c r="C8" s="159"/>
      <c r="D8" s="159"/>
      <c r="E8" s="159"/>
      <c r="F8" s="159"/>
      <c r="G8" s="159"/>
    </row>
    <row r="9" spans="1:7" x14ac:dyDescent="0.25">
      <c r="A9" s="77" t="s">
        <v>307</v>
      </c>
      <c r="B9" s="159" t="s">
        <v>402</v>
      </c>
      <c r="C9" s="159"/>
      <c r="D9" s="159"/>
      <c r="E9" s="159"/>
      <c r="F9" s="159"/>
      <c r="G9" s="159"/>
    </row>
    <row r="10" spans="1:7" x14ac:dyDescent="0.25">
      <c r="A10" s="77" t="s">
        <v>233</v>
      </c>
      <c r="B10" s="159" t="s">
        <v>408</v>
      </c>
      <c r="C10" s="159"/>
      <c r="D10" s="159"/>
      <c r="E10" s="159"/>
      <c r="F10" s="159"/>
      <c r="G10" s="159"/>
    </row>
    <row r="11" spans="1:7" x14ac:dyDescent="0.25">
      <c r="A11" s="77" t="s">
        <v>308</v>
      </c>
      <c r="B11" s="159" t="s">
        <v>404</v>
      </c>
      <c r="C11" s="159"/>
      <c r="D11" s="159"/>
      <c r="E11" s="159"/>
      <c r="F11" s="159"/>
      <c r="G11" s="159"/>
    </row>
    <row r="12" spans="1:7" x14ac:dyDescent="0.25">
      <c r="A12" s="77" t="s">
        <v>309</v>
      </c>
      <c r="B12" s="159" t="s">
        <v>405</v>
      </c>
      <c r="C12" s="159"/>
      <c r="D12" s="159"/>
      <c r="E12" s="159"/>
      <c r="F12" s="159"/>
      <c r="G12" s="159"/>
    </row>
    <row r="13" spans="1:7" x14ac:dyDescent="0.25">
      <c r="A13" s="77" t="s">
        <v>570</v>
      </c>
      <c r="B13" s="159">
        <v>2</v>
      </c>
      <c r="C13" s="159"/>
      <c r="D13" s="159"/>
      <c r="E13" s="159"/>
      <c r="F13" s="159"/>
      <c r="G13" s="159"/>
    </row>
    <row r="14" spans="1:7" x14ac:dyDescent="0.25">
      <c r="A14" s="77" t="s">
        <v>311</v>
      </c>
      <c r="B14" s="159">
        <v>319</v>
      </c>
      <c r="C14" s="159"/>
      <c r="D14" s="159"/>
      <c r="E14" s="159"/>
      <c r="F14" s="159"/>
      <c r="G14" s="159"/>
    </row>
    <row r="15" spans="1:7" x14ac:dyDescent="0.25">
      <c r="A15" s="77" t="s">
        <v>573</v>
      </c>
      <c r="B15" s="159" t="s">
        <v>409</v>
      </c>
      <c r="C15" s="159"/>
      <c r="D15" s="159"/>
      <c r="E15" s="159"/>
      <c r="F15" s="159"/>
      <c r="G15" s="159"/>
    </row>
    <row r="16" spans="1:7" x14ac:dyDescent="0.25">
      <c r="A16" s="77" t="s">
        <v>313</v>
      </c>
      <c r="B16" s="159" t="s">
        <v>410</v>
      </c>
      <c r="C16" s="159"/>
      <c r="D16" s="159"/>
      <c r="E16" s="159"/>
      <c r="F16" s="159"/>
      <c r="G16" s="159"/>
    </row>
    <row r="17" spans="1:7" x14ac:dyDescent="0.25">
      <c r="A17" s="77" t="s">
        <v>642</v>
      </c>
      <c r="B17" s="159"/>
      <c r="C17" s="159"/>
      <c r="D17" s="159"/>
      <c r="E17" s="159"/>
      <c r="F17" s="159"/>
      <c r="G17" s="159"/>
    </row>
    <row r="18" spans="1:7" x14ac:dyDescent="0.25">
      <c r="A18" s="77" t="s">
        <v>315</v>
      </c>
      <c r="B18" s="161">
        <v>45070</v>
      </c>
      <c r="C18" s="159"/>
      <c r="D18" s="159"/>
      <c r="E18" s="159"/>
      <c r="F18" s="159"/>
      <c r="G18" s="159"/>
    </row>
    <row r="19" spans="1:7" x14ac:dyDescent="0.25">
      <c r="A19" s="77" t="s">
        <v>316</v>
      </c>
      <c r="B19" s="161">
        <v>45014</v>
      </c>
      <c r="C19" s="159"/>
      <c r="D19" s="159"/>
      <c r="E19" s="159"/>
      <c r="F19" s="159"/>
      <c r="G19" s="159"/>
    </row>
    <row r="20" spans="1:7" x14ac:dyDescent="0.25">
      <c r="A20" s="77" t="s">
        <v>317</v>
      </c>
      <c r="B20" s="159" t="s">
        <v>327</v>
      </c>
      <c r="C20" s="159"/>
      <c r="D20" s="159"/>
      <c r="E20" s="159"/>
      <c r="F20" s="159"/>
      <c r="G20" s="159"/>
    </row>
    <row r="21" spans="1:7" x14ac:dyDescent="0.25">
      <c r="A21" s="77" t="s">
        <v>318</v>
      </c>
      <c r="B21" s="159" t="s">
        <v>328</v>
      </c>
      <c r="C21" s="159"/>
      <c r="D21" s="159"/>
      <c r="E21" s="159"/>
      <c r="F21" s="159"/>
      <c r="G21" s="159"/>
    </row>
    <row r="23" spans="1:7" x14ac:dyDescent="0.25">
      <c r="B23" s="91" t="str">
        <f>HYPERLINK("#'Factor List'!A1","Back to Factor List")</f>
        <v>Back to Factor List</v>
      </c>
    </row>
    <row r="24" spans="1:7" x14ac:dyDescent="0.25">
      <c r="B24" s="91" t="s">
        <v>240</v>
      </c>
    </row>
    <row r="25" spans="1:7" x14ac:dyDescent="0.25">
      <c r="B25" s="91"/>
    </row>
    <row r="26" spans="1:7" ht="13" x14ac:dyDescent="0.25">
      <c r="A26" s="87" t="s">
        <v>667</v>
      </c>
      <c r="B26" s="87">
        <v>60</v>
      </c>
      <c r="C26" s="87">
        <v>61</v>
      </c>
      <c r="D26" s="87">
        <v>62</v>
      </c>
      <c r="E26" s="87">
        <v>63</v>
      </c>
      <c r="F26" s="87">
        <v>64</v>
      </c>
      <c r="G26" s="87">
        <v>65</v>
      </c>
    </row>
    <row r="27" spans="1:7" x14ac:dyDescent="0.25">
      <c r="A27" s="88">
        <v>0</v>
      </c>
      <c r="B27" s="90">
        <v>1</v>
      </c>
      <c r="C27" s="90">
        <v>1.05</v>
      </c>
      <c r="D27" s="90">
        <v>1.105</v>
      </c>
      <c r="E27" s="90">
        <v>1.1639999999999999</v>
      </c>
      <c r="F27" s="90">
        <v>1.228</v>
      </c>
      <c r="G27" s="90">
        <v>1.298</v>
      </c>
    </row>
    <row r="28" spans="1:7" x14ac:dyDescent="0.25">
      <c r="A28" s="88">
        <v>1</v>
      </c>
      <c r="B28" s="90">
        <v>1.004</v>
      </c>
      <c r="C28" s="90">
        <v>1.0549999999999999</v>
      </c>
      <c r="D28" s="90">
        <v>1.1100000000000001</v>
      </c>
      <c r="E28" s="90">
        <v>1.169</v>
      </c>
      <c r="F28" s="90">
        <v>1.234</v>
      </c>
      <c r="G28" s="90">
        <v>1.304</v>
      </c>
    </row>
    <row r="29" spans="1:7" x14ac:dyDescent="0.25">
      <c r="A29" s="88">
        <v>2</v>
      </c>
      <c r="B29" s="90">
        <v>1.008</v>
      </c>
      <c r="C29" s="90">
        <v>1.0589999999999999</v>
      </c>
      <c r="D29" s="90">
        <v>1.115</v>
      </c>
      <c r="E29" s="90">
        <v>1.175</v>
      </c>
      <c r="F29" s="90">
        <v>1.24</v>
      </c>
      <c r="G29" s="90">
        <v>1.3109999999999999</v>
      </c>
    </row>
    <row r="30" spans="1:7" x14ac:dyDescent="0.25">
      <c r="A30" s="88">
        <v>3</v>
      </c>
      <c r="B30" s="90">
        <v>1.0129999999999999</v>
      </c>
      <c r="C30" s="90">
        <v>1.0640000000000001</v>
      </c>
      <c r="D30" s="90">
        <v>1.1200000000000001</v>
      </c>
      <c r="E30" s="90">
        <v>1.18</v>
      </c>
      <c r="F30" s="90">
        <v>1.2450000000000001</v>
      </c>
      <c r="G30" s="90">
        <v>1.3169999999999999</v>
      </c>
    </row>
    <row r="31" spans="1:7" x14ac:dyDescent="0.25">
      <c r="A31" s="88">
        <v>4</v>
      </c>
      <c r="B31" s="90">
        <v>1.0169999999999999</v>
      </c>
      <c r="C31" s="90">
        <v>1.0680000000000001</v>
      </c>
      <c r="D31" s="90">
        <v>1.1240000000000001</v>
      </c>
      <c r="E31" s="90">
        <v>1.1850000000000001</v>
      </c>
      <c r="F31" s="90">
        <v>1.2509999999999999</v>
      </c>
      <c r="G31" s="90">
        <v>1.323</v>
      </c>
    </row>
    <row r="32" spans="1:7" x14ac:dyDescent="0.25">
      <c r="A32" s="88">
        <v>5</v>
      </c>
      <c r="B32" s="90">
        <v>1.0209999999999999</v>
      </c>
      <c r="C32" s="90">
        <v>1.073</v>
      </c>
      <c r="D32" s="90">
        <v>1.129</v>
      </c>
      <c r="E32" s="90">
        <v>1.1910000000000001</v>
      </c>
      <c r="F32" s="90">
        <v>1.2569999999999999</v>
      </c>
      <c r="G32" s="90">
        <v>1.33</v>
      </c>
    </row>
    <row r="33" spans="1:7" x14ac:dyDescent="0.25">
      <c r="A33" s="88">
        <v>6</v>
      </c>
      <c r="B33" s="90">
        <v>1.0249999999999999</v>
      </c>
      <c r="C33" s="90">
        <v>1.0780000000000001</v>
      </c>
      <c r="D33" s="90">
        <v>1.1339999999999999</v>
      </c>
      <c r="E33" s="90">
        <v>1.196</v>
      </c>
      <c r="F33" s="90">
        <v>1.2629999999999999</v>
      </c>
      <c r="G33" s="90">
        <v>1.3360000000000001</v>
      </c>
    </row>
    <row r="34" spans="1:7" x14ac:dyDescent="0.25">
      <c r="A34" s="88">
        <v>7</v>
      </c>
      <c r="B34" s="90">
        <v>1.0289999999999999</v>
      </c>
      <c r="C34" s="90">
        <v>1.0820000000000001</v>
      </c>
      <c r="D34" s="90">
        <v>1.139</v>
      </c>
      <c r="E34" s="90">
        <v>1.2010000000000001</v>
      </c>
      <c r="F34" s="90">
        <v>1.2689999999999999</v>
      </c>
      <c r="G34" s="90">
        <v>1.3420000000000001</v>
      </c>
    </row>
    <row r="35" spans="1:7" x14ac:dyDescent="0.25">
      <c r="A35" s="88">
        <v>8</v>
      </c>
      <c r="B35" s="90">
        <v>1.034</v>
      </c>
      <c r="C35" s="90">
        <v>1.087</v>
      </c>
      <c r="D35" s="90">
        <v>1.1439999999999999</v>
      </c>
      <c r="E35" s="90">
        <v>1.2070000000000001</v>
      </c>
      <c r="F35" s="90">
        <v>1.2749999999999999</v>
      </c>
      <c r="G35" s="90">
        <v>1.349</v>
      </c>
    </row>
    <row r="36" spans="1:7" x14ac:dyDescent="0.25">
      <c r="A36" s="88">
        <v>9</v>
      </c>
      <c r="B36" s="90">
        <v>1.038</v>
      </c>
      <c r="C36" s="90">
        <v>1.091</v>
      </c>
      <c r="D36" s="90">
        <v>1.149</v>
      </c>
      <c r="E36" s="90">
        <v>1.212</v>
      </c>
      <c r="F36" s="90">
        <v>1.28</v>
      </c>
      <c r="G36" s="90">
        <v>1.355</v>
      </c>
    </row>
    <row r="37" spans="1:7" x14ac:dyDescent="0.25">
      <c r="A37" s="88">
        <v>10</v>
      </c>
      <c r="B37" s="90">
        <v>1.042</v>
      </c>
      <c r="C37" s="90">
        <v>1.0960000000000001</v>
      </c>
      <c r="D37" s="90">
        <v>1.1539999999999999</v>
      </c>
      <c r="E37" s="90">
        <v>1.2170000000000001</v>
      </c>
      <c r="F37" s="90">
        <v>1.286</v>
      </c>
      <c r="G37" s="90">
        <v>1.361</v>
      </c>
    </row>
    <row r="38" spans="1:7" x14ac:dyDescent="0.25">
      <c r="A38" s="88">
        <v>11</v>
      </c>
      <c r="B38" s="90">
        <v>1.046</v>
      </c>
      <c r="C38" s="90">
        <v>1.1000000000000001</v>
      </c>
      <c r="D38" s="90">
        <v>1.159</v>
      </c>
      <c r="E38" s="90">
        <v>1.2230000000000001</v>
      </c>
      <c r="F38" s="90">
        <v>1.292</v>
      </c>
      <c r="G38" s="90">
        <v>1.3680000000000001</v>
      </c>
    </row>
    <row r="44" spans="1:7" ht="39.65" customHeight="1" x14ac:dyDescent="0.25"/>
    <row r="46" spans="1:7" ht="27.65" customHeight="1" x14ac:dyDescent="0.25"/>
  </sheetData>
  <sheetProtection algorithmName="SHA-512" hashValue="VLrrYpyP0o7Ps7qvf/PJNZbBzj/ZAwHcQOQ86MBr56LLyVpY9UmVe6sC/KpPFnGywEpWY0yXAllRStzF/UzFZA==" saltValue="g4/3nsGtHp7/6OwqWRf3aQ==" spinCount="100000" sheet="1" objects="1" scenarios="1"/>
  <conditionalFormatting sqref="A6:A16">
    <cfRule type="expression" dxfId="927" priority="23" stopIfTrue="1">
      <formula>MOD(ROW(),2)=0</formula>
    </cfRule>
    <cfRule type="expression" dxfId="926" priority="24" stopIfTrue="1">
      <formula>MOD(ROW(),2)&lt;&gt;0</formula>
    </cfRule>
  </conditionalFormatting>
  <conditionalFormatting sqref="B6:G21">
    <cfRule type="expression" dxfId="925" priority="25" stopIfTrue="1">
      <formula>MOD(ROW(),2)=0</formula>
    </cfRule>
    <cfRule type="expression" dxfId="924" priority="26" stopIfTrue="1">
      <formula>MOD(ROW(),2)&lt;&gt;0</formula>
    </cfRule>
  </conditionalFormatting>
  <conditionalFormatting sqref="C17:C21">
    <cfRule type="expression" dxfId="923" priority="17" stopIfTrue="1">
      <formula>MOD(ROW(),2)=0</formula>
    </cfRule>
    <cfRule type="expression" dxfId="922" priority="18" stopIfTrue="1">
      <formula>MOD(ROW(),2)&lt;&gt;0</formula>
    </cfRule>
  </conditionalFormatting>
  <conditionalFormatting sqref="A17:A20">
    <cfRule type="expression" dxfId="921" priority="13" stopIfTrue="1">
      <formula>MOD(ROW(),2)=0</formula>
    </cfRule>
    <cfRule type="expression" dxfId="920" priority="14" stopIfTrue="1">
      <formula>MOD(ROW(),2)&lt;&gt;0</formula>
    </cfRule>
  </conditionalFormatting>
  <conditionalFormatting sqref="B17:B18 B20:B21">
    <cfRule type="expression" dxfId="919" priority="15" stopIfTrue="1">
      <formula>MOD(ROW(),2)=0</formula>
    </cfRule>
    <cfRule type="expression" dxfId="918" priority="16" stopIfTrue="1">
      <formula>MOD(ROW(),2)&lt;&gt;0</formula>
    </cfRule>
  </conditionalFormatting>
  <conditionalFormatting sqref="A26:A38">
    <cfRule type="expression" dxfId="917" priority="7" stopIfTrue="1">
      <formula>MOD(ROW(),2)=0</formula>
    </cfRule>
    <cfRule type="expression" dxfId="916" priority="8" stopIfTrue="1">
      <formula>MOD(ROW(),2)&lt;&gt;0</formula>
    </cfRule>
  </conditionalFormatting>
  <conditionalFormatting sqref="B26:G38">
    <cfRule type="expression" dxfId="915" priority="9" stopIfTrue="1">
      <formula>MOD(ROW(),2)=0</formula>
    </cfRule>
    <cfRule type="expression" dxfId="914" priority="10" stopIfTrue="1">
      <formula>MOD(ROW(),2)&lt;&gt;0</formula>
    </cfRule>
  </conditionalFormatting>
  <conditionalFormatting sqref="B19">
    <cfRule type="expression" dxfId="913" priority="5" stopIfTrue="1">
      <formula>MOD(ROW(),2)=0</formula>
    </cfRule>
    <cfRule type="expression" dxfId="912" priority="6" stopIfTrue="1">
      <formula>MOD(ROW(),2)&lt;&gt;0</formula>
    </cfRule>
  </conditionalFormatting>
  <conditionalFormatting sqref="A21">
    <cfRule type="expression" dxfId="911" priority="1" stopIfTrue="1">
      <formula>MOD(ROW(),2)=0</formula>
    </cfRule>
    <cfRule type="expression" dxfId="910" priority="2" stopIfTrue="1">
      <formula>MOD(ROW(),2)&lt;&gt;0</formula>
    </cfRule>
  </conditionalFormatting>
  <hyperlinks>
    <hyperlink ref="B24" location="Assumptions!A1" display="Assumptions" xr:uid="{9BD4E889-B414-4A30-99C3-A00EDCC9063D}"/>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Sheet65"/>
  <dimension ref="A1:AQ46"/>
  <sheetViews>
    <sheetView showGridLines="0" zoomScale="85" zoomScaleNormal="85" workbookViewId="0">
      <selection activeCell="B18" sqref="B18"/>
    </sheetView>
  </sheetViews>
  <sheetFormatPr defaultColWidth="10" defaultRowHeight="12.5" x14ac:dyDescent="0.25"/>
  <cols>
    <col min="1" max="1" width="31.81640625" style="28" customWidth="1"/>
    <col min="2" max="43" width="22.81640625" style="28" customWidth="1"/>
    <col min="44" max="16384" width="10" style="28"/>
  </cols>
  <sheetData>
    <row r="1" spans="1:43" ht="20" x14ac:dyDescent="0.4">
      <c r="A1" s="40" t="s">
        <v>227</v>
      </c>
      <c r="B1" s="41"/>
      <c r="C1" s="41"/>
      <c r="D1" s="41"/>
      <c r="E1" s="41"/>
      <c r="F1" s="41"/>
      <c r="G1" s="41"/>
      <c r="H1" s="41"/>
      <c r="I1" s="41"/>
    </row>
    <row r="2" spans="1:43" ht="15.5" x14ac:dyDescent="0.35">
      <c r="A2" s="42" t="str">
        <f>IF(title="&gt; Enter workbook title here","Enter workbook title in Cover sheet",title)</f>
        <v>Fire Northern Ireland - Consolidated Factor Spreadsheet</v>
      </c>
      <c r="B2" s="43"/>
      <c r="C2" s="43"/>
      <c r="D2" s="43"/>
      <c r="E2" s="43"/>
      <c r="F2" s="43"/>
      <c r="G2" s="43"/>
      <c r="H2" s="43"/>
      <c r="I2" s="43"/>
    </row>
    <row r="3" spans="1:43" ht="15.5" x14ac:dyDescent="0.35">
      <c r="A3" s="44" t="str">
        <f>TABLE_FACTOR_TYPE_1&amp;" - x-"&amp;TABLE_SERIES_NUMBER_1</f>
        <v>Pension Debit - x-320</v>
      </c>
      <c r="B3" s="43"/>
      <c r="C3" s="43"/>
      <c r="D3" s="43"/>
      <c r="E3" s="43"/>
      <c r="F3" s="43"/>
      <c r="G3" s="43"/>
      <c r="H3" s="43"/>
      <c r="I3" s="43"/>
    </row>
    <row r="4" spans="1:43" x14ac:dyDescent="0.25">
      <c r="A4" s="45"/>
    </row>
    <row r="6" spans="1:43" ht="13" x14ac:dyDescent="0.3">
      <c r="A6" s="75" t="s">
        <v>562</v>
      </c>
      <c r="B6" s="159" t="s">
        <v>563</v>
      </c>
      <c r="C6" s="159"/>
      <c r="D6" s="159"/>
      <c r="E6" s="159"/>
      <c r="F6" s="159"/>
      <c r="G6" s="159"/>
      <c r="H6" s="159"/>
      <c r="I6" s="159"/>
      <c r="J6" s="159"/>
      <c r="K6" s="159"/>
      <c r="L6" s="159"/>
      <c r="M6" s="159"/>
      <c r="N6" s="159"/>
      <c r="O6" s="159"/>
      <c r="P6" s="159"/>
      <c r="Q6" s="159"/>
      <c r="R6" s="159"/>
      <c r="S6" s="159"/>
      <c r="T6" s="159"/>
      <c r="U6" s="159"/>
      <c r="V6" s="159"/>
      <c r="W6" s="159"/>
      <c r="X6" s="159"/>
      <c r="Y6" s="159"/>
      <c r="Z6" s="159"/>
      <c r="AA6" s="159"/>
      <c r="AB6" s="159"/>
      <c r="AC6" s="159"/>
      <c r="AD6" s="159"/>
      <c r="AE6" s="159"/>
      <c r="AF6" s="159"/>
      <c r="AG6" s="159"/>
      <c r="AH6" s="159"/>
      <c r="AI6" s="159"/>
      <c r="AJ6" s="159"/>
      <c r="AK6" s="159"/>
      <c r="AL6" s="159"/>
      <c r="AM6" s="159"/>
      <c r="AN6" s="159"/>
      <c r="AO6" s="159"/>
      <c r="AP6" s="159"/>
      <c r="AQ6" s="159"/>
    </row>
    <row r="7" spans="1:43" x14ac:dyDescent="0.25">
      <c r="A7" s="77" t="s">
        <v>305</v>
      </c>
      <c r="B7" s="159" t="s">
        <v>319</v>
      </c>
      <c r="C7" s="159"/>
      <c r="D7" s="159"/>
      <c r="E7" s="159"/>
      <c r="F7" s="159"/>
      <c r="G7" s="159"/>
      <c r="H7" s="159"/>
      <c r="I7" s="159"/>
      <c r="J7" s="159"/>
      <c r="K7" s="159"/>
      <c r="L7" s="159"/>
      <c r="M7" s="159"/>
      <c r="N7" s="159"/>
      <c r="O7" s="159"/>
      <c r="P7" s="159"/>
      <c r="Q7" s="159"/>
      <c r="R7" s="159"/>
      <c r="S7" s="159"/>
      <c r="T7" s="159"/>
      <c r="U7" s="159"/>
      <c r="V7" s="159"/>
      <c r="W7" s="159"/>
      <c r="X7" s="159"/>
      <c r="Y7" s="159"/>
      <c r="Z7" s="159"/>
      <c r="AA7" s="159"/>
      <c r="AB7" s="159"/>
      <c r="AC7" s="159"/>
      <c r="AD7" s="159"/>
      <c r="AE7" s="159"/>
      <c r="AF7" s="159"/>
      <c r="AG7" s="159"/>
      <c r="AH7" s="159"/>
      <c r="AI7" s="159"/>
      <c r="AJ7" s="159"/>
      <c r="AK7" s="159"/>
      <c r="AL7" s="159"/>
      <c r="AM7" s="159"/>
      <c r="AN7" s="159"/>
      <c r="AO7" s="159"/>
      <c r="AP7" s="159"/>
      <c r="AQ7" s="159"/>
    </row>
    <row r="8" spans="1:43" x14ac:dyDescent="0.25">
      <c r="A8" s="77" t="s">
        <v>306</v>
      </c>
      <c r="B8" s="159" t="s">
        <v>320</v>
      </c>
      <c r="C8" s="159"/>
      <c r="D8" s="159"/>
      <c r="E8" s="159"/>
      <c r="F8" s="159"/>
      <c r="G8" s="159"/>
      <c r="H8" s="159"/>
      <c r="I8" s="159"/>
      <c r="J8" s="159"/>
      <c r="K8" s="159"/>
      <c r="L8" s="159"/>
      <c r="M8" s="159"/>
      <c r="N8" s="159"/>
      <c r="O8" s="159"/>
      <c r="P8" s="159"/>
      <c r="Q8" s="159"/>
      <c r="R8" s="159"/>
      <c r="S8" s="159"/>
      <c r="T8" s="159"/>
      <c r="U8" s="159"/>
      <c r="V8" s="159"/>
      <c r="W8" s="159"/>
      <c r="X8" s="159"/>
      <c r="Y8" s="159"/>
      <c r="Z8" s="159"/>
      <c r="AA8" s="159"/>
      <c r="AB8" s="159"/>
      <c r="AC8" s="159"/>
      <c r="AD8" s="159"/>
      <c r="AE8" s="159"/>
      <c r="AF8" s="159"/>
      <c r="AG8" s="159"/>
      <c r="AH8" s="159"/>
      <c r="AI8" s="159"/>
      <c r="AJ8" s="159"/>
      <c r="AK8" s="159"/>
      <c r="AL8" s="159"/>
      <c r="AM8" s="159"/>
      <c r="AN8" s="159"/>
      <c r="AO8" s="159"/>
      <c r="AP8" s="159"/>
      <c r="AQ8" s="159"/>
    </row>
    <row r="9" spans="1:43" x14ac:dyDescent="0.25">
      <c r="A9" s="77" t="s">
        <v>307</v>
      </c>
      <c r="B9" s="159" t="s">
        <v>402</v>
      </c>
      <c r="C9" s="159"/>
      <c r="D9" s="159"/>
      <c r="E9" s="159"/>
      <c r="F9" s="159"/>
      <c r="G9" s="159"/>
      <c r="H9" s="159"/>
      <c r="I9" s="159"/>
      <c r="J9" s="159"/>
      <c r="K9" s="159"/>
      <c r="L9" s="159"/>
      <c r="M9" s="159"/>
      <c r="N9" s="159"/>
      <c r="O9" s="159"/>
      <c r="P9" s="159"/>
      <c r="Q9" s="159"/>
      <c r="R9" s="159"/>
      <c r="S9" s="159"/>
      <c r="T9" s="159"/>
      <c r="U9" s="159"/>
      <c r="V9" s="159"/>
      <c r="W9" s="159"/>
      <c r="X9" s="159"/>
      <c r="Y9" s="159"/>
      <c r="Z9" s="159"/>
      <c r="AA9" s="159"/>
      <c r="AB9" s="159"/>
      <c r="AC9" s="159"/>
      <c r="AD9" s="159"/>
      <c r="AE9" s="159"/>
      <c r="AF9" s="159"/>
      <c r="AG9" s="159"/>
      <c r="AH9" s="159"/>
      <c r="AI9" s="159"/>
      <c r="AJ9" s="159"/>
      <c r="AK9" s="159"/>
      <c r="AL9" s="159"/>
      <c r="AM9" s="159"/>
      <c r="AN9" s="159"/>
      <c r="AO9" s="159"/>
      <c r="AP9" s="159"/>
      <c r="AQ9" s="159"/>
    </row>
    <row r="10" spans="1:43" x14ac:dyDescent="0.25">
      <c r="A10" s="77" t="s">
        <v>233</v>
      </c>
      <c r="B10" s="159" t="s">
        <v>411</v>
      </c>
      <c r="C10" s="159"/>
      <c r="D10" s="159"/>
      <c r="E10" s="159"/>
      <c r="F10" s="159"/>
      <c r="G10" s="159"/>
      <c r="H10" s="159"/>
      <c r="I10" s="159"/>
      <c r="J10" s="159"/>
      <c r="K10" s="159"/>
      <c r="L10" s="159"/>
      <c r="M10" s="159"/>
      <c r="N10" s="159"/>
      <c r="O10" s="159"/>
      <c r="P10" s="159"/>
      <c r="Q10" s="159"/>
      <c r="R10" s="159"/>
      <c r="S10" s="159"/>
      <c r="T10" s="159"/>
      <c r="U10" s="159"/>
      <c r="V10" s="159"/>
      <c r="W10" s="159"/>
      <c r="X10" s="159"/>
      <c r="Y10" s="159"/>
      <c r="Z10" s="159"/>
      <c r="AA10" s="159"/>
      <c r="AB10" s="159"/>
      <c r="AC10" s="159"/>
      <c r="AD10" s="159"/>
      <c r="AE10" s="159"/>
      <c r="AF10" s="159"/>
      <c r="AG10" s="159"/>
      <c r="AH10" s="159"/>
      <c r="AI10" s="159"/>
      <c r="AJ10" s="159"/>
      <c r="AK10" s="159"/>
      <c r="AL10" s="159"/>
      <c r="AM10" s="159"/>
      <c r="AN10" s="159"/>
      <c r="AO10" s="159"/>
      <c r="AP10" s="159"/>
      <c r="AQ10" s="159"/>
    </row>
    <row r="11" spans="1:43" x14ac:dyDescent="0.25">
      <c r="A11" s="77" t="s">
        <v>308</v>
      </c>
      <c r="B11" s="159" t="s">
        <v>404</v>
      </c>
      <c r="C11" s="159"/>
      <c r="D11" s="159"/>
      <c r="E11" s="159"/>
      <c r="F11" s="159"/>
      <c r="G11" s="159"/>
      <c r="H11" s="159"/>
      <c r="I11" s="159"/>
      <c r="J11" s="159"/>
      <c r="K11" s="159"/>
      <c r="L11" s="159"/>
      <c r="M11" s="159"/>
      <c r="N11" s="159"/>
      <c r="O11" s="159"/>
      <c r="P11" s="159"/>
      <c r="Q11" s="159"/>
      <c r="R11" s="159"/>
      <c r="S11" s="159"/>
      <c r="T11" s="159"/>
      <c r="U11" s="159"/>
      <c r="V11" s="159"/>
      <c r="W11" s="159"/>
      <c r="X11" s="159"/>
      <c r="Y11" s="159"/>
      <c r="Z11" s="159"/>
      <c r="AA11" s="159"/>
      <c r="AB11" s="159"/>
      <c r="AC11" s="159"/>
      <c r="AD11" s="159"/>
      <c r="AE11" s="159"/>
      <c r="AF11" s="159"/>
      <c r="AG11" s="159"/>
      <c r="AH11" s="159"/>
      <c r="AI11" s="159"/>
      <c r="AJ11" s="159"/>
      <c r="AK11" s="159"/>
      <c r="AL11" s="159"/>
      <c r="AM11" s="159"/>
      <c r="AN11" s="159"/>
      <c r="AO11" s="159"/>
      <c r="AP11" s="159"/>
      <c r="AQ11" s="159"/>
    </row>
    <row r="12" spans="1:43" x14ac:dyDescent="0.25">
      <c r="A12" s="77" t="s">
        <v>309</v>
      </c>
      <c r="B12" s="159" t="s">
        <v>405</v>
      </c>
      <c r="C12" s="159"/>
      <c r="D12" s="159"/>
      <c r="E12" s="159"/>
      <c r="F12" s="159"/>
      <c r="G12" s="159"/>
      <c r="H12" s="159"/>
      <c r="I12" s="159"/>
      <c r="J12" s="159"/>
      <c r="K12" s="159"/>
      <c r="L12" s="159"/>
      <c r="M12" s="159"/>
      <c r="N12" s="159"/>
      <c r="O12" s="159"/>
      <c r="P12" s="159"/>
      <c r="Q12" s="159"/>
      <c r="R12" s="159"/>
      <c r="S12" s="159"/>
      <c r="T12" s="159"/>
      <c r="U12" s="159"/>
      <c r="V12" s="159"/>
      <c r="W12" s="159"/>
      <c r="X12" s="159"/>
      <c r="Y12" s="159"/>
      <c r="Z12" s="159"/>
      <c r="AA12" s="159"/>
      <c r="AB12" s="159"/>
      <c r="AC12" s="159"/>
      <c r="AD12" s="159"/>
      <c r="AE12" s="159"/>
      <c r="AF12" s="159"/>
      <c r="AG12" s="159"/>
      <c r="AH12" s="159"/>
      <c r="AI12" s="159"/>
      <c r="AJ12" s="159"/>
      <c r="AK12" s="159"/>
      <c r="AL12" s="159"/>
      <c r="AM12" s="159"/>
      <c r="AN12" s="159"/>
      <c r="AO12" s="159"/>
      <c r="AP12" s="159"/>
      <c r="AQ12" s="159"/>
    </row>
    <row r="13" spans="1:43" x14ac:dyDescent="0.25">
      <c r="A13" s="77" t="s">
        <v>570</v>
      </c>
      <c r="B13" s="159">
        <v>2</v>
      </c>
      <c r="C13" s="159"/>
      <c r="D13" s="159"/>
      <c r="E13" s="159"/>
      <c r="F13" s="159"/>
      <c r="G13" s="159"/>
      <c r="H13" s="159"/>
      <c r="I13" s="159"/>
      <c r="J13" s="159"/>
      <c r="K13" s="159"/>
      <c r="L13" s="159"/>
      <c r="M13" s="159"/>
      <c r="N13" s="159"/>
      <c r="O13" s="159"/>
      <c r="P13" s="159"/>
      <c r="Q13" s="159"/>
      <c r="R13" s="159"/>
      <c r="S13" s="159"/>
      <c r="T13" s="159"/>
      <c r="U13" s="159"/>
      <c r="V13" s="159"/>
      <c r="W13" s="159"/>
      <c r="X13" s="159"/>
      <c r="Y13" s="159"/>
      <c r="Z13" s="159"/>
      <c r="AA13" s="159"/>
      <c r="AB13" s="159"/>
      <c r="AC13" s="159"/>
      <c r="AD13" s="159"/>
      <c r="AE13" s="159"/>
      <c r="AF13" s="159"/>
      <c r="AG13" s="159"/>
      <c r="AH13" s="159"/>
      <c r="AI13" s="159"/>
      <c r="AJ13" s="159"/>
      <c r="AK13" s="159"/>
      <c r="AL13" s="159"/>
      <c r="AM13" s="159"/>
      <c r="AN13" s="159"/>
      <c r="AO13" s="159"/>
      <c r="AP13" s="159"/>
      <c r="AQ13" s="159"/>
    </row>
    <row r="14" spans="1:43" x14ac:dyDescent="0.25">
      <c r="A14" s="77" t="s">
        <v>311</v>
      </c>
      <c r="B14" s="159">
        <v>320</v>
      </c>
      <c r="C14" s="159"/>
      <c r="D14" s="159"/>
      <c r="E14" s="159"/>
      <c r="F14" s="159"/>
      <c r="G14" s="159"/>
      <c r="H14" s="159"/>
      <c r="I14" s="159"/>
      <c r="J14" s="159"/>
      <c r="K14" s="159"/>
      <c r="L14" s="159"/>
      <c r="M14" s="159"/>
      <c r="N14" s="159"/>
      <c r="O14" s="159"/>
      <c r="P14" s="159"/>
      <c r="Q14" s="159"/>
      <c r="R14" s="159"/>
      <c r="S14" s="159"/>
      <c r="T14" s="159"/>
      <c r="U14" s="159"/>
      <c r="V14" s="159"/>
      <c r="W14" s="159"/>
      <c r="X14" s="159"/>
      <c r="Y14" s="159"/>
      <c r="Z14" s="159"/>
      <c r="AA14" s="159"/>
      <c r="AB14" s="159"/>
      <c r="AC14" s="159"/>
      <c r="AD14" s="159"/>
      <c r="AE14" s="159"/>
      <c r="AF14" s="159"/>
      <c r="AG14" s="159"/>
      <c r="AH14" s="159"/>
      <c r="AI14" s="159"/>
      <c r="AJ14" s="159"/>
      <c r="AK14" s="159"/>
      <c r="AL14" s="159"/>
      <c r="AM14" s="159"/>
      <c r="AN14" s="159"/>
      <c r="AO14" s="159"/>
      <c r="AP14" s="159"/>
      <c r="AQ14" s="159"/>
    </row>
    <row r="15" spans="1:43" x14ac:dyDescent="0.25">
      <c r="A15" s="77" t="s">
        <v>573</v>
      </c>
      <c r="B15" s="159" t="s">
        <v>412</v>
      </c>
      <c r="C15" s="159"/>
      <c r="D15" s="159"/>
      <c r="E15" s="159"/>
      <c r="F15" s="159"/>
      <c r="G15" s="159"/>
      <c r="H15" s="159"/>
      <c r="I15" s="159"/>
      <c r="J15" s="159"/>
      <c r="K15" s="159"/>
      <c r="L15" s="159"/>
      <c r="M15" s="159"/>
      <c r="N15" s="159"/>
      <c r="O15" s="159"/>
      <c r="P15" s="159"/>
      <c r="Q15" s="159"/>
      <c r="R15" s="159"/>
      <c r="S15" s="159"/>
      <c r="T15" s="159"/>
      <c r="U15" s="159"/>
      <c r="V15" s="159"/>
      <c r="W15" s="159"/>
      <c r="X15" s="159"/>
      <c r="Y15" s="159"/>
      <c r="Z15" s="159"/>
      <c r="AA15" s="159"/>
      <c r="AB15" s="159"/>
      <c r="AC15" s="159"/>
      <c r="AD15" s="159"/>
      <c r="AE15" s="159"/>
      <c r="AF15" s="159"/>
      <c r="AG15" s="159"/>
      <c r="AH15" s="159"/>
      <c r="AI15" s="159"/>
      <c r="AJ15" s="159"/>
      <c r="AK15" s="159"/>
      <c r="AL15" s="159"/>
      <c r="AM15" s="159"/>
      <c r="AN15" s="159"/>
      <c r="AO15" s="159"/>
      <c r="AP15" s="159"/>
      <c r="AQ15" s="159"/>
    </row>
    <row r="16" spans="1:43" x14ac:dyDescent="0.25">
      <c r="A16" s="77" t="s">
        <v>313</v>
      </c>
      <c r="B16" s="159" t="s">
        <v>413</v>
      </c>
      <c r="C16" s="159"/>
      <c r="D16" s="159"/>
      <c r="E16" s="159"/>
      <c r="F16" s="159"/>
      <c r="G16" s="159"/>
      <c r="H16" s="159"/>
      <c r="I16" s="159"/>
      <c r="J16" s="159"/>
      <c r="K16" s="159"/>
      <c r="L16" s="159"/>
      <c r="M16" s="159"/>
      <c r="N16" s="159"/>
      <c r="O16" s="159"/>
      <c r="P16" s="159"/>
      <c r="Q16" s="159"/>
      <c r="R16" s="159"/>
      <c r="S16" s="159"/>
      <c r="T16" s="159"/>
      <c r="U16" s="159"/>
      <c r="V16" s="159"/>
      <c r="W16" s="159"/>
      <c r="X16" s="159"/>
      <c r="Y16" s="159"/>
      <c r="Z16" s="159"/>
      <c r="AA16" s="159"/>
      <c r="AB16" s="159"/>
      <c r="AC16" s="159"/>
      <c r="AD16" s="159"/>
      <c r="AE16" s="159"/>
      <c r="AF16" s="159"/>
      <c r="AG16" s="159"/>
      <c r="AH16" s="159"/>
      <c r="AI16" s="159"/>
      <c r="AJ16" s="159"/>
      <c r="AK16" s="159"/>
      <c r="AL16" s="159"/>
      <c r="AM16" s="159"/>
      <c r="AN16" s="159"/>
      <c r="AO16" s="159"/>
      <c r="AP16" s="159"/>
      <c r="AQ16" s="159"/>
    </row>
    <row r="17" spans="1:43" x14ac:dyDescent="0.25">
      <c r="A17" s="77" t="s">
        <v>642</v>
      </c>
      <c r="B17" s="159"/>
      <c r="C17" s="159"/>
      <c r="D17" s="159"/>
      <c r="E17" s="159"/>
      <c r="F17" s="159"/>
      <c r="G17" s="159"/>
      <c r="H17" s="159"/>
      <c r="I17" s="159"/>
      <c r="J17" s="159"/>
      <c r="K17" s="159"/>
      <c r="L17" s="159"/>
      <c r="M17" s="159"/>
      <c r="N17" s="159"/>
      <c r="O17" s="159"/>
      <c r="P17" s="159"/>
      <c r="Q17" s="159"/>
      <c r="R17" s="159"/>
      <c r="S17" s="159"/>
      <c r="T17" s="159"/>
      <c r="U17" s="159"/>
      <c r="V17" s="159"/>
      <c r="W17" s="159"/>
      <c r="X17" s="159"/>
      <c r="Y17" s="159"/>
      <c r="Z17" s="159"/>
      <c r="AA17" s="159"/>
      <c r="AB17" s="159"/>
      <c r="AC17" s="159"/>
      <c r="AD17" s="159"/>
      <c r="AE17" s="159"/>
      <c r="AF17" s="159"/>
      <c r="AG17" s="159"/>
      <c r="AH17" s="159"/>
      <c r="AI17" s="159"/>
      <c r="AJ17" s="159"/>
      <c r="AK17" s="159"/>
      <c r="AL17" s="159"/>
      <c r="AM17" s="159"/>
      <c r="AN17" s="159"/>
      <c r="AO17" s="159"/>
      <c r="AP17" s="159"/>
      <c r="AQ17" s="159"/>
    </row>
    <row r="18" spans="1:43" x14ac:dyDescent="0.25">
      <c r="A18" s="77" t="s">
        <v>315</v>
      </c>
      <c r="B18" s="161">
        <v>45070</v>
      </c>
      <c r="C18" s="159"/>
      <c r="D18" s="159"/>
      <c r="E18" s="159"/>
      <c r="F18" s="159"/>
      <c r="G18" s="159"/>
      <c r="H18" s="159"/>
      <c r="I18" s="159"/>
      <c r="J18" s="159"/>
      <c r="K18" s="159"/>
      <c r="L18" s="159"/>
      <c r="M18" s="159"/>
      <c r="N18" s="159"/>
      <c r="O18" s="159"/>
      <c r="P18" s="159"/>
      <c r="Q18" s="159"/>
      <c r="R18" s="159"/>
      <c r="S18" s="159"/>
      <c r="T18" s="159"/>
      <c r="U18" s="159"/>
      <c r="V18" s="159"/>
      <c r="W18" s="159"/>
      <c r="X18" s="159"/>
      <c r="Y18" s="159"/>
      <c r="Z18" s="159"/>
      <c r="AA18" s="159"/>
      <c r="AB18" s="159"/>
      <c r="AC18" s="159"/>
      <c r="AD18" s="159"/>
      <c r="AE18" s="159"/>
      <c r="AF18" s="159"/>
      <c r="AG18" s="159"/>
      <c r="AH18" s="159"/>
      <c r="AI18" s="159"/>
      <c r="AJ18" s="159"/>
      <c r="AK18" s="159"/>
      <c r="AL18" s="159"/>
      <c r="AM18" s="159"/>
      <c r="AN18" s="159"/>
      <c r="AO18" s="159"/>
      <c r="AP18" s="159"/>
      <c r="AQ18" s="159"/>
    </row>
    <row r="19" spans="1:43" x14ac:dyDescent="0.25">
      <c r="A19" s="77" t="s">
        <v>316</v>
      </c>
      <c r="B19" s="161">
        <v>45014</v>
      </c>
      <c r="C19" s="159"/>
      <c r="D19" s="159"/>
      <c r="E19" s="159"/>
      <c r="F19" s="159"/>
      <c r="G19" s="159"/>
      <c r="H19" s="159"/>
      <c r="I19" s="159"/>
      <c r="J19" s="159"/>
      <c r="K19" s="159"/>
      <c r="L19" s="159"/>
      <c r="M19" s="159"/>
      <c r="N19" s="159"/>
      <c r="O19" s="159"/>
      <c r="P19" s="159"/>
      <c r="Q19" s="159"/>
      <c r="R19" s="159"/>
      <c r="S19" s="159"/>
      <c r="T19" s="159"/>
      <c r="U19" s="159"/>
      <c r="V19" s="159"/>
      <c r="W19" s="159"/>
      <c r="X19" s="159"/>
      <c r="Y19" s="159"/>
      <c r="Z19" s="159"/>
      <c r="AA19" s="159"/>
      <c r="AB19" s="159"/>
      <c r="AC19" s="159"/>
      <c r="AD19" s="159"/>
      <c r="AE19" s="159"/>
      <c r="AF19" s="159"/>
      <c r="AG19" s="159"/>
      <c r="AH19" s="159"/>
      <c r="AI19" s="159"/>
      <c r="AJ19" s="159"/>
      <c r="AK19" s="159"/>
      <c r="AL19" s="159"/>
      <c r="AM19" s="159"/>
      <c r="AN19" s="159"/>
      <c r="AO19" s="159"/>
      <c r="AP19" s="159"/>
      <c r="AQ19" s="159"/>
    </row>
    <row r="20" spans="1:43" x14ac:dyDescent="0.25">
      <c r="A20" s="77" t="s">
        <v>317</v>
      </c>
      <c r="B20" s="159" t="s">
        <v>327</v>
      </c>
      <c r="C20" s="159"/>
      <c r="D20" s="159"/>
      <c r="E20" s="159"/>
      <c r="F20" s="159"/>
      <c r="G20" s="159"/>
      <c r="H20" s="159"/>
      <c r="I20" s="159"/>
      <c r="J20" s="159"/>
      <c r="K20" s="159"/>
      <c r="L20" s="159"/>
      <c r="M20" s="159"/>
      <c r="N20" s="159"/>
      <c r="O20" s="159"/>
      <c r="P20" s="159"/>
      <c r="Q20" s="159"/>
      <c r="R20" s="159"/>
      <c r="S20" s="159"/>
      <c r="T20" s="159"/>
      <c r="U20" s="159"/>
      <c r="V20" s="159"/>
      <c r="W20" s="159"/>
      <c r="X20" s="159"/>
      <c r="Y20" s="159"/>
      <c r="Z20" s="159"/>
      <c r="AA20" s="159"/>
      <c r="AB20" s="159"/>
      <c r="AC20" s="159"/>
      <c r="AD20" s="159"/>
      <c r="AE20" s="159"/>
      <c r="AF20" s="159"/>
      <c r="AG20" s="159"/>
      <c r="AH20" s="159"/>
      <c r="AI20" s="159"/>
      <c r="AJ20" s="159"/>
      <c r="AK20" s="159"/>
      <c r="AL20" s="159"/>
      <c r="AM20" s="159"/>
      <c r="AN20" s="159"/>
      <c r="AO20" s="159"/>
      <c r="AP20" s="159"/>
      <c r="AQ20" s="159"/>
    </row>
    <row r="21" spans="1:43" x14ac:dyDescent="0.25">
      <c r="A21" s="77" t="s">
        <v>318</v>
      </c>
      <c r="B21" s="159" t="s">
        <v>328</v>
      </c>
      <c r="C21" s="159"/>
      <c r="D21" s="159"/>
      <c r="E21" s="159"/>
      <c r="F21" s="159"/>
      <c r="G21" s="159"/>
      <c r="H21" s="159"/>
      <c r="I21" s="159"/>
      <c r="J21" s="159"/>
      <c r="K21" s="159"/>
      <c r="L21" s="159"/>
      <c r="M21" s="159"/>
      <c r="N21" s="159"/>
      <c r="O21" s="159"/>
      <c r="P21" s="159"/>
      <c r="Q21" s="159"/>
      <c r="R21" s="159"/>
      <c r="S21" s="159"/>
      <c r="T21" s="159"/>
      <c r="U21" s="159"/>
      <c r="V21" s="159"/>
      <c r="W21" s="159"/>
      <c r="X21" s="159"/>
      <c r="Y21" s="159"/>
      <c r="Z21" s="159"/>
      <c r="AA21" s="159"/>
      <c r="AB21" s="159"/>
      <c r="AC21" s="159"/>
      <c r="AD21" s="159"/>
      <c r="AE21" s="159"/>
      <c r="AF21" s="159"/>
      <c r="AG21" s="159"/>
      <c r="AH21" s="159"/>
      <c r="AI21" s="159"/>
      <c r="AJ21" s="159"/>
      <c r="AK21" s="159"/>
      <c r="AL21" s="159"/>
      <c r="AM21" s="159"/>
      <c r="AN21" s="159"/>
      <c r="AO21" s="159"/>
      <c r="AP21" s="159"/>
      <c r="AQ21" s="159"/>
    </row>
    <row r="23" spans="1:43" x14ac:dyDescent="0.25">
      <c r="B23" s="91" t="str">
        <f>HYPERLINK("#'Factor List'!A1","Back to Factor List")</f>
        <v>Back to Factor List</v>
      </c>
    </row>
    <row r="24" spans="1:43" x14ac:dyDescent="0.25">
      <c r="B24" s="91" t="s">
        <v>240</v>
      </c>
    </row>
    <row r="25" spans="1:43" x14ac:dyDescent="0.25">
      <c r="B25" s="91"/>
    </row>
    <row r="26" spans="1:43" ht="13" x14ac:dyDescent="0.25">
      <c r="A26" s="87" t="s">
        <v>667</v>
      </c>
      <c r="B26" s="87">
        <v>18</v>
      </c>
      <c r="C26" s="87">
        <v>19</v>
      </c>
      <c r="D26" s="87">
        <v>20</v>
      </c>
      <c r="E26" s="87">
        <v>21</v>
      </c>
      <c r="F26" s="87">
        <v>22</v>
      </c>
      <c r="G26" s="87">
        <v>23</v>
      </c>
      <c r="H26" s="87">
        <v>24</v>
      </c>
      <c r="I26" s="87">
        <v>25</v>
      </c>
      <c r="J26" s="87">
        <v>26</v>
      </c>
      <c r="K26" s="87">
        <v>27</v>
      </c>
      <c r="L26" s="87">
        <v>28</v>
      </c>
      <c r="M26" s="87">
        <v>29</v>
      </c>
      <c r="N26" s="87">
        <v>30</v>
      </c>
      <c r="O26" s="87">
        <v>31</v>
      </c>
      <c r="P26" s="87">
        <v>32</v>
      </c>
      <c r="Q26" s="87">
        <v>33</v>
      </c>
      <c r="R26" s="87">
        <v>34</v>
      </c>
      <c r="S26" s="87">
        <v>35</v>
      </c>
      <c r="T26" s="87">
        <v>36</v>
      </c>
      <c r="U26" s="87">
        <v>37</v>
      </c>
      <c r="V26" s="87">
        <v>38</v>
      </c>
      <c r="W26" s="87">
        <v>39</v>
      </c>
      <c r="X26" s="87">
        <v>40</v>
      </c>
      <c r="Y26" s="87">
        <v>41</v>
      </c>
      <c r="Z26" s="87">
        <v>42</v>
      </c>
      <c r="AA26" s="87">
        <v>43</v>
      </c>
      <c r="AB26" s="87">
        <v>44</v>
      </c>
      <c r="AC26" s="87">
        <v>45</v>
      </c>
      <c r="AD26" s="87">
        <v>46</v>
      </c>
      <c r="AE26" s="87">
        <v>47</v>
      </c>
      <c r="AF26" s="87">
        <v>48</v>
      </c>
      <c r="AG26" s="87">
        <v>49</v>
      </c>
      <c r="AH26" s="87">
        <v>50</v>
      </c>
      <c r="AI26" s="87">
        <v>51</v>
      </c>
      <c r="AJ26" s="87">
        <v>52</v>
      </c>
      <c r="AK26" s="87">
        <v>53</v>
      </c>
      <c r="AL26" s="87">
        <v>54</v>
      </c>
      <c r="AM26" s="87">
        <v>55</v>
      </c>
      <c r="AN26" s="87">
        <v>56</v>
      </c>
      <c r="AO26" s="87">
        <v>57</v>
      </c>
      <c r="AP26" s="87">
        <v>58</v>
      </c>
      <c r="AQ26" s="87">
        <v>59</v>
      </c>
    </row>
    <row r="27" spans="1:43" x14ac:dyDescent="0.25">
      <c r="A27" s="88">
        <v>0</v>
      </c>
      <c r="B27" s="90">
        <v>0.26700000000000002</v>
      </c>
      <c r="C27" s="90">
        <v>0.27300000000000002</v>
      </c>
      <c r="D27" s="90">
        <v>0.27900000000000003</v>
      </c>
      <c r="E27" s="90">
        <v>0.28599999999999998</v>
      </c>
      <c r="F27" s="90">
        <v>0.29299999999999998</v>
      </c>
      <c r="G27" s="90">
        <v>0.3</v>
      </c>
      <c r="H27" s="90">
        <v>0.307</v>
      </c>
      <c r="I27" s="90">
        <v>0.315</v>
      </c>
      <c r="J27" s="90">
        <v>0.32200000000000001</v>
      </c>
      <c r="K27" s="90">
        <v>0.33</v>
      </c>
      <c r="L27" s="90">
        <v>0.33900000000000002</v>
      </c>
      <c r="M27" s="90">
        <v>0.34799999999999998</v>
      </c>
      <c r="N27" s="90">
        <v>0.35699999999999998</v>
      </c>
      <c r="O27" s="90">
        <v>0.36599999999999999</v>
      </c>
      <c r="P27" s="90">
        <v>0.376</v>
      </c>
      <c r="Q27" s="90">
        <v>0.38600000000000001</v>
      </c>
      <c r="R27" s="90">
        <v>0.39700000000000002</v>
      </c>
      <c r="S27" s="90">
        <v>0.40799999999999997</v>
      </c>
      <c r="T27" s="90">
        <v>0.42</v>
      </c>
      <c r="U27" s="90">
        <v>0.432</v>
      </c>
      <c r="V27" s="90">
        <v>0.44500000000000001</v>
      </c>
      <c r="W27" s="90">
        <v>0.45800000000000002</v>
      </c>
      <c r="X27" s="90">
        <v>0.47199999999999998</v>
      </c>
      <c r="Y27" s="90">
        <v>0.48599999999999999</v>
      </c>
      <c r="Z27" s="90">
        <v>0.502</v>
      </c>
      <c r="AA27" s="90">
        <v>0.51800000000000002</v>
      </c>
      <c r="AB27" s="90">
        <v>0.53500000000000003</v>
      </c>
      <c r="AC27" s="90">
        <v>0.55200000000000005</v>
      </c>
      <c r="AD27" s="90">
        <v>0.57099999999999995</v>
      </c>
      <c r="AE27" s="90">
        <v>0.59099999999999997</v>
      </c>
      <c r="AF27" s="90">
        <v>0.61199999999999999</v>
      </c>
      <c r="AG27" s="90">
        <v>0.63400000000000001</v>
      </c>
      <c r="AH27" s="90">
        <v>0.65800000000000003</v>
      </c>
      <c r="AI27" s="90">
        <v>0.68300000000000005</v>
      </c>
      <c r="AJ27" s="90">
        <v>0.70899999999999996</v>
      </c>
      <c r="AK27" s="90">
        <v>0.73699999999999999</v>
      </c>
      <c r="AL27" s="90">
        <v>0.76700000000000002</v>
      </c>
      <c r="AM27" s="90">
        <v>0.8</v>
      </c>
      <c r="AN27" s="90">
        <v>0.83399999999999996</v>
      </c>
      <c r="AO27" s="90">
        <v>0.871</v>
      </c>
      <c r="AP27" s="90">
        <v>0.91100000000000003</v>
      </c>
      <c r="AQ27" s="90">
        <v>0.95399999999999996</v>
      </c>
    </row>
    <row r="28" spans="1:43" x14ac:dyDescent="0.25">
      <c r="A28" s="88">
        <v>1</v>
      </c>
      <c r="B28" s="90">
        <v>0.26700000000000002</v>
      </c>
      <c r="C28" s="90">
        <v>0.27300000000000002</v>
      </c>
      <c r="D28" s="90">
        <v>0.28000000000000003</v>
      </c>
      <c r="E28" s="90">
        <v>0.28599999999999998</v>
      </c>
      <c r="F28" s="90">
        <v>0.29299999999999998</v>
      </c>
      <c r="G28" s="90">
        <v>0.3</v>
      </c>
      <c r="H28" s="90">
        <v>0.308</v>
      </c>
      <c r="I28" s="90">
        <v>0.315</v>
      </c>
      <c r="J28" s="90">
        <v>0.32300000000000001</v>
      </c>
      <c r="K28" s="90">
        <v>0.33100000000000002</v>
      </c>
      <c r="L28" s="90">
        <v>0.34</v>
      </c>
      <c r="M28" s="90">
        <v>0.34799999999999998</v>
      </c>
      <c r="N28" s="90">
        <v>0.35799999999999998</v>
      </c>
      <c r="O28" s="90">
        <v>0.36699999999999999</v>
      </c>
      <c r="P28" s="90">
        <v>0.377</v>
      </c>
      <c r="Q28" s="90">
        <v>0.38700000000000001</v>
      </c>
      <c r="R28" s="90">
        <v>0.39800000000000002</v>
      </c>
      <c r="S28" s="90">
        <v>0.40899999999999997</v>
      </c>
      <c r="T28" s="90">
        <v>0.42099999999999999</v>
      </c>
      <c r="U28" s="90">
        <v>0.433</v>
      </c>
      <c r="V28" s="90">
        <v>0.44600000000000001</v>
      </c>
      <c r="W28" s="90">
        <v>0.45900000000000002</v>
      </c>
      <c r="X28" s="90">
        <v>0.47299999999999998</v>
      </c>
      <c r="Y28" s="90">
        <v>0.48799999999999999</v>
      </c>
      <c r="Z28" s="90">
        <v>0.503</v>
      </c>
      <c r="AA28" s="90">
        <v>0.51900000000000002</v>
      </c>
      <c r="AB28" s="90">
        <v>0.53600000000000003</v>
      </c>
      <c r="AC28" s="90">
        <v>0.55400000000000005</v>
      </c>
      <c r="AD28" s="90">
        <v>0.57299999999999995</v>
      </c>
      <c r="AE28" s="90">
        <v>0.59299999999999997</v>
      </c>
      <c r="AF28" s="90">
        <v>0.61399999999999999</v>
      </c>
      <c r="AG28" s="90">
        <v>0.63600000000000001</v>
      </c>
      <c r="AH28" s="90">
        <v>0.66</v>
      </c>
      <c r="AI28" s="90">
        <v>0.68500000000000005</v>
      </c>
      <c r="AJ28" s="90">
        <v>0.71099999999999997</v>
      </c>
      <c r="AK28" s="90">
        <v>0.74</v>
      </c>
      <c r="AL28" s="90">
        <v>0.77</v>
      </c>
      <c r="AM28" s="90">
        <v>0.80200000000000005</v>
      </c>
      <c r="AN28" s="90">
        <v>0.83699999999999997</v>
      </c>
      <c r="AO28" s="90">
        <v>0.874</v>
      </c>
      <c r="AP28" s="90">
        <v>0.91400000000000003</v>
      </c>
      <c r="AQ28" s="90">
        <v>0.95799999999999996</v>
      </c>
    </row>
    <row r="29" spans="1:43" x14ac:dyDescent="0.25">
      <c r="A29" s="88">
        <v>2</v>
      </c>
      <c r="B29" s="90">
        <v>0.26800000000000002</v>
      </c>
      <c r="C29" s="90">
        <v>0.27400000000000002</v>
      </c>
      <c r="D29" s="90">
        <v>0.28000000000000003</v>
      </c>
      <c r="E29" s="90">
        <v>0.28699999999999998</v>
      </c>
      <c r="F29" s="90">
        <v>0.29399999999999998</v>
      </c>
      <c r="G29" s="90">
        <v>0.30099999999999999</v>
      </c>
      <c r="H29" s="90">
        <v>0.308</v>
      </c>
      <c r="I29" s="90">
        <v>0.316</v>
      </c>
      <c r="J29" s="90">
        <v>0.32400000000000001</v>
      </c>
      <c r="K29" s="90">
        <v>0.33200000000000002</v>
      </c>
      <c r="L29" s="90">
        <v>0.34</v>
      </c>
      <c r="M29" s="90">
        <v>0.34899999999999998</v>
      </c>
      <c r="N29" s="90">
        <v>0.35799999999999998</v>
      </c>
      <c r="O29" s="90">
        <v>0.36799999999999999</v>
      </c>
      <c r="P29" s="90">
        <v>0.378</v>
      </c>
      <c r="Q29" s="90">
        <v>0.38800000000000001</v>
      </c>
      <c r="R29" s="90">
        <v>0.39900000000000002</v>
      </c>
      <c r="S29" s="90">
        <v>0.41</v>
      </c>
      <c r="T29" s="90">
        <v>0.42199999999999999</v>
      </c>
      <c r="U29" s="90">
        <v>0.434</v>
      </c>
      <c r="V29" s="90">
        <v>0.44700000000000001</v>
      </c>
      <c r="W29" s="90">
        <v>0.46</v>
      </c>
      <c r="X29" s="90">
        <v>0.47399999999999998</v>
      </c>
      <c r="Y29" s="90">
        <v>0.48899999999999999</v>
      </c>
      <c r="Z29" s="90">
        <v>0.504</v>
      </c>
      <c r="AA29" s="90">
        <v>0.52100000000000002</v>
      </c>
      <c r="AB29" s="90">
        <v>0.53800000000000003</v>
      </c>
      <c r="AC29" s="90">
        <v>0.55600000000000005</v>
      </c>
      <c r="AD29" s="90">
        <v>0.57399999999999995</v>
      </c>
      <c r="AE29" s="90">
        <v>0.59399999999999997</v>
      </c>
      <c r="AF29" s="90">
        <v>0.61599999999999999</v>
      </c>
      <c r="AG29" s="90">
        <v>0.63800000000000001</v>
      </c>
      <c r="AH29" s="90">
        <v>0.66200000000000003</v>
      </c>
      <c r="AI29" s="90">
        <v>0.68700000000000006</v>
      </c>
      <c r="AJ29" s="90">
        <v>0.71399999999999997</v>
      </c>
      <c r="AK29" s="90">
        <v>0.74199999999999999</v>
      </c>
      <c r="AL29" s="90">
        <v>0.77300000000000002</v>
      </c>
      <c r="AM29" s="90">
        <v>0.80500000000000005</v>
      </c>
      <c r="AN29" s="90">
        <v>0.84</v>
      </c>
      <c r="AO29" s="90">
        <v>0.878</v>
      </c>
      <c r="AP29" s="90">
        <v>0.91800000000000004</v>
      </c>
      <c r="AQ29" s="90">
        <v>0.96099999999999997</v>
      </c>
    </row>
    <row r="30" spans="1:43" x14ac:dyDescent="0.25">
      <c r="A30" s="88">
        <v>3</v>
      </c>
      <c r="B30" s="90">
        <v>0.26800000000000002</v>
      </c>
      <c r="C30" s="90">
        <v>0.27500000000000002</v>
      </c>
      <c r="D30" s="90">
        <v>0.28100000000000003</v>
      </c>
      <c r="E30" s="90">
        <v>0.28799999999999998</v>
      </c>
      <c r="F30" s="90">
        <v>0.29399999999999998</v>
      </c>
      <c r="G30" s="90">
        <v>0.30199999999999999</v>
      </c>
      <c r="H30" s="90">
        <v>0.309</v>
      </c>
      <c r="I30" s="90">
        <v>0.316</v>
      </c>
      <c r="J30" s="90">
        <v>0.32400000000000001</v>
      </c>
      <c r="K30" s="90">
        <v>0.33300000000000002</v>
      </c>
      <c r="L30" s="90">
        <v>0.34100000000000003</v>
      </c>
      <c r="M30" s="90">
        <v>0.35</v>
      </c>
      <c r="N30" s="90">
        <v>0.35899999999999999</v>
      </c>
      <c r="O30" s="90">
        <v>0.36899999999999999</v>
      </c>
      <c r="P30" s="90">
        <v>0.379</v>
      </c>
      <c r="Q30" s="90">
        <v>0.38900000000000001</v>
      </c>
      <c r="R30" s="90">
        <v>0.4</v>
      </c>
      <c r="S30" s="90">
        <v>0.41099999999999998</v>
      </c>
      <c r="T30" s="90">
        <v>0.42299999999999999</v>
      </c>
      <c r="U30" s="90">
        <v>0.435</v>
      </c>
      <c r="V30" s="90">
        <v>0.44800000000000001</v>
      </c>
      <c r="W30" s="90">
        <v>0.46100000000000002</v>
      </c>
      <c r="X30" s="90">
        <v>0.47499999999999998</v>
      </c>
      <c r="Y30" s="90">
        <v>0.49</v>
      </c>
      <c r="Z30" s="90">
        <v>0.50600000000000001</v>
      </c>
      <c r="AA30" s="90">
        <v>0.52200000000000002</v>
      </c>
      <c r="AB30" s="90">
        <v>0.53900000000000003</v>
      </c>
      <c r="AC30" s="90">
        <v>0.55700000000000005</v>
      </c>
      <c r="AD30" s="90">
        <v>0.57599999999999996</v>
      </c>
      <c r="AE30" s="90">
        <v>0.59599999999999997</v>
      </c>
      <c r="AF30" s="90">
        <v>0.61699999999999999</v>
      </c>
      <c r="AG30" s="90">
        <v>0.64</v>
      </c>
      <c r="AH30" s="90">
        <v>0.66400000000000003</v>
      </c>
      <c r="AI30" s="90">
        <v>0.68899999999999995</v>
      </c>
      <c r="AJ30" s="90">
        <v>0.71599999999999997</v>
      </c>
      <c r="AK30" s="90">
        <v>0.745</v>
      </c>
      <c r="AL30" s="90">
        <v>0.77500000000000002</v>
      </c>
      <c r="AM30" s="90">
        <v>0.80800000000000005</v>
      </c>
      <c r="AN30" s="90">
        <v>0.84299999999999997</v>
      </c>
      <c r="AO30" s="90">
        <v>0.88100000000000001</v>
      </c>
      <c r="AP30" s="90">
        <v>0.92200000000000004</v>
      </c>
      <c r="AQ30" s="90">
        <v>0.96499999999999997</v>
      </c>
    </row>
    <row r="31" spans="1:43" x14ac:dyDescent="0.25">
      <c r="A31" s="88">
        <v>4</v>
      </c>
      <c r="B31" s="90">
        <v>0.26900000000000002</v>
      </c>
      <c r="C31" s="90">
        <v>0.27500000000000002</v>
      </c>
      <c r="D31" s="90">
        <v>0.28100000000000003</v>
      </c>
      <c r="E31" s="90">
        <v>0.28799999999999998</v>
      </c>
      <c r="F31" s="90">
        <v>0.29499999999999998</v>
      </c>
      <c r="G31" s="90">
        <v>0.30199999999999999</v>
      </c>
      <c r="H31" s="90">
        <v>0.31</v>
      </c>
      <c r="I31" s="90">
        <v>0.317</v>
      </c>
      <c r="J31" s="90">
        <v>0.32500000000000001</v>
      </c>
      <c r="K31" s="90">
        <v>0.33300000000000002</v>
      </c>
      <c r="L31" s="90">
        <v>0.34200000000000003</v>
      </c>
      <c r="M31" s="90">
        <v>0.35099999999999998</v>
      </c>
      <c r="N31" s="90">
        <v>0.36</v>
      </c>
      <c r="O31" s="90">
        <v>0.36899999999999999</v>
      </c>
      <c r="P31" s="90">
        <v>0.379</v>
      </c>
      <c r="Q31" s="90">
        <v>0.39</v>
      </c>
      <c r="R31" s="90">
        <v>0.40100000000000002</v>
      </c>
      <c r="S31" s="90">
        <v>0.41199999999999998</v>
      </c>
      <c r="T31" s="90">
        <v>0.42399999999999999</v>
      </c>
      <c r="U31" s="90">
        <v>0.436</v>
      </c>
      <c r="V31" s="90">
        <v>0.44900000000000001</v>
      </c>
      <c r="W31" s="90">
        <v>0.46200000000000002</v>
      </c>
      <c r="X31" s="90">
        <v>0.47699999999999998</v>
      </c>
      <c r="Y31" s="90">
        <v>0.49099999999999999</v>
      </c>
      <c r="Z31" s="90">
        <v>0.50700000000000001</v>
      </c>
      <c r="AA31" s="90">
        <v>0.52300000000000002</v>
      </c>
      <c r="AB31" s="90">
        <v>0.54100000000000004</v>
      </c>
      <c r="AC31" s="90">
        <v>0.55900000000000005</v>
      </c>
      <c r="AD31" s="90">
        <v>0.57799999999999996</v>
      </c>
      <c r="AE31" s="90">
        <v>0.59799999999999998</v>
      </c>
      <c r="AF31" s="90">
        <v>0.61899999999999999</v>
      </c>
      <c r="AG31" s="90">
        <v>0.64200000000000002</v>
      </c>
      <c r="AH31" s="90">
        <v>0.66600000000000004</v>
      </c>
      <c r="AI31" s="90">
        <v>0.69099999999999995</v>
      </c>
      <c r="AJ31" s="90">
        <v>0.71799999999999997</v>
      </c>
      <c r="AK31" s="90">
        <v>0.747</v>
      </c>
      <c r="AL31" s="90">
        <v>0.77800000000000002</v>
      </c>
      <c r="AM31" s="90">
        <v>0.81100000000000005</v>
      </c>
      <c r="AN31" s="90">
        <v>0.84599999999999997</v>
      </c>
      <c r="AO31" s="90">
        <v>0.88400000000000001</v>
      </c>
      <c r="AP31" s="90">
        <v>0.92500000000000004</v>
      </c>
      <c r="AQ31" s="90">
        <v>0.96899999999999997</v>
      </c>
    </row>
    <row r="32" spans="1:43" x14ac:dyDescent="0.25">
      <c r="A32" s="88">
        <v>5</v>
      </c>
      <c r="B32" s="90">
        <v>0.26900000000000002</v>
      </c>
      <c r="C32" s="90">
        <v>0.27600000000000002</v>
      </c>
      <c r="D32" s="90">
        <v>0.28199999999999997</v>
      </c>
      <c r="E32" s="90">
        <v>0.28899999999999998</v>
      </c>
      <c r="F32" s="90">
        <v>0.29599999999999999</v>
      </c>
      <c r="G32" s="90">
        <v>0.30299999999999999</v>
      </c>
      <c r="H32" s="90">
        <v>0.31</v>
      </c>
      <c r="I32" s="90">
        <v>0.318</v>
      </c>
      <c r="J32" s="90">
        <v>0.32600000000000001</v>
      </c>
      <c r="K32" s="90">
        <v>0.33400000000000002</v>
      </c>
      <c r="L32" s="90">
        <v>0.34300000000000003</v>
      </c>
      <c r="M32" s="90">
        <v>0.35099999999999998</v>
      </c>
      <c r="N32" s="90">
        <v>0.36099999999999999</v>
      </c>
      <c r="O32" s="90">
        <v>0.37</v>
      </c>
      <c r="P32" s="90">
        <v>0.38</v>
      </c>
      <c r="Q32" s="90">
        <v>0.39100000000000001</v>
      </c>
      <c r="R32" s="90">
        <v>0.40200000000000002</v>
      </c>
      <c r="S32" s="90">
        <v>0.41299999999999998</v>
      </c>
      <c r="T32" s="90">
        <v>0.42499999999999999</v>
      </c>
      <c r="U32" s="90">
        <v>0.437</v>
      </c>
      <c r="V32" s="90">
        <v>0.45</v>
      </c>
      <c r="W32" s="90">
        <v>0.46400000000000002</v>
      </c>
      <c r="X32" s="90">
        <v>0.47799999999999998</v>
      </c>
      <c r="Y32" s="90">
        <v>0.49299999999999999</v>
      </c>
      <c r="Z32" s="90">
        <v>0.50800000000000001</v>
      </c>
      <c r="AA32" s="90">
        <v>0.52500000000000002</v>
      </c>
      <c r="AB32" s="90">
        <v>0.54200000000000004</v>
      </c>
      <c r="AC32" s="90">
        <v>0.56000000000000005</v>
      </c>
      <c r="AD32" s="90">
        <v>0.57899999999999996</v>
      </c>
      <c r="AE32" s="90">
        <v>0.6</v>
      </c>
      <c r="AF32" s="90">
        <v>0.621</v>
      </c>
      <c r="AG32" s="90">
        <v>0.64400000000000002</v>
      </c>
      <c r="AH32" s="90">
        <v>0.66800000000000004</v>
      </c>
      <c r="AI32" s="90">
        <v>0.69399999999999995</v>
      </c>
      <c r="AJ32" s="90">
        <v>0.72099999999999997</v>
      </c>
      <c r="AK32" s="90">
        <v>0.75</v>
      </c>
      <c r="AL32" s="90">
        <v>0.78100000000000003</v>
      </c>
      <c r="AM32" s="90">
        <v>0.81399999999999995</v>
      </c>
      <c r="AN32" s="90">
        <v>0.84899999999999998</v>
      </c>
      <c r="AO32" s="90">
        <v>0.88800000000000001</v>
      </c>
      <c r="AP32" s="90">
        <v>0.92900000000000005</v>
      </c>
      <c r="AQ32" s="90">
        <v>0.97299999999999998</v>
      </c>
    </row>
    <row r="33" spans="1:43" x14ac:dyDescent="0.25">
      <c r="A33" s="88">
        <v>6</v>
      </c>
      <c r="B33" s="90">
        <v>0.27</v>
      </c>
      <c r="C33" s="90">
        <v>0.27600000000000002</v>
      </c>
      <c r="D33" s="90">
        <v>0.28299999999999997</v>
      </c>
      <c r="E33" s="90">
        <v>0.28899999999999998</v>
      </c>
      <c r="F33" s="90">
        <v>0.29599999999999999</v>
      </c>
      <c r="G33" s="90">
        <v>0.30299999999999999</v>
      </c>
      <c r="H33" s="90">
        <v>0.311</v>
      </c>
      <c r="I33" s="90">
        <v>0.318</v>
      </c>
      <c r="J33" s="90">
        <v>0.32600000000000001</v>
      </c>
      <c r="K33" s="90">
        <v>0.33500000000000002</v>
      </c>
      <c r="L33" s="90">
        <v>0.34300000000000003</v>
      </c>
      <c r="M33" s="90">
        <v>0.35199999999999998</v>
      </c>
      <c r="N33" s="90">
        <v>0.36099999999999999</v>
      </c>
      <c r="O33" s="90">
        <v>0.371</v>
      </c>
      <c r="P33" s="90">
        <v>0.38100000000000001</v>
      </c>
      <c r="Q33" s="90">
        <v>0.39200000000000002</v>
      </c>
      <c r="R33" s="90">
        <v>0.40300000000000002</v>
      </c>
      <c r="S33" s="90">
        <v>0.41399999999999998</v>
      </c>
      <c r="T33" s="90">
        <v>0.42599999999999999</v>
      </c>
      <c r="U33" s="90">
        <v>0.438</v>
      </c>
      <c r="V33" s="90">
        <v>0.45100000000000001</v>
      </c>
      <c r="W33" s="90">
        <v>0.46500000000000002</v>
      </c>
      <c r="X33" s="90">
        <v>0.47899999999999998</v>
      </c>
      <c r="Y33" s="90">
        <v>0.49399999999999999</v>
      </c>
      <c r="Z33" s="90">
        <v>0.51</v>
      </c>
      <c r="AA33" s="90">
        <v>0.52600000000000002</v>
      </c>
      <c r="AB33" s="90">
        <v>0.54400000000000004</v>
      </c>
      <c r="AC33" s="90">
        <v>0.56200000000000006</v>
      </c>
      <c r="AD33" s="90">
        <v>0.58099999999999996</v>
      </c>
      <c r="AE33" s="90">
        <v>0.60099999999999998</v>
      </c>
      <c r="AF33" s="90">
        <v>0.623</v>
      </c>
      <c r="AG33" s="90">
        <v>0.64600000000000002</v>
      </c>
      <c r="AH33" s="90">
        <v>0.67</v>
      </c>
      <c r="AI33" s="90">
        <v>0.69599999999999995</v>
      </c>
      <c r="AJ33" s="90">
        <v>0.72299999999999998</v>
      </c>
      <c r="AK33" s="90">
        <v>0.752</v>
      </c>
      <c r="AL33" s="90">
        <v>0.78300000000000003</v>
      </c>
      <c r="AM33" s="90">
        <v>0.81699999999999995</v>
      </c>
      <c r="AN33" s="90">
        <v>0.85299999999999998</v>
      </c>
      <c r="AO33" s="90">
        <v>0.89100000000000001</v>
      </c>
      <c r="AP33" s="90">
        <v>0.93200000000000005</v>
      </c>
      <c r="AQ33" s="90">
        <v>0.97699999999999998</v>
      </c>
    </row>
    <row r="34" spans="1:43" x14ac:dyDescent="0.25">
      <c r="A34" s="88">
        <v>7</v>
      </c>
      <c r="B34" s="90">
        <v>0.27</v>
      </c>
      <c r="C34" s="90">
        <v>0.27700000000000002</v>
      </c>
      <c r="D34" s="90">
        <v>0.28299999999999997</v>
      </c>
      <c r="E34" s="90">
        <v>0.28999999999999998</v>
      </c>
      <c r="F34" s="90">
        <v>0.29699999999999999</v>
      </c>
      <c r="G34" s="90">
        <v>0.30399999999999999</v>
      </c>
      <c r="H34" s="90">
        <v>0.311</v>
      </c>
      <c r="I34" s="90">
        <v>0.31900000000000001</v>
      </c>
      <c r="J34" s="90">
        <v>0.32700000000000001</v>
      </c>
      <c r="K34" s="90">
        <v>0.33500000000000002</v>
      </c>
      <c r="L34" s="90">
        <v>0.34399999999999997</v>
      </c>
      <c r="M34" s="90">
        <v>0.35299999999999998</v>
      </c>
      <c r="N34" s="90">
        <v>0.36199999999999999</v>
      </c>
      <c r="O34" s="90">
        <v>0.372</v>
      </c>
      <c r="P34" s="90">
        <v>0.38200000000000001</v>
      </c>
      <c r="Q34" s="90">
        <v>0.39300000000000002</v>
      </c>
      <c r="R34" s="90">
        <v>0.40300000000000002</v>
      </c>
      <c r="S34" s="90">
        <v>0.41499999999999998</v>
      </c>
      <c r="T34" s="90">
        <v>0.42699999999999999</v>
      </c>
      <c r="U34" s="90">
        <v>0.439</v>
      </c>
      <c r="V34" s="90">
        <v>0.45200000000000001</v>
      </c>
      <c r="W34" s="90">
        <v>0.46600000000000003</v>
      </c>
      <c r="X34" s="90">
        <v>0.48</v>
      </c>
      <c r="Y34" s="90">
        <v>0.495</v>
      </c>
      <c r="Z34" s="90">
        <v>0.51100000000000001</v>
      </c>
      <c r="AA34" s="90">
        <v>0.52800000000000002</v>
      </c>
      <c r="AB34" s="90">
        <v>0.54500000000000004</v>
      </c>
      <c r="AC34" s="90">
        <v>0.56299999999999994</v>
      </c>
      <c r="AD34" s="90">
        <v>0.58299999999999996</v>
      </c>
      <c r="AE34" s="90">
        <v>0.60299999999999998</v>
      </c>
      <c r="AF34" s="90">
        <v>0.625</v>
      </c>
      <c r="AG34" s="90">
        <v>0.64800000000000002</v>
      </c>
      <c r="AH34" s="90">
        <v>0.67200000000000004</v>
      </c>
      <c r="AI34" s="90">
        <v>0.69799999999999995</v>
      </c>
      <c r="AJ34" s="90">
        <v>0.72499999999999998</v>
      </c>
      <c r="AK34" s="90">
        <v>0.755</v>
      </c>
      <c r="AL34" s="90">
        <v>0.78600000000000003</v>
      </c>
      <c r="AM34" s="90">
        <v>0.82</v>
      </c>
      <c r="AN34" s="90">
        <v>0.85599999999999998</v>
      </c>
      <c r="AO34" s="90">
        <v>0.89400000000000002</v>
      </c>
      <c r="AP34" s="90">
        <v>0.93600000000000005</v>
      </c>
      <c r="AQ34" s="90">
        <v>0.98099999999999998</v>
      </c>
    </row>
    <row r="35" spans="1:43" x14ac:dyDescent="0.25">
      <c r="A35" s="88">
        <v>8</v>
      </c>
      <c r="B35" s="90">
        <v>0.27100000000000002</v>
      </c>
      <c r="C35" s="90">
        <v>0.27700000000000002</v>
      </c>
      <c r="D35" s="90">
        <v>0.28399999999999997</v>
      </c>
      <c r="E35" s="90">
        <v>0.28999999999999998</v>
      </c>
      <c r="F35" s="90">
        <v>0.29699999999999999</v>
      </c>
      <c r="G35" s="90">
        <v>0.30499999999999999</v>
      </c>
      <c r="H35" s="90">
        <v>0.312</v>
      </c>
      <c r="I35" s="90">
        <v>0.32</v>
      </c>
      <c r="J35" s="90">
        <v>0.32800000000000001</v>
      </c>
      <c r="K35" s="90">
        <v>0.33600000000000002</v>
      </c>
      <c r="L35" s="90">
        <v>0.34499999999999997</v>
      </c>
      <c r="M35" s="90">
        <v>0.35399999999999998</v>
      </c>
      <c r="N35" s="90">
        <v>0.36299999999999999</v>
      </c>
      <c r="O35" s="90">
        <v>0.373</v>
      </c>
      <c r="P35" s="90">
        <v>0.38300000000000001</v>
      </c>
      <c r="Q35" s="90">
        <v>0.39300000000000002</v>
      </c>
      <c r="R35" s="90">
        <v>0.40400000000000003</v>
      </c>
      <c r="S35" s="90">
        <v>0.41599999999999998</v>
      </c>
      <c r="T35" s="90">
        <v>0.42799999999999999</v>
      </c>
      <c r="U35" s="90">
        <v>0.44</v>
      </c>
      <c r="V35" s="90">
        <v>0.45300000000000001</v>
      </c>
      <c r="W35" s="90">
        <v>0.46700000000000003</v>
      </c>
      <c r="X35" s="90">
        <v>0.48099999999999998</v>
      </c>
      <c r="Y35" s="90">
        <v>0.497</v>
      </c>
      <c r="Z35" s="90">
        <v>0.51200000000000001</v>
      </c>
      <c r="AA35" s="90">
        <v>0.52900000000000003</v>
      </c>
      <c r="AB35" s="90">
        <v>0.54600000000000004</v>
      </c>
      <c r="AC35" s="90">
        <v>0.56499999999999995</v>
      </c>
      <c r="AD35" s="90">
        <v>0.58399999999999996</v>
      </c>
      <c r="AE35" s="90">
        <v>0.60499999999999998</v>
      </c>
      <c r="AF35" s="90">
        <v>0.627</v>
      </c>
      <c r="AG35" s="90">
        <v>0.65</v>
      </c>
      <c r="AH35" s="90">
        <v>0.67400000000000004</v>
      </c>
      <c r="AI35" s="90">
        <v>0.7</v>
      </c>
      <c r="AJ35" s="90">
        <v>0.72799999999999998</v>
      </c>
      <c r="AK35" s="90">
        <v>0.75700000000000001</v>
      </c>
      <c r="AL35" s="90">
        <v>0.78900000000000003</v>
      </c>
      <c r="AM35" s="90">
        <v>0.82299999999999995</v>
      </c>
      <c r="AN35" s="90">
        <v>0.85899999999999999</v>
      </c>
      <c r="AO35" s="90">
        <v>0.89800000000000002</v>
      </c>
      <c r="AP35" s="90">
        <v>0.93899999999999995</v>
      </c>
      <c r="AQ35" s="90">
        <v>0.98499999999999999</v>
      </c>
    </row>
    <row r="36" spans="1:43" x14ac:dyDescent="0.25">
      <c r="A36" s="88">
        <v>9</v>
      </c>
      <c r="B36" s="90">
        <v>0.27100000000000002</v>
      </c>
      <c r="C36" s="90">
        <v>0.27800000000000002</v>
      </c>
      <c r="D36" s="90">
        <v>0.28399999999999997</v>
      </c>
      <c r="E36" s="90">
        <v>0.29099999999999998</v>
      </c>
      <c r="F36" s="90">
        <v>0.29799999999999999</v>
      </c>
      <c r="G36" s="90">
        <v>0.30499999999999999</v>
      </c>
      <c r="H36" s="90">
        <v>0.313</v>
      </c>
      <c r="I36" s="90">
        <v>0.32</v>
      </c>
      <c r="J36" s="90">
        <v>0.32800000000000001</v>
      </c>
      <c r="K36" s="90">
        <v>0.33700000000000002</v>
      </c>
      <c r="L36" s="90">
        <v>0.34499999999999997</v>
      </c>
      <c r="M36" s="90">
        <v>0.35399999999999998</v>
      </c>
      <c r="N36" s="90">
        <v>0.36399999999999999</v>
      </c>
      <c r="O36" s="90">
        <v>0.374</v>
      </c>
      <c r="P36" s="90">
        <v>0.38400000000000001</v>
      </c>
      <c r="Q36" s="90">
        <v>0.39400000000000002</v>
      </c>
      <c r="R36" s="90">
        <v>0.40500000000000003</v>
      </c>
      <c r="S36" s="90">
        <v>0.41699999999999998</v>
      </c>
      <c r="T36" s="90">
        <v>0.42899999999999999</v>
      </c>
      <c r="U36" s="90">
        <v>0.441</v>
      </c>
      <c r="V36" s="90">
        <v>0.45500000000000002</v>
      </c>
      <c r="W36" s="90">
        <v>0.46800000000000003</v>
      </c>
      <c r="X36" s="90">
        <v>0.48299999999999998</v>
      </c>
      <c r="Y36" s="90">
        <v>0.498</v>
      </c>
      <c r="Z36" s="90">
        <v>0.51400000000000001</v>
      </c>
      <c r="AA36" s="90">
        <v>0.53</v>
      </c>
      <c r="AB36" s="90">
        <v>0.54800000000000004</v>
      </c>
      <c r="AC36" s="90">
        <v>0.56599999999999995</v>
      </c>
      <c r="AD36" s="90">
        <v>0.58599999999999997</v>
      </c>
      <c r="AE36" s="90">
        <v>0.60699999999999998</v>
      </c>
      <c r="AF36" s="90">
        <v>0.629</v>
      </c>
      <c r="AG36" s="90">
        <v>0.65200000000000002</v>
      </c>
      <c r="AH36" s="90">
        <v>0.67600000000000005</v>
      </c>
      <c r="AI36" s="90">
        <v>0.70199999999999996</v>
      </c>
      <c r="AJ36" s="90">
        <v>0.73</v>
      </c>
      <c r="AK36" s="90">
        <v>0.76</v>
      </c>
      <c r="AL36" s="90">
        <v>0.79200000000000004</v>
      </c>
      <c r="AM36" s="90">
        <v>0.82499999999999996</v>
      </c>
      <c r="AN36" s="90">
        <v>0.86199999999999999</v>
      </c>
      <c r="AO36" s="90">
        <v>0.90100000000000002</v>
      </c>
      <c r="AP36" s="90">
        <v>0.94299999999999995</v>
      </c>
      <c r="AQ36" s="90">
        <v>0.98799999999999999</v>
      </c>
    </row>
    <row r="37" spans="1:43" x14ac:dyDescent="0.25">
      <c r="A37" s="88">
        <v>10</v>
      </c>
      <c r="B37" s="90">
        <v>0.27200000000000002</v>
      </c>
      <c r="C37" s="90">
        <v>0.27800000000000002</v>
      </c>
      <c r="D37" s="90">
        <v>0.28499999999999998</v>
      </c>
      <c r="E37" s="90">
        <v>0.29199999999999998</v>
      </c>
      <c r="F37" s="90">
        <v>0.29899999999999999</v>
      </c>
      <c r="G37" s="90">
        <v>0.30599999999999999</v>
      </c>
      <c r="H37" s="90">
        <v>0.313</v>
      </c>
      <c r="I37" s="90">
        <v>0.32100000000000001</v>
      </c>
      <c r="J37" s="90">
        <v>0.32900000000000001</v>
      </c>
      <c r="K37" s="90">
        <v>0.33800000000000002</v>
      </c>
      <c r="L37" s="90">
        <v>0.34599999999999997</v>
      </c>
      <c r="M37" s="90">
        <v>0.35499999999999998</v>
      </c>
      <c r="N37" s="90">
        <v>0.36499999999999999</v>
      </c>
      <c r="O37" s="90">
        <v>0.374</v>
      </c>
      <c r="P37" s="90">
        <v>0.38500000000000001</v>
      </c>
      <c r="Q37" s="90">
        <v>0.39500000000000002</v>
      </c>
      <c r="R37" s="90">
        <v>0.40600000000000003</v>
      </c>
      <c r="S37" s="90">
        <v>0.41799999999999998</v>
      </c>
      <c r="T37" s="90">
        <v>0.43</v>
      </c>
      <c r="U37" s="90">
        <v>0.442</v>
      </c>
      <c r="V37" s="90">
        <v>0.45600000000000002</v>
      </c>
      <c r="W37" s="90">
        <v>0.46899999999999997</v>
      </c>
      <c r="X37" s="90">
        <v>0.48399999999999999</v>
      </c>
      <c r="Y37" s="90">
        <v>0.499</v>
      </c>
      <c r="Z37" s="90">
        <v>0.51500000000000001</v>
      </c>
      <c r="AA37" s="90">
        <v>0.53200000000000003</v>
      </c>
      <c r="AB37" s="90">
        <v>0.54900000000000004</v>
      </c>
      <c r="AC37" s="90">
        <v>0.56799999999999995</v>
      </c>
      <c r="AD37" s="90">
        <v>0.58799999999999997</v>
      </c>
      <c r="AE37" s="90">
        <v>0.60799999999999998</v>
      </c>
      <c r="AF37" s="90">
        <v>0.63</v>
      </c>
      <c r="AG37" s="90">
        <v>0.65400000000000003</v>
      </c>
      <c r="AH37" s="90">
        <v>0.67800000000000005</v>
      </c>
      <c r="AI37" s="90">
        <v>0.70499999999999996</v>
      </c>
      <c r="AJ37" s="90">
        <v>0.73299999999999998</v>
      </c>
      <c r="AK37" s="90">
        <v>0.76200000000000001</v>
      </c>
      <c r="AL37" s="90">
        <v>0.79400000000000004</v>
      </c>
      <c r="AM37" s="90">
        <v>0.82799999999999996</v>
      </c>
      <c r="AN37" s="90">
        <v>0.86499999999999999</v>
      </c>
      <c r="AO37" s="90">
        <v>0.90400000000000003</v>
      </c>
      <c r="AP37" s="90">
        <v>0.94699999999999995</v>
      </c>
      <c r="AQ37" s="90">
        <v>0.99199999999999999</v>
      </c>
    </row>
    <row r="38" spans="1:43" x14ac:dyDescent="0.25">
      <c r="A38" s="88">
        <v>11</v>
      </c>
      <c r="B38" s="90">
        <v>0.27200000000000002</v>
      </c>
      <c r="C38" s="90">
        <v>0.27900000000000003</v>
      </c>
      <c r="D38" s="90">
        <v>0.28499999999999998</v>
      </c>
      <c r="E38" s="90">
        <v>0.29199999999999998</v>
      </c>
      <c r="F38" s="90">
        <v>0.29899999999999999</v>
      </c>
      <c r="G38" s="90">
        <v>0.30599999999999999</v>
      </c>
      <c r="H38" s="90">
        <v>0.314</v>
      </c>
      <c r="I38" s="90">
        <v>0.32200000000000001</v>
      </c>
      <c r="J38" s="90">
        <v>0.33</v>
      </c>
      <c r="K38" s="90">
        <v>0.33800000000000002</v>
      </c>
      <c r="L38" s="90">
        <v>0.34699999999999998</v>
      </c>
      <c r="M38" s="90">
        <v>0.35599999999999998</v>
      </c>
      <c r="N38" s="90">
        <v>0.36499999999999999</v>
      </c>
      <c r="O38" s="90">
        <v>0.375</v>
      </c>
      <c r="P38" s="90">
        <v>0.38500000000000001</v>
      </c>
      <c r="Q38" s="90">
        <v>0.39600000000000002</v>
      </c>
      <c r="R38" s="90">
        <v>0.40699999999999997</v>
      </c>
      <c r="S38" s="90">
        <v>0.41899999999999998</v>
      </c>
      <c r="T38" s="90">
        <v>0.43099999999999999</v>
      </c>
      <c r="U38" s="90">
        <v>0.443</v>
      </c>
      <c r="V38" s="90">
        <v>0.45700000000000002</v>
      </c>
      <c r="W38" s="90">
        <v>0.47099999999999997</v>
      </c>
      <c r="X38" s="90">
        <v>0.48499999999999999</v>
      </c>
      <c r="Y38" s="90">
        <v>0.5</v>
      </c>
      <c r="Z38" s="90">
        <v>0.51600000000000001</v>
      </c>
      <c r="AA38" s="90">
        <v>0.53300000000000003</v>
      </c>
      <c r="AB38" s="90">
        <v>0.55100000000000005</v>
      </c>
      <c r="AC38" s="90">
        <v>0.56999999999999995</v>
      </c>
      <c r="AD38" s="90">
        <v>0.58899999999999997</v>
      </c>
      <c r="AE38" s="90">
        <v>0.61</v>
      </c>
      <c r="AF38" s="90">
        <v>0.63200000000000001</v>
      </c>
      <c r="AG38" s="90">
        <v>0.65600000000000003</v>
      </c>
      <c r="AH38" s="90">
        <v>0.68</v>
      </c>
      <c r="AI38" s="90">
        <v>0.70699999999999996</v>
      </c>
      <c r="AJ38" s="90">
        <v>0.73499999999999999</v>
      </c>
      <c r="AK38" s="90">
        <v>0.76500000000000001</v>
      </c>
      <c r="AL38" s="90">
        <v>0.79700000000000004</v>
      </c>
      <c r="AM38" s="90">
        <v>0.83099999999999996</v>
      </c>
      <c r="AN38" s="90">
        <v>0.86799999999999999</v>
      </c>
      <c r="AO38" s="90">
        <v>0.90800000000000003</v>
      </c>
      <c r="AP38" s="90">
        <v>0.95</v>
      </c>
      <c r="AQ38" s="90">
        <v>0.996</v>
      </c>
    </row>
    <row r="44" spans="1:43" ht="39.65" customHeight="1" x14ac:dyDescent="0.25"/>
    <row r="46" spans="1:43" ht="27.65" customHeight="1" x14ac:dyDescent="0.25"/>
  </sheetData>
  <sheetProtection algorithmName="SHA-512" hashValue="ySgnUOGlDrOWANNXNg7aXEElZkf3ajpMAAEfjpzf6lqnUC0K6zgZJ0Ank45id5eC5DxvSdbuUuVTPJNg5WOa8A==" saltValue="v7FG4vyUVq0xOnqWlgwBWg==" spinCount="100000" sheet="1" objects="1" scenarios="1"/>
  <conditionalFormatting sqref="A6:A16">
    <cfRule type="expression" dxfId="909" priority="23" stopIfTrue="1">
      <formula>MOD(ROW(),2)=0</formula>
    </cfRule>
    <cfRule type="expression" dxfId="908" priority="24" stopIfTrue="1">
      <formula>MOD(ROW(),2)&lt;&gt;0</formula>
    </cfRule>
  </conditionalFormatting>
  <conditionalFormatting sqref="B6:AQ21">
    <cfRule type="expression" dxfId="907" priority="25" stopIfTrue="1">
      <formula>MOD(ROW(),2)=0</formula>
    </cfRule>
    <cfRule type="expression" dxfId="906" priority="26" stopIfTrue="1">
      <formula>MOD(ROW(),2)&lt;&gt;0</formula>
    </cfRule>
  </conditionalFormatting>
  <conditionalFormatting sqref="C17:C21">
    <cfRule type="expression" dxfId="905" priority="17" stopIfTrue="1">
      <formula>MOD(ROW(),2)=0</formula>
    </cfRule>
    <cfRule type="expression" dxfId="904" priority="18" stopIfTrue="1">
      <formula>MOD(ROW(),2)&lt;&gt;0</formula>
    </cfRule>
  </conditionalFormatting>
  <conditionalFormatting sqref="A17:A20">
    <cfRule type="expression" dxfId="903" priority="13" stopIfTrue="1">
      <formula>MOD(ROW(),2)=0</formula>
    </cfRule>
    <cfRule type="expression" dxfId="902" priority="14" stopIfTrue="1">
      <formula>MOD(ROW(),2)&lt;&gt;0</formula>
    </cfRule>
  </conditionalFormatting>
  <conditionalFormatting sqref="B17:B18 B20:B21">
    <cfRule type="expression" dxfId="901" priority="15" stopIfTrue="1">
      <formula>MOD(ROW(),2)=0</formula>
    </cfRule>
    <cfRule type="expression" dxfId="900" priority="16" stopIfTrue="1">
      <formula>MOD(ROW(),2)&lt;&gt;0</formula>
    </cfRule>
  </conditionalFormatting>
  <conditionalFormatting sqref="A26:A38">
    <cfRule type="expression" dxfId="899" priority="7" stopIfTrue="1">
      <formula>MOD(ROW(),2)=0</formula>
    </cfRule>
    <cfRule type="expression" dxfId="898" priority="8" stopIfTrue="1">
      <formula>MOD(ROW(),2)&lt;&gt;0</formula>
    </cfRule>
  </conditionalFormatting>
  <conditionalFormatting sqref="B26:AQ38">
    <cfRule type="expression" dxfId="897" priority="9" stopIfTrue="1">
      <formula>MOD(ROW(),2)=0</formula>
    </cfRule>
    <cfRule type="expression" dxfId="896" priority="10" stopIfTrue="1">
      <formula>MOD(ROW(),2)&lt;&gt;0</formula>
    </cfRule>
  </conditionalFormatting>
  <conditionalFormatting sqref="B19">
    <cfRule type="expression" dxfId="895" priority="5" stopIfTrue="1">
      <formula>MOD(ROW(),2)=0</formula>
    </cfRule>
    <cfRule type="expression" dxfId="894" priority="6" stopIfTrue="1">
      <formula>MOD(ROW(),2)&lt;&gt;0</formula>
    </cfRule>
  </conditionalFormatting>
  <conditionalFormatting sqref="A21">
    <cfRule type="expression" dxfId="893" priority="1" stopIfTrue="1">
      <formula>MOD(ROW(),2)=0</formula>
    </cfRule>
    <cfRule type="expression" dxfId="892" priority="2" stopIfTrue="1">
      <formula>MOD(ROW(),2)&lt;&gt;0</formula>
    </cfRule>
  </conditionalFormatting>
  <hyperlinks>
    <hyperlink ref="B24" location="Assumptions!A1" display="Assumptions" xr:uid="{CDF87B93-2474-41B9-802B-FA1F16F01FC2}"/>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Sheet66"/>
  <dimension ref="A1:K46"/>
  <sheetViews>
    <sheetView showGridLines="0" zoomScale="85" zoomScaleNormal="85" workbookViewId="0">
      <selection activeCell="B18" sqref="B18"/>
    </sheetView>
  </sheetViews>
  <sheetFormatPr defaultColWidth="10" defaultRowHeight="12.5" x14ac:dyDescent="0.25"/>
  <cols>
    <col min="1" max="1" width="31.81640625" style="28" customWidth="1"/>
    <col min="2" max="11" width="22.81640625" style="28" customWidth="1"/>
    <col min="12" max="16384" width="10" style="28"/>
  </cols>
  <sheetData>
    <row r="1" spans="1:11" ht="20" x14ac:dyDescent="0.4">
      <c r="A1" s="40" t="s">
        <v>227</v>
      </c>
      <c r="B1" s="41"/>
      <c r="C1" s="41"/>
      <c r="D1" s="41"/>
      <c r="E1" s="41"/>
      <c r="F1" s="41"/>
      <c r="G1" s="41"/>
      <c r="H1" s="41"/>
      <c r="I1" s="41"/>
    </row>
    <row r="2" spans="1:11" ht="15.5" x14ac:dyDescent="0.35">
      <c r="A2" s="42" t="str">
        <f>IF(title="&gt; Enter workbook title here","Enter workbook title in Cover sheet",title)</f>
        <v>Fire Northern Ireland - Consolidated Factor Spreadsheet</v>
      </c>
      <c r="B2" s="43"/>
      <c r="C2" s="43"/>
      <c r="D2" s="43"/>
      <c r="E2" s="43"/>
      <c r="F2" s="43"/>
      <c r="G2" s="43"/>
      <c r="H2" s="43"/>
      <c r="I2" s="43"/>
    </row>
    <row r="3" spans="1:11" ht="15.5" x14ac:dyDescent="0.35">
      <c r="A3" s="44" t="str">
        <f>TABLE_FACTOR_TYPE_1&amp;" - x-"&amp;TABLE_SERIES_NUMBER_1</f>
        <v>Pension Debit - x-321</v>
      </c>
      <c r="B3" s="43"/>
      <c r="C3" s="43"/>
      <c r="D3" s="43"/>
      <c r="E3" s="43"/>
      <c r="F3" s="43"/>
      <c r="G3" s="43"/>
      <c r="H3" s="43"/>
      <c r="I3" s="43"/>
    </row>
    <row r="4" spans="1:11" x14ac:dyDescent="0.25">
      <c r="A4" s="45"/>
    </row>
    <row r="6" spans="1:11" ht="13" x14ac:dyDescent="0.3">
      <c r="A6" s="75" t="s">
        <v>562</v>
      </c>
      <c r="B6" s="159" t="s">
        <v>563</v>
      </c>
      <c r="C6" s="159"/>
      <c r="D6" s="159"/>
      <c r="E6" s="159"/>
      <c r="F6" s="159"/>
      <c r="G6" s="159"/>
      <c r="H6" s="159"/>
      <c r="I6" s="159"/>
      <c r="J6" s="159"/>
      <c r="K6" s="159"/>
    </row>
    <row r="7" spans="1:11" x14ac:dyDescent="0.25">
      <c r="A7" s="77" t="s">
        <v>305</v>
      </c>
      <c r="B7" s="159" t="s">
        <v>319</v>
      </c>
      <c r="C7" s="159"/>
      <c r="D7" s="159"/>
      <c r="E7" s="159"/>
      <c r="F7" s="159"/>
      <c r="G7" s="159"/>
      <c r="H7" s="159"/>
      <c r="I7" s="159"/>
      <c r="J7" s="159"/>
      <c r="K7" s="159"/>
    </row>
    <row r="8" spans="1:11" x14ac:dyDescent="0.25">
      <c r="A8" s="77" t="s">
        <v>306</v>
      </c>
      <c r="B8" s="159" t="s">
        <v>332</v>
      </c>
      <c r="C8" s="159"/>
      <c r="D8" s="159"/>
      <c r="E8" s="159"/>
      <c r="F8" s="159"/>
      <c r="G8" s="159"/>
      <c r="H8" s="159"/>
      <c r="I8" s="159"/>
      <c r="J8" s="159"/>
      <c r="K8" s="159"/>
    </row>
    <row r="9" spans="1:11" x14ac:dyDescent="0.25">
      <c r="A9" s="77" t="s">
        <v>307</v>
      </c>
      <c r="B9" s="159" t="s">
        <v>402</v>
      </c>
      <c r="C9" s="159"/>
      <c r="D9" s="159"/>
      <c r="E9" s="159"/>
      <c r="F9" s="159"/>
      <c r="G9" s="159"/>
      <c r="H9" s="159"/>
      <c r="I9" s="159"/>
      <c r="J9" s="159"/>
      <c r="K9" s="159"/>
    </row>
    <row r="10" spans="1:11" x14ac:dyDescent="0.25">
      <c r="A10" s="77" t="s">
        <v>233</v>
      </c>
      <c r="B10" s="159" t="s">
        <v>414</v>
      </c>
      <c r="C10" s="159"/>
      <c r="D10" s="159"/>
      <c r="E10" s="159"/>
      <c r="F10" s="159"/>
      <c r="G10" s="159"/>
      <c r="H10" s="159"/>
      <c r="I10" s="159"/>
      <c r="J10" s="159"/>
      <c r="K10" s="159"/>
    </row>
    <row r="11" spans="1:11" x14ac:dyDescent="0.25">
      <c r="A11" s="77" t="s">
        <v>308</v>
      </c>
      <c r="B11" s="159" t="s">
        <v>404</v>
      </c>
      <c r="C11" s="159"/>
      <c r="D11" s="159"/>
      <c r="E11" s="159"/>
      <c r="F11" s="159"/>
      <c r="G11" s="159"/>
      <c r="H11" s="159"/>
      <c r="I11" s="159"/>
      <c r="J11" s="159"/>
      <c r="K11" s="159"/>
    </row>
    <row r="12" spans="1:11" x14ac:dyDescent="0.25">
      <c r="A12" s="77" t="s">
        <v>309</v>
      </c>
      <c r="B12" s="159" t="s">
        <v>415</v>
      </c>
      <c r="C12" s="159"/>
      <c r="D12" s="159"/>
      <c r="E12" s="159"/>
      <c r="F12" s="159"/>
      <c r="G12" s="159"/>
      <c r="H12" s="159"/>
      <c r="I12" s="159"/>
      <c r="J12" s="159"/>
      <c r="K12" s="159"/>
    </row>
    <row r="13" spans="1:11" x14ac:dyDescent="0.25">
      <c r="A13" s="77" t="s">
        <v>570</v>
      </c>
      <c r="B13" s="159">
        <v>1</v>
      </c>
      <c r="C13" s="159"/>
      <c r="D13" s="159"/>
      <c r="E13" s="159"/>
      <c r="F13" s="159"/>
      <c r="G13" s="159"/>
      <c r="H13" s="159"/>
      <c r="I13" s="159"/>
      <c r="J13" s="159"/>
      <c r="K13" s="159"/>
    </row>
    <row r="14" spans="1:11" x14ac:dyDescent="0.25">
      <c r="A14" s="77" t="s">
        <v>311</v>
      </c>
      <c r="B14" s="159">
        <v>321</v>
      </c>
      <c r="C14" s="159"/>
      <c r="D14" s="159"/>
      <c r="E14" s="159"/>
      <c r="F14" s="159"/>
      <c r="G14" s="159"/>
      <c r="H14" s="159"/>
      <c r="I14" s="159"/>
      <c r="J14" s="159"/>
      <c r="K14" s="159"/>
    </row>
    <row r="15" spans="1:11" x14ac:dyDescent="0.25">
      <c r="A15" s="77" t="s">
        <v>573</v>
      </c>
      <c r="B15" s="159" t="s">
        <v>416</v>
      </c>
      <c r="C15" s="159"/>
      <c r="D15" s="159"/>
      <c r="E15" s="159"/>
      <c r="F15" s="159"/>
      <c r="G15" s="159"/>
      <c r="H15" s="159"/>
      <c r="I15" s="159"/>
      <c r="J15" s="159"/>
      <c r="K15" s="159"/>
    </row>
    <row r="16" spans="1:11" x14ac:dyDescent="0.25">
      <c r="A16" s="77" t="s">
        <v>313</v>
      </c>
      <c r="B16" s="159" t="s">
        <v>407</v>
      </c>
      <c r="C16" s="159"/>
      <c r="D16" s="159"/>
      <c r="E16" s="159"/>
      <c r="F16" s="159"/>
      <c r="G16" s="159"/>
      <c r="H16" s="159"/>
      <c r="I16" s="159"/>
      <c r="J16" s="159"/>
      <c r="K16" s="159"/>
    </row>
    <row r="17" spans="1:11" x14ac:dyDescent="0.25">
      <c r="A17" s="77" t="s">
        <v>642</v>
      </c>
      <c r="B17" s="159"/>
      <c r="C17" s="159"/>
      <c r="D17" s="159"/>
      <c r="E17" s="159"/>
      <c r="F17" s="159"/>
      <c r="G17" s="159"/>
      <c r="H17" s="159"/>
      <c r="I17" s="159"/>
      <c r="J17" s="159"/>
      <c r="K17" s="159"/>
    </row>
    <row r="18" spans="1:11" x14ac:dyDescent="0.25">
      <c r="A18" s="77" t="s">
        <v>315</v>
      </c>
      <c r="B18" s="161">
        <v>45070</v>
      </c>
      <c r="C18" s="159"/>
      <c r="D18" s="159"/>
      <c r="E18" s="159"/>
      <c r="F18" s="159"/>
      <c r="G18" s="159"/>
      <c r="H18" s="159"/>
      <c r="I18" s="159"/>
      <c r="J18" s="159"/>
      <c r="K18" s="159"/>
    </row>
    <row r="19" spans="1:11" x14ac:dyDescent="0.25">
      <c r="A19" s="77" t="s">
        <v>316</v>
      </c>
      <c r="B19" s="161">
        <v>45014</v>
      </c>
      <c r="C19" s="159"/>
      <c r="D19" s="159"/>
      <c r="E19" s="159"/>
      <c r="F19" s="159"/>
      <c r="G19" s="159"/>
      <c r="H19" s="159"/>
      <c r="I19" s="159"/>
      <c r="J19" s="159"/>
      <c r="K19" s="159"/>
    </row>
    <row r="20" spans="1:11" x14ac:dyDescent="0.25">
      <c r="A20" s="77" t="s">
        <v>317</v>
      </c>
      <c r="B20" s="159" t="s">
        <v>327</v>
      </c>
      <c r="C20" s="159"/>
      <c r="D20" s="159"/>
      <c r="E20" s="159"/>
      <c r="F20" s="159"/>
      <c r="G20" s="159"/>
      <c r="H20" s="159"/>
      <c r="I20" s="159"/>
      <c r="J20" s="159"/>
      <c r="K20" s="159"/>
    </row>
    <row r="21" spans="1:11" x14ac:dyDescent="0.25">
      <c r="A21" s="77" t="s">
        <v>318</v>
      </c>
      <c r="B21" s="159" t="s">
        <v>328</v>
      </c>
      <c r="C21" s="159"/>
      <c r="D21" s="159"/>
      <c r="E21" s="159"/>
      <c r="F21" s="159"/>
      <c r="G21" s="159"/>
      <c r="H21" s="159"/>
      <c r="I21" s="159"/>
      <c r="J21" s="159"/>
      <c r="K21" s="159"/>
    </row>
    <row r="23" spans="1:11" x14ac:dyDescent="0.25">
      <c r="B23" s="91" t="str">
        <f>HYPERLINK("#'Factor List'!A1","Back to Factor List")</f>
        <v>Back to Factor List</v>
      </c>
    </row>
    <row r="24" spans="1:11" x14ac:dyDescent="0.25">
      <c r="B24" s="91" t="s">
        <v>240</v>
      </c>
    </row>
    <row r="25" spans="1:11" x14ac:dyDescent="0.25">
      <c r="B25" s="91"/>
    </row>
    <row r="26" spans="1:11" ht="13" x14ac:dyDescent="0.25">
      <c r="A26" s="87" t="s">
        <v>667</v>
      </c>
      <c r="B26" s="87">
        <v>55</v>
      </c>
      <c r="C26" s="87">
        <v>56</v>
      </c>
      <c r="D26" s="87">
        <v>57</v>
      </c>
      <c r="E26" s="87">
        <v>58</v>
      </c>
      <c r="F26" s="87">
        <v>59</v>
      </c>
      <c r="G26" s="87">
        <v>60</v>
      </c>
      <c r="H26" s="87">
        <v>61</v>
      </c>
      <c r="I26" s="87">
        <v>62</v>
      </c>
      <c r="J26" s="87">
        <v>63</v>
      </c>
      <c r="K26" s="87">
        <v>64</v>
      </c>
    </row>
    <row r="27" spans="1:11" x14ac:dyDescent="0.25">
      <c r="A27" s="88">
        <v>0</v>
      </c>
      <c r="B27" s="90">
        <v>0.62</v>
      </c>
      <c r="C27" s="90">
        <v>0.64600000000000002</v>
      </c>
      <c r="D27" s="90">
        <v>0.67400000000000004</v>
      </c>
      <c r="E27" s="90">
        <v>0.70499999999999996</v>
      </c>
      <c r="F27" s="90">
        <v>0.73699999999999999</v>
      </c>
      <c r="G27" s="90">
        <v>0.77200000000000002</v>
      </c>
      <c r="H27" s="90">
        <v>0.81100000000000005</v>
      </c>
      <c r="I27" s="90">
        <v>0.85199999999999998</v>
      </c>
      <c r="J27" s="90">
        <v>0.89700000000000002</v>
      </c>
      <c r="K27" s="90">
        <v>0.94599999999999995</v>
      </c>
    </row>
    <row r="28" spans="1:11" x14ac:dyDescent="0.25">
      <c r="A28" s="88">
        <v>1</v>
      </c>
      <c r="B28" s="90">
        <v>0.622</v>
      </c>
      <c r="C28" s="90">
        <v>0.64800000000000002</v>
      </c>
      <c r="D28" s="90">
        <v>0.67700000000000005</v>
      </c>
      <c r="E28" s="90">
        <v>0.70699999999999996</v>
      </c>
      <c r="F28" s="90">
        <v>0.74</v>
      </c>
      <c r="G28" s="90">
        <v>0.77600000000000002</v>
      </c>
      <c r="H28" s="90">
        <v>0.81399999999999995</v>
      </c>
      <c r="I28" s="90">
        <v>0.85599999999999998</v>
      </c>
      <c r="J28" s="90">
        <v>0.90100000000000002</v>
      </c>
      <c r="K28" s="90">
        <v>0.95099999999999996</v>
      </c>
    </row>
    <row r="29" spans="1:11" x14ac:dyDescent="0.25">
      <c r="A29" s="88">
        <v>2</v>
      </c>
      <c r="B29" s="90">
        <v>0.624</v>
      </c>
      <c r="C29" s="90">
        <v>0.65100000000000002</v>
      </c>
      <c r="D29" s="90">
        <v>0.67900000000000005</v>
      </c>
      <c r="E29" s="90">
        <v>0.71</v>
      </c>
      <c r="F29" s="90">
        <v>0.74299999999999999</v>
      </c>
      <c r="G29" s="90">
        <v>0.77900000000000003</v>
      </c>
      <c r="H29" s="90">
        <v>0.81699999999999995</v>
      </c>
      <c r="I29" s="90">
        <v>0.85899999999999999</v>
      </c>
      <c r="J29" s="90">
        <v>0.90500000000000003</v>
      </c>
      <c r="K29" s="90">
        <v>0.95499999999999996</v>
      </c>
    </row>
    <row r="30" spans="1:11" x14ac:dyDescent="0.25">
      <c r="A30" s="88">
        <v>3</v>
      </c>
      <c r="B30" s="90">
        <v>0.626</v>
      </c>
      <c r="C30" s="90">
        <v>0.65300000000000002</v>
      </c>
      <c r="D30" s="90">
        <v>0.68200000000000005</v>
      </c>
      <c r="E30" s="90">
        <v>0.71299999999999997</v>
      </c>
      <c r="F30" s="90">
        <v>0.746</v>
      </c>
      <c r="G30" s="90">
        <v>0.78200000000000003</v>
      </c>
      <c r="H30" s="90">
        <v>0.82099999999999995</v>
      </c>
      <c r="I30" s="90">
        <v>0.86299999999999999</v>
      </c>
      <c r="J30" s="90">
        <v>0.90900000000000003</v>
      </c>
      <c r="K30" s="90">
        <v>0.96</v>
      </c>
    </row>
    <row r="31" spans="1:11" x14ac:dyDescent="0.25">
      <c r="A31" s="88">
        <v>4</v>
      </c>
      <c r="B31" s="90">
        <v>0.629</v>
      </c>
      <c r="C31" s="90">
        <v>0.65600000000000003</v>
      </c>
      <c r="D31" s="90">
        <v>0.68400000000000005</v>
      </c>
      <c r="E31" s="90">
        <v>0.71499999999999997</v>
      </c>
      <c r="F31" s="90">
        <v>0.749</v>
      </c>
      <c r="G31" s="90">
        <v>0.78500000000000003</v>
      </c>
      <c r="H31" s="90">
        <v>0.82399999999999995</v>
      </c>
      <c r="I31" s="90">
        <v>0.86699999999999999</v>
      </c>
      <c r="J31" s="90">
        <v>0.91300000000000003</v>
      </c>
      <c r="K31" s="90">
        <v>0.96399999999999997</v>
      </c>
    </row>
    <row r="32" spans="1:11" x14ac:dyDescent="0.25">
      <c r="A32" s="88">
        <v>5</v>
      </c>
      <c r="B32" s="90">
        <v>0.63100000000000001</v>
      </c>
      <c r="C32" s="90">
        <v>0.65800000000000003</v>
      </c>
      <c r="D32" s="90">
        <v>0.68700000000000006</v>
      </c>
      <c r="E32" s="90">
        <v>0.71799999999999997</v>
      </c>
      <c r="F32" s="90">
        <v>0.752</v>
      </c>
      <c r="G32" s="90">
        <v>0.78800000000000003</v>
      </c>
      <c r="H32" s="90">
        <v>0.82799999999999996</v>
      </c>
      <c r="I32" s="90">
        <v>0.871</v>
      </c>
      <c r="J32" s="90">
        <v>0.91700000000000004</v>
      </c>
      <c r="K32" s="90">
        <v>0.96899999999999997</v>
      </c>
    </row>
    <row r="33" spans="1:11" x14ac:dyDescent="0.25">
      <c r="A33" s="88">
        <v>6</v>
      </c>
      <c r="B33" s="90">
        <v>0.63300000000000001</v>
      </c>
      <c r="C33" s="90">
        <v>0.66</v>
      </c>
      <c r="D33" s="90">
        <v>0.68899999999999995</v>
      </c>
      <c r="E33" s="90">
        <v>0.72099999999999997</v>
      </c>
      <c r="F33" s="90">
        <v>0.755</v>
      </c>
      <c r="G33" s="90">
        <v>0.79100000000000004</v>
      </c>
      <c r="H33" s="90">
        <v>0.83099999999999996</v>
      </c>
      <c r="I33" s="90">
        <v>0.874</v>
      </c>
      <c r="J33" s="90">
        <v>0.92200000000000004</v>
      </c>
      <c r="K33" s="90">
        <v>0.97299999999999998</v>
      </c>
    </row>
    <row r="34" spans="1:11" x14ac:dyDescent="0.25">
      <c r="A34" s="88">
        <v>7</v>
      </c>
      <c r="B34" s="90">
        <v>0.63500000000000001</v>
      </c>
      <c r="C34" s="90">
        <v>0.66300000000000003</v>
      </c>
      <c r="D34" s="90">
        <v>0.69199999999999995</v>
      </c>
      <c r="E34" s="90">
        <v>0.72399999999999998</v>
      </c>
      <c r="F34" s="90">
        <v>0.75800000000000001</v>
      </c>
      <c r="G34" s="90">
        <v>0.79500000000000004</v>
      </c>
      <c r="H34" s="90">
        <v>0.83499999999999996</v>
      </c>
      <c r="I34" s="90">
        <v>0.878</v>
      </c>
      <c r="J34" s="90">
        <v>0.92600000000000005</v>
      </c>
      <c r="K34" s="90">
        <v>0.97799999999999998</v>
      </c>
    </row>
    <row r="35" spans="1:11" x14ac:dyDescent="0.25">
      <c r="A35" s="88">
        <v>8</v>
      </c>
      <c r="B35" s="90">
        <v>0.63700000000000001</v>
      </c>
      <c r="C35" s="90">
        <v>0.66500000000000004</v>
      </c>
      <c r="D35" s="90">
        <v>0.69399999999999995</v>
      </c>
      <c r="E35" s="90">
        <v>0.72599999999999998</v>
      </c>
      <c r="F35" s="90">
        <v>0.76100000000000001</v>
      </c>
      <c r="G35" s="90">
        <v>0.79800000000000004</v>
      </c>
      <c r="H35" s="90">
        <v>0.83799999999999997</v>
      </c>
      <c r="I35" s="90">
        <v>0.88200000000000001</v>
      </c>
      <c r="J35" s="90">
        <v>0.93</v>
      </c>
      <c r="K35" s="90">
        <v>0.98199999999999998</v>
      </c>
    </row>
    <row r="36" spans="1:11" x14ac:dyDescent="0.25">
      <c r="A36" s="88">
        <v>9</v>
      </c>
      <c r="B36" s="90">
        <v>0.64</v>
      </c>
      <c r="C36" s="90">
        <v>0.66700000000000004</v>
      </c>
      <c r="D36" s="90">
        <v>0.69699999999999995</v>
      </c>
      <c r="E36" s="90">
        <v>0.72899999999999998</v>
      </c>
      <c r="F36" s="90">
        <v>0.76400000000000001</v>
      </c>
      <c r="G36" s="90">
        <v>0.80100000000000005</v>
      </c>
      <c r="H36" s="90">
        <v>0.84199999999999997</v>
      </c>
      <c r="I36" s="90">
        <v>0.88600000000000001</v>
      </c>
      <c r="J36" s="90">
        <v>0.93400000000000005</v>
      </c>
      <c r="K36" s="90">
        <v>0.98699999999999999</v>
      </c>
    </row>
    <row r="37" spans="1:11" x14ac:dyDescent="0.25">
      <c r="A37" s="88">
        <v>10</v>
      </c>
      <c r="B37" s="90">
        <v>0.64200000000000002</v>
      </c>
      <c r="C37" s="90">
        <v>0.67</v>
      </c>
      <c r="D37" s="90">
        <v>0.7</v>
      </c>
      <c r="E37" s="90">
        <v>0.73199999999999998</v>
      </c>
      <c r="F37" s="90">
        <v>0.76700000000000002</v>
      </c>
      <c r="G37" s="90">
        <v>0.80400000000000005</v>
      </c>
      <c r="H37" s="90">
        <v>0.84499999999999997</v>
      </c>
      <c r="I37" s="90">
        <v>0.88900000000000001</v>
      </c>
      <c r="J37" s="90">
        <v>0.93799999999999994</v>
      </c>
      <c r="K37" s="90">
        <v>0.99099999999999999</v>
      </c>
    </row>
    <row r="38" spans="1:11" x14ac:dyDescent="0.25">
      <c r="A38" s="88">
        <v>11</v>
      </c>
      <c r="B38" s="90">
        <v>0.64400000000000002</v>
      </c>
      <c r="C38" s="90">
        <v>0.67200000000000004</v>
      </c>
      <c r="D38" s="90">
        <v>0.70199999999999996</v>
      </c>
      <c r="E38" s="90">
        <v>0.73399999999999999</v>
      </c>
      <c r="F38" s="90">
        <v>0.76900000000000002</v>
      </c>
      <c r="G38" s="90">
        <v>0.80700000000000005</v>
      </c>
      <c r="H38" s="90">
        <v>0.84799999999999998</v>
      </c>
      <c r="I38" s="90">
        <v>0.89300000000000002</v>
      </c>
      <c r="J38" s="90">
        <v>0.94199999999999995</v>
      </c>
      <c r="K38" s="90">
        <v>0.996</v>
      </c>
    </row>
    <row r="44" spans="1:11" ht="39.65" customHeight="1" x14ac:dyDescent="0.25"/>
    <row r="46" spans="1:11" ht="27.65" customHeight="1" x14ac:dyDescent="0.25"/>
  </sheetData>
  <sheetProtection algorithmName="SHA-512" hashValue="U3jxg/yHbRtiNXpbbHLFwfk8cqe8QwOGGj+aIZC8wuVIZciWpcMtKGVfzrv20plAkpqiyYf8X9x+6ZXdy12nWw==" saltValue="zpKMEuUKW083+9BspNDrbg==" spinCount="100000" sheet="1" objects="1" scenarios="1"/>
  <conditionalFormatting sqref="A6:A16">
    <cfRule type="expression" dxfId="891" priority="23" stopIfTrue="1">
      <formula>MOD(ROW(),2)=0</formula>
    </cfRule>
    <cfRule type="expression" dxfId="890" priority="24" stopIfTrue="1">
      <formula>MOD(ROW(),2)&lt;&gt;0</formula>
    </cfRule>
  </conditionalFormatting>
  <conditionalFormatting sqref="B6:K21">
    <cfRule type="expression" dxfId="889" priority="25" stopIfTrue="1">
      <formula>MOD(ROW(),2)=0</formula>
    </cfRule>
    <cfRule type="expression" dxfId="888" priority="26" stopIfTrue="1">
      <formula>MOD(ROW(),2)&lt;&gt;0</formula>
    </cfRule>
  </conditionalFormatting>
  <conditionalFormatting sqref="C17:C21">
    <cfRule type="expression" dxfId="887" priority="17" stopIfTrue="1">
      <formula>MOD(ROW(),2)=0</formula>
    </cfRule>
    <cfRule type="expression" dxfId="886" priority="18" stopIfTrue="1">
      <formula>MOD(ROW(),2)&lt;&gt;0</formula>
    </cfRule>
  </conditionalFormatting>
  <conditionalFormatting sqref="A17:A20">
    <cfRule type="expression" dxfId="885" priority="13" stopIfTrue="1">
      <formula>MOD(ROW(),2)=0</formula>
    </cfRule>
    <cfRule type="expression" dxfId="884" priority="14" stopIfTrue="1">
      <formula>MOD(ROW(),2)&lt;&gt;0</formula>
    </cfRule>
  </conditionalFormatting>
  <conditionalFormatting sqref="B17:B18 B20:B21">
    <cfRule type="expression" dxfId="883" priority="15" stopIfTrue="1">
      <formula>MOD(ROW(),2)=0</formula>
    </cfRule>
    <cfRule type="expression" dxfId="882" priority="16" stopIfTrue="1">
      <formula>MOD(ROW(),2)&lt;&gt;0</formula>
    </cfRule>
  </conditionalFormatting>
  <conditionalFormatting sqref="A26:A38">
    <cfRule type="expression" dxfId="881" priority="7" stopIfTrue="1">
      <formula>MOD(ROW(),2)=0</formula>
    </cfRule>
    <cfRule type="expression" dxfId="880" priority="8" stopIfTrue="1">
      <formula>MOD(ROW(),2)&lt;&gt;0</formula>
    </cfRule>
  </conditionalFormatting>
  <conditionalFormatting sqref="B26:K38">
    <cfRule type="expression" dxfId="879" priority="9" stopIfTrue="1">
      <formula>MOD(ROW(),2)=0</formula>
    </cfRule>
    <cfRule type="expression" dxfId="878" priority="10" stopIfTrue="1">
      <formula>MOD(ROW(),2)&lt;&gt;0</formula>
    </cfRule>
  </conditionalFormatting>
  <conditionalFormatting sqref="B19">
    <cfRule type="expression" dxfId="877" priority="5" stopIfTrue="1">
      <formula>MOD(ROW(),2)=0</formula>
    </cfRule>
    <cfRule type="expression" dxfId="876" priority="6" stopIfTrue="1">
      <formula>MOD(ROW(),2)&lt;&gt;0</formula>
    </cfRule>
  </conditionalFormatting>
  <conditionalFormatting sqref="A21">
    <cfRule type="expression" dxfId="875" priority="1" stopIfTrue="1">
      <formula>MOD(ROW(),2)=0</formula>
    </cfRule>
    <cfRule type="expression" dxfId="874" priority="2" stopIfTrue="1">
      <formula>MOD(ROW(),2)&lt;&gt;0</formula>
    </cfRule>
  </conditionalFormatting>
  <hyperlinks>
    <hyperlink ref="B24" location="Assumptions!A1" display="Assumptions" xr:uid="{FBABD022-E2E7-4928-9C86-87BCD470B134}"/>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Sheet67"/>
  <dimension ref="A1:H46"/>
  <sheetViews>
    <sheetView showGridLines="0" zoomScale="85" zoomScaleNormal="85" workbookViewId="0">
      <selection activeCell="B18" sqref="B18"/>
    </sheetView>
  </sheetViews>
  <sheetFormatPr defaultColWidth="10" defaultRowHeight="12.5" x14ac:dyDescent="0.25"/>
  <cols>
    <col min="1" max="1" width="31.81640625" style="28" customWidth="1"/>
    <col min="2" max="6" width="22.81640625" style="28" customWidth="1"/>
    <col min="7" max="16384" width="10" style="28"/>
  </cols>
  <sheetData>
    <row r="1" spans="1:8" ht="20" x14ac:dyDescent="0.4">
      <c r="A1" s="40" t="s">
        <v>227</v>
      </c>
      <c r="B1" s="41"/>
      <c r="C1" s="41"/>
      <c r="D1" s="41"/>
      <c r="E1" s="41"/>
      <c r="F1" s="41"/>
      <c r="G1" s="41"/>
      <c r="H1" s="41"/>
    </row>
    <row r="2" spans="1:8" ht="15.5" x14ac:dyDescent="0.35">
      <c r="A2" s="42" t="str">
        <f>IF(title="&gt; Enter workbook title here","Enter workbook title in Cover sheet",title)</f>
        <v>Fire Northern Ireland - Consolidated Factor Spreadsheet</v>
      </c>
      <c r="B2" s="43"/>
      <c r="C2" s="43"/>
      <c r="D2" s="43"/>
      <c r="E2" s="43"/>
      <c r="F2" s="43"/>
      <c r="G2" s="43"/>
      <c r="H2" s="43"/>
    </row>
    <row r="3" spans="1:8" ht="15.5" x14ac:dyDescent="0.35">
      <c r="A3" s="44" t="str">
        <f>TABLE_FACTOR_TYPE_1&amp;" - x-"&amp;TABLE_SERIES_NUMBER_1</f>
        <v>Pension Debit - x-322</v>
      </c>
      <c r="B3" s="43"/>
      <c r="C3" s="43"/>
      <c r="D3" s="43"/>
      <c r="E3" s="43"/>
      <c r="F3" s="43"/>
      <c r="G3" s="43"/>
      <c r="H3" s="43"/>
    </row>
    <row r="4" spans="1:8" x14ac:dyDescent="0.25">
      <c r="A4" s="45"/>
    </row>
    <row r="6" spans="1:8" ht="13" x14ac:dyDescent="0.3">
      <c r="A6" s="75" t="s">
        <v>562</v>
      </c>
      <c r="B6" s="159" t="s">
        <v>563</v>
      </c>
      <c r="C6" s="159"/>
      <c r="D6" s="159"/>
      <c r="E6" s="159"/>
      <c r="F6" s="159"/>
    </row>
    <row r="7" spans="1:8" x14ac:dyDescent="0.25">
      <c r="A7" s="77" t="s">
        <v>305</v>
      </c>
      <c r="B7" s="159" t="s">
        <v>319</v>
      </c>
      <c r="C7" s="159"/>
      <c r="D7" s="159"/>
      <c r="E7" s="159"/>
      <c r="F7" s="159"/>
    </row>
    <row r="8" spans="1:8" x14ac:dyDescent="0.25">
      <c r="A8" s="77" t="s">
        <v>306</v>
      </c>
      <c r="B8" s="159" t="s">
        <v>332</v>
      </c>
      <c r="C8" s="159"/>
      <c r="D8" s="159"/>
      <c r="E8" s="159"/>
      <c r="F8" s="159"/>
    </row>
    <row r="9" spans="1:8" x14ac:dyDescent="0.25">
      <c r="A9" s="77" t="s">
        <v>307</v>
      </c>
      <c r="B9" s="159" t="s">
        <v>402</v>
      </c>
      <c r="C9" s="159"/>
      <c r="D9" s="159"/>
      <c r="E9" s="159"/>
      <c r="F9" s="159"/>
    </row>
    <row r="10" spans="1:8" x14ac:dyDescent="0.25">
      <c r="A10" s="77" t="s">
        <v>233</v>
      </c>
      <c r="B10" s="159" t="s">
        <v>417</v>
      </c>
      <c r="C10" s="159"/>
      <c r="D10" s="159"/>
      <c r="E10" s="159"/>
      <c r="F10" s="159"/>
    </row>
    <row r="11" spans="1:8" x14ac:dyDescent="0.25">
      <c r="A11" s="77" t="s">
        <v>308</v>
      </c>
      <c r="B11" s="159" t="s">
        <v>404</v>
      </c>
      <c r="C11" s="159"/>
      <c r="D11" s="159"/>
      <c r="E11" s="159"/>
      <c r="F11" s="159"/>
    </row>
    <row r="12" spans="1:8" x14ac:dyDescent="0.25">
      <c r="A12" s="77" t="s">
        <v>309</v>
      </c>
      <c r="B12" s="159" t="s">
        <v>415</v>
      </c>
      <c r="C12" s="159"/>
      <c r="D12" s="159"/>
      <c r="E12" s="159"/>
      <c r="F12" s="159"/>
    </row>
    <row r="13" spans="1:8" x14ac:dyDescent="0.25">
      <c r="A13" s="77" t="s">
        <v>570</v>
      </c>
      <c r="B13" s="159">
        <v>1</v>
      </c>
      <c r="C13" s="159"/>
      <c r="D13" s="159"/>
      <c r="E13" s="159"/>
      <c r="F13" s="159"/>
    </row>
    <row r="14" spans="1:8" x14ac:dyDescent="0.25">
      <c r="A14" s="77" t="s">
        <v>311</v>
      </c>
      <c r="B14" s="159">
        <v>322</v>
      </c>
      <c r="C14" s="159"/>
      <c r="D14" s="159"/>
      <c r="E14" s="159"/>
      <c r="F14" s="159"/>
    </row>
    <row r="15" spans="1:8" x14ac:dyDescent="0.25">
      <c r="A15" s="77" t="s">
        <v>573</v>
      </c>
      <c r="B15" s="159" t="s">
        <v>418</v>
      </c>
      <c r="C15" s="159"/>
      <c r="D15" s="159"/>
      <c r="E15" s="159"/>
      <c r="F15" s="159"/>
    </row>
    <row r="16" spans="1:8" x14ac:dyDescent="0.25">
      <c r="A16" s="77" t="s">
        <v>313</v>
      </c>
      <c r="B16" s="159" t="s">
        <v>419</v>
      </c>
      <c r="C16" s="159"/>
      <c r="D16" s="159"/>
      <c r="E16" s="159"/>
      <c r="F16" s="159"/>
    </row>
    <row r="17" spans="1:6" x14ac:dyDescent="0.25">
      <c r="A17" s="77" t="s">
        <v>642</v>
      </c>
      <c r="B17" s="159"/>
      <c r="C17" s="159"/>
      <c r="D17" s="159"/>
      <c r="E17" s="159"/>
      <c r="F17" s="159"/>
    </row>
    <row r="18" spans="1:6" x14ac:dyDescent="0.25">
      <c r="A18" s="77" t="s">
        <v>315</v>
      </c>
      <c r="B18" s="161">
        <v>45070</v>
      </c>
      <c r="C18" s="159"/>
      <c r="D18" s="159"/>
      <c r="E18" s="159"/>
      <c r="F18" s="159"/>
    </row>
    <row r="19" spans="1:6" x14ac:dyDescent="0.25">
      <c r="A19" s="77" t="s">
        <v>316</v>
      </c>
      <c r="B19" s="161">
        <v>45014</v>
      </c>
      <c r="C19" s="159"/>
      <c r="D19" s="159"/>
      <c r="E19" s="159"/>
      <c r="F19" s="159"/>
    </row>
    <row r="20" spans="1:6" x14ac:dyDescent="0.25">
      <c r="A20" s="77" t="s">
        <v>317</v>
      </c>
      <c r="B20" s="159" t="s">
        <v>327</v>
      </c>
      <c r="C20" s="159"/>
      <c r="D20" s="159"/>
      <c r="E20" s="159"/>
      <c r="F20" s="159"/>
    </row>
    <row r="21" spans="1:6" x14ac:dyDescent="0.25">
      <c r="A21" s="77" t="s">
        <v>318</v>
      </c>
      <c r="B21" s="159" t="s">
        <v>328</v>
      </c>
      <c r="C21" s="159"/>
      <c r="D21" s="159"/>
      <c r="E21" s="159"/>
      <c r="F21" s="159"/>
    </row>
    <row r="23" spans="1:6" x14ac:dyDescent="0.25">
      <c r="B23" s="91" t="str">
        <f>HYPERLINK("#'Factor List'!A1","Back to Factor List")</f>
        <v>Back to Factor List</v>
      </c>
    </row>
    <row r="24" spans="1:6" x14ac:dyDescent="0.25">
      <c r="B24" s="91" t="s">
        <v>240</v>
      </c>
    </row>
    <row r="25" spans="1:6" x14ac:dyDescent="0.25">
      <c r="B25" s="91"/>
    </row>
    <row r="26" spans="1:6" ht="13" x14ac:dyDescent="0.25">
      <c r="A26" s="87" t="s">
        <v>667</v>
      </c>
      <c r="B26" s="87">
        <v>55</v>
      </c>
      <c r="C26" s="87">
        <v>56</v>
      </c>
      <c r="D26" s="87">
        <v>57</v>
      </c>
      <c r="E26" s="87">
        <v>58</v>
      </c>
      <c r="F26" s="87">
        <v>59</v>
      </c>
    </row>
    <row r="27" spans="1:6" x14ac:dyDescent="0.25">
      <c r="A27" s="88">
        <v>0</v>
      </c>
      <c r="B27" s="90">
        <v>0.8</v>
      </c>
      <c r="C27" s="90">
        <v>0.83399999999999996</v>
      </c>
      <c r="D27" s="90">
        <v>0.871</v>
      </c>
      <c r="E27" s="90">
        <v>0.91100000000000003</v>
      </c>
      <c r="F27" s="90">
        <v>0.95399999999999996</v>
      </c>
    </row>
    <row r="28" spans="1:6" x14ac:dyDescent="0.25">
      <c r="A28" s="88">
        <v>1</v>
      </c>
      <c r="B28" s="90">
        <v>0.80200000000000005</v>
      </c>
      <c r="C28" s="90">
        <v>0.83699999999999997</v>
      </c>
      <c r="D28" s="90">
        <v>0.874</v>
      </c>
      <c r="E28" s="90">
        <v>0.91400000000000003</v>
      </c>
      <c r="F28" s="90">
        <v>0.95799999999999996</v>
      </c>
    </row>
    <row r="29" spans="1:6" x14ac:dyDescent="0.25">
      <c r="A29" s="88">
        <v>2</v>
      </c>
      <c r="B29" s="90">
        <v>0.80500000000000005</v>
      </c>
      <c r="C29" s="90">
        <v>0.84</v>
      </c>
      <c r="D29" s="90">
        <v>0.878</v>
      </c>
      <c r="E29" s="90">
        <v>0.91800000000000004</v>
      </c>
      <c r="F29" s="90">
        <v>0.96099999999999997</v>
      </c>
    </row>
    <row r="30" spans="1:6" x14ac:dyDescent="0.25">
      <c r="A30" s="88">
        <v>3</v>
      </c>
      <c r="B30" s="90">
        <v>0.80800000000000005</v>
      </c>
      <c r="C30" s="90">
        <v>0.84299999999999997</v>
      </c>
      <c r="D30" s="90">
        <v>0.88100000000000001</v>
      </c>
      <c r="E30" s="90">
        <v>0.92200000000000004</v>
      </c>
      <c r="F30" s="90">
        <v>0.96499999999999997</v>
      </c>
    </row>
    <row r="31" spans="1:6" x14ac:dyDescent="0.25">
      <c r="A31" s="88">
        <v>4</v>
      </c>
      <c r="B31" s="90">
        <v>0.81100000000000005</v>
      </c>
      <c r="C31" s="90">
        <v>0.84599999999999997</v>
      </c>
      <c r="D31" s="90">
        <v>0.88400000000000001</v>
      </c>
      <c r="E31" s="90">
        <v>0.92500000000000004</v>
      </c>
      <c r="F31" s="90">
        <v>0.96899999999999997</v>
      </c>
    </row>
    <row r="32" spans="1:6" x14ac:dyDescent="0.25">
      <c r="A32" s="88">
        <v>5</v>
      </c>
      <c r="B32" s="90">
        <v>0.81399999999999995</v>
      </c>
      <c r="C32" s="90">
        <v>0.84899999999999998</v>
      </c>
      <c r="D32" s="90">
        <v>0.88800000000000001</v>
      </c>
      <c r="E32" s="90">
        <v>0.92900000000000005</v>
      </c>
      <c r="F32" s="90">
        <v>0.97299999999999998</v>
      </c>
    </row>
    <row r="33" spans="1:6" x14ac:dyDescent="0.25">
      <c r="A33" s="88">
        <v>6</v>
      </c>
      <c r="B33" s="90">
        <v>0.81699999999999995</v>
      </c>
      <c r="C33" s="90">
        <v>0.85299999999999998</v>
      </c>
      <c r="D33" s="90">
        <v>0.89100000000000001</v>
      </c>
      <c r="E33" s="90">
        <v>0.93200000000000005</v>
      </c>
      <c r="F33" s="90">
        <v>0.97699999999999998</v>
      </c>
    </row>
    <row r="34" spans="1:6" x14ac:dyDescent="0.25">
      <c r="A34" s="88">
        <v>7</v>
      </c>
      <c r="B34" s="90">
        <v>0.82</v>
      </c>
      <c r="C34" s="90">
        <v>0.85599999999999998</v>
      </c>
      <c r="D34" s="90">
        <v>0.89400000000000002</v>
      </c>
      <c r="E34" s="90">
        <v>0.93600000000000005</v>
      </c>
      <c r="F34" s="90">
        <v>0.98099999999999998</v>
      </c>
    </row>
    <row r="35" spans="1:6" x14ac:dyDescent="0.25">
      <c r="A35" s="88">
        <v>8</v>
      </c>
      <c r="B35" s="90">
        <v>0.82299999999999995</v>
      </c>
      <c r="C35" s="90">
        <v>0.85899999999999999</v>
      </c>
      <c r="D35" s="90">
        <v>0.89800000000000002</v>
      </c>
      <c r="E35" s="90">
        <v>0.93899999999999995</v>
      </c>
      <c r="F35" s="90">
        <v>0.98499999999999999</v>
      </c>
    </row>
    <row r="36" spans="1:6" x14ac:dyDescent="0.25">
      <c r="A36" s="88">
        <v>9</v>
      </c>
      <c r="B36" s="90">
        <v>0.82499999999999996</v>
      </c>
      <c r="C36" s="90">
        <v>0.86199999999999999</v>
      </c>
      <c r="D36" s="90">
        <v>0.90100000000000002</v>
      </c>
      <c r="E36" s="90">
        <v>0.94299999999999995</v>
      </c>
      <c r="F36" s="90">
        <v>0.98799999999999999</v>
      </c>
    </row>
    <row r="37" spans="1:6" x14ac:dyDescent="0.25">
      <c r="A37" s="88">
        <v>10</v>
      </c>
      <c r="B37" s="90">
        <v>0.82799999999999996</v>
      </c>
      <c r="C37" s="90">
        <v>0.86499999999999999</v>
      </c>
      <c r="D37" s="90">
        <v>0.90400000000000003</v>
      </c>
      <c r="E37" s="90">
        <v>0.94699999999999995</v>
      </c>
      <c r="F37" s="90">
        <v>0.99199999999999999</v>
      </c>
    </row>
    <row r="38" spans="1:6" x14ac:dyDescent="0.25">
      <c r="A38" s="88">
        <v>11</v>
      </c>
      <c r="B38" s="90">
        <v>0.83099999999999996</v>
      </c>
      <c r="C38" s="90">
        <v>0.86799999999999999</v>
      </c>
      <c r="D38" s="90">
        <v>0.90800000000000003</v>
      </c>
      <c r="E38" s="90">
        <v>0.95</v>
      </c>
      <c r="F38" s="90">
        <v>0.996</v>
      </c>
    </row>
    <row r="44" spans="1:6" ht="39.65" customHeight="1" x14ac:dyDescent="0.25"/>
    <row r="46" spans="1:6" ht="27.65" customHeight="1" x14ac:dyDescent="0.25"/>
  </sheetData>
  <sheetProtection algorithmName="SHA-512" hashValue="5A2bKEhNGlodAmYdORLk6OMKLhZO1Mjh4G5P2A9wW0LA6M22KR0wG/x/oU/QBiJeyCDeaMhSET6eT2byHTmHiw==" saltValue="bF4PcAhbGNNhKMd0gntC5Q==" spinCount="100000" sheet="1" objects="1" scenarios="1"/>
  <conditionalFormatting sqref="A6:A16">
    <cfRule type="expression" dxfId="873" priority="23" stopIfTrue="1">
      <formula>MOD(ROW(),2)=0</formula>
    </cfRule>
    <cfRule type="expression" dxfId="872" priority="24" stopIfTrue="1">
      <formula>MOD(ROW(),2)&lt;&gt;0</formula>
    </cfRule>
  </conditionalFormatting>
  <conditionalFormatting sqref="B6:F21">
    <cfRule type="expression" dxfId="871" priority="25" stopIfTrue="1">
      <formula>MOD(ROW(),2)=0</formula>
    </cfRule>
    <cfRule type="expression" dxfId="870" priority="26" stopIfTrue="1">
      <formula>MOD(ROW(),2)&lt;&gt;0</formula>
    </cfRule>
  </conditionalFormatting>
  <conditionalFormatting sqref="C17:C21">
    <cfRule type="expression" dxfId="869" priority="17" stopIfTrue="1">
      <formula>MOD(ROW(),2)=0</formula>
    </cfRule>
    <cfRule type="expression" dxfId="868" priority="18" stopIfTrue="1">
      <formula>MOD(ROW(),2)&lt;&gt;0</formula>
    </cfRule>
  </conditionalFormatting>
  <conditionalFormatting sqref="A17:A20">
    <cfRule type="expression" dxfId="867" priority="13" stopIfTrue="1">
      <formula>MOD(ROW(),2)=0</formula>
    </cfRule>
    <cfRule type="expression" dxfId="866" priority="14" stopIfTrue="1">
      <formula>MOD(ROW(),2)&lt;&gt;0</formula>
    </cfRule>
  </conditionalFormatting>
  <conditionalFormatting sqref="B17:B18 B20:B21">
    <cfRule type="expression" dxfId="865" priority="15" stopIfTrue="1">
      <formula>MOD(ROW(),2)=0</formula>
    </cfRule>
    <cfRule type="expression" dxfId="864" priority="16" stopIfTrue="1">
      <formula>MOD(ROW(),2)&lt;&gt;0</formula>
    </cfRule>
  </conditionalFormatting>
  <conditionalFormatting sqref="A26:A38">
    <cfRule type="expression" dxfId="863" priority="7" stopIfTrue="1">
      <formula>MOD(ROW(),2)=0</formula>
    </cfRule>
    <cfRule type="expression" dxfId="862" priority="8" stopIfTrue="1">
      <formula>MOD(ROW(),2)&lt;&gt;0</formula>
    </cfRule>
  </conditionalFormatting>
  <conditionalFormatting sqref="B26:F38">
    <cfRule type="expression" dxfId="861" priority="9" stopIfTrue="1">
      <formula>MOD(ROW(),2)=0</formula>
    </cfRule>
    <cfRule type="expression" dxfId="860" priority="10" stopIfTrue="1">
      <formula>MOD(ROW(),2)&lt;&gt;0</formula>
    </cfRule>
  </conditionalFormatting>
  <conditionalFormatting sqref="B19">
    <cfRule type="expression" dxfId="859" priority="5" stopIfTrue="1">
      <formula>MOD(ROW(),2)=0</formula>
    </cfRule>
    <cfRule type="expression" dxfId="858" priority="6" stopIfTrue="1">
      <formula>MOD(ROW(),2)&lt;&gt;0</formula>
    </cfRule>
  </conditionalFormatting>
  <conditionalFormatting sqref="A21">
    <cfRule type="expression" dxfId="857" priority="1" stopIfTrue="1">
      <formula>MOD(ROW(),2)=0</formula>
    </cfRule>
    <cfRule type="expression" dxfId="856" priority="2" stopIfTrue="1">
      <formula>MOD(ROW(),2)&lt;&gt;0</formula>
    </cfRule>
  </conditionalFormatting>
  <hyperlinks>
    <hyperlink ref="B24" location="Assumptions!A1" display="Assumptions" xr:uid="{D5C32FE2-0FBF-478D-BAEB-E29C1E59E5AB}"/>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Sheet68"/>
  <dimension ref="A1:K46"/>
  <sheetViews>
    <sheetView showGridLines="0" zoomScale="85" zoomScaleNormal="85" workbookViewId="0">
      <selection activeCell="B18" sqref="B18"/>
    </sheetView>
  </sheetViews>
  <sheetFormatPr defaultColWidth="10" defaultRowHeight="12.5" x14ac:dyDescent="0.25"/>
  <cols>
    <col min="1" max="1" width="31.81640625" style="28" customWidth="1"/>
    <col min="2" max="11" width="22.81640625" style="28" customWidth="1"/>
    <col min="12" max="16384" width="10" style="28"/>
  </cols>
  <sheetData>
    <row r="1" spans="1:11" ht="20" x14ac:dyDescent="0.4">
      <c r="A1" s="40" t="s">
        <v>227</v>
      </c>
      <c r="B1" s="41"/>
      <c r="C1" s="41"/>
      <c r="D1" s="41"/>
      <c r="E1" s="41"/>
      <c r="F1" s="41"/>
      <c r="G1" s="41"/>
      <c r="H1" s="41"/>
      <c r="I1" s="41"/>
    </row>
    <row r="2" spans="1:11" ht="15.5" x14ac:dyDescent="0.35">
      <c r="A2" s="42" t="str">
        <f>IF(title="&gt; Enter workbook title here","Enter workbook title in Cover sheet",title)</f>
        <v>Fire Northern Ireland - Consolidated Factor Spreadsheet</v>
      </c>
      <c r="B2" s="43"/>
      <c r="C2" s="43"/>
      <c r="D2" s="43"/>
      <c r="E2" s="43"/>
      <c r="F2" s="43"/>
      <c r="G2" s="43"/>
      <c r="H2" s="43"/>
      <c r="I2" s="43"/>
    </row>
    <row r="3" spans="1:11" ht="15.5" x14ac:dyDescent="0.35">
      <c r="A3" s="44" t="str">
        <f>TABLE_FACTOR_TYPE_1&amp;" - x-"&amp;TABLE_SERIES_NUMBER_1</f>
        <v>Pension Debit - x-323</v>
      </c>
      <c r="B3" s="43"/>
      <c r="C3" s="43"/>
      <c r="D3" s="43"/>
      <c r="E3" s="43"/>
      <c r="F3" s="43"/>
      <c r="G3" s="43"/>
      <c r="H3" s="43"/>
      <c r="I3" s="43"/>
    </row>
    <row r="4" spans="1:11" x14ac:dyDescent="0.25">
      <c r="A4" s="45"/>
    </row>
    <row r="6" spans="1:11" ht="13" x14ac:dyDescent="0.3">
      <c r="A6" s="75" t="s">
        <v>562</v>
      </c>
      <c r="B6" s="159" t="s">
        <v>563</v>
      </c>
      <c r="C6" s="159"/>
      <c r="D6" s="159"/>
      <c r="E6" s="159"/>
      <c r="F6" s="159"/>
      <c r="G6" s="159"/>
      <c r="H6" s="159"/>
      <c r="I6" s="159"/>
      <c r="J6" s="159"/>
      <c r="K6" s="159"/>
    </row>
    <row r="7" spans="1:11" x14ac:dyDescent="0.25">
      <c r="A7" s="77" t="s">
        <v>305</v>
      </c>
      <c r="B7" s="159" t="s">
        <v>319</v>
      </c>
      <c r="C7" s="159"/>
      <c r="D7" s="159"/>
      <c r="E7" s="159"/>
      <c r="F7" s="159"/>
      <c r="G7" s="159"/>
      <c r="H7" s="159"/>
      <c r="I7" s="159"/>
      <c r="J7" s="159"/>
      <c r="K7" s="159"/>
    </row>
    <row r="8" spans="1:11" x14ac:dyDescent="0.25">
      <c r="A8" s="77" t="s">
        <v>306</v>
      </c>
      <c r="B8" s="159" t="s">
        <v>332</v>
      </c>
      <c r="C8" s="159"/>
      <c r="D8" s="159"/>
      <c r="E8" s="159"/>
      <c r="F8" s="159"/>
      <c r="G8" s="159"/>
      <c r="H8" s="159"/>
      <c r="I8" s="159"/>
      <c r="J8" s="159"/>
      <c r="K8" s="159"/>
    </row>
    <row r="9" spans="1:11" x14ac:dyDescent="0.25">
      <c r="A9" s="77" t="s">
        <v>307</v>
      </c>
      <c r="B9" s="159" t="s">
        <v>402</v>
      </c>
      <c r="C9" s="159"/>
      <c r="D9" s="159"/>
      <c r="E9" s="159"/>
      <c r="F9" s="159"/>
      <c r="G9" s="159"/>
      <c r="H9" s="159"/>
      <c r="I9" s="159"/>
      <c r="J9" s="159"/>
      <c r="K9" s="159"/>
    </row>
    <row r="10" spans="1:11" x14ac:dyDescent="0.25">
      <c r="A10" s="77" t="s">
        <v>233</v>
      </c>
      <c r="B10" s="159" t="s">
        <v>420</v>
      </c>
      <c r="C10" s="159"/>
      <c r="D10" s="159"/>
      <c r="E10" s="159"/>
      <c r="F10" s="159"/>
      <c r="G10" s="159"/>
      <c r="H10" s="159"/>
      <c r="I10" s="159"/>
      <c r="J10" s="159"/>
      <c r="K10" s="159"/>
    </row>
    <row r="11" spans="1:11" x14ac:dyDescent="0.25">
      <c r="A11" s="77" t="s">
        <v>308</v>
      </c>
      <c r="B11" s="159" t="s">
        <v>404</v>
      </c>
      <c r="C11" s="159"/>
      <c r="D11" s="159"/>
      <c r="E11" s="159"/>
      <c r="F11" s="159"/>
      <c r="G11" s="159"/>
      <c r="H11" s="159"/>
      <c r="I11" s="159"/>
      <c r="J11" s="159"/>
      <c r="K11" s="159"/>
    </row>
    <row r="12" spans="1:11" x14ac:dyDescent="0.25">
      <c r="A12" s="77" t="s">
        <v>309</v>
      </c>
      <c r="B12" s="159" t="s">
        <v>415</v>
      </c>
      <c r="C12" s="159"/>
      <c r="D12" s="159"/>
      <c r="E12" s="159"/>
      <c r="F12" s="159"/>
      <c r="G12" s="159"/>
      <c r="H12" s="159"/>
      <c r="I12" s="159"/>
      <c r="J12" s="159"/>
      <c r="K12" s="159"/>
    </row>
    <row r="13" spans="1:11" x14ac:dyDescent="0.25">
      <c r="A13" s="77" t="s">
        <v>570</v>
      </c>
      <c r="B13" s="159">
        <v>1</v>
      </c>
      <c r="C13" s="159"/>
      <c r="D13" s="159"/>
      <c r="E13" s="159"/>
      <c r="F13" s="159"/>
      <c r="G13" s="159"/>
      <c r="H13" s="159"/>
      <c r="I13" s="159"/>
      <c r="J13" s="159"/>
      <c r="K13" s="159"/>
    </row>
    <row r="14" spans="1:11" x14ac:dyDescent="0.25">
      <c r="A14" s="77" t="s">
        <v>311</v>
      </c>
      <c r="B14" s="159">
        <v>323</v>
      </c>
      <c r="C14" s="159"/>
      <c r="D14" s="159"/>
      <c r="E14" s="159"/>
      <c r="F14" s="159"/>
      <c r="G14" s="159"/>
      <c r="H14" s="159"/>
      <c r="I14" s="159"/>
      <c r="J14" s="159"/>
      <c r="K14" s="159"/>
    </row>
    <row r="15" spans="1:11" x14ac:dyDescent="0.25">
      <c r="A15" s="77" t="s">
        <v>573</v>
      </c>
      <c r="B15" s="159" t="s">
        <v>421</v>
      </c>
      <c r="C15" s="159"/>
      <c r="D15" s="159"/>
      <c r="E15" s="159"/>
      <c r="F15" s="159"/>
      <c r="G15" s="159"/>
      <c r="H15" s="159"/>
      <c r="I15" s="159"/>
      <c r="J15" s="159"/>
      <c r="K15" s="159"/>
    </row>
    <row r="16" spans="1:11" x14ac:dyDescent="0.25">
      <c r="A16" s="77" t="s">
        <v>313</v>
      </c>
      <c r="B16" s="159" t="s">
        <v>410</v>
      </c>
      <c r="C16" s="159"/>
      <c r="D16" s="159"/>
      <c r="E16" s="159"/>
      <c r="F16" s="159"/>
      <c r="G16" s="159"/>
      <c r="H16" s="159"/>
      <c r="I16" s="159"/>
      <c r="J16" s="159"/>
      <c r="K16" s="159"/>
    </row>
    <row r="17" spans="1:11" x14ac:dyDescent="0.25">
      <c r="A17" s="77" t="s">
        <v>642</v>
      </c>
      <c r="B17" s="159"/>
      <c r="C17" s="159"/>
      <c r="D17" s="159"/>
      <c r="E17" s="159"/>
      <c r="F17" s="159"/>
      <c r="G17" s="159"/>
      <c r="H17" s="159"/>
      <c r="I17" s="159"/>
      <c r="J17" s="159"/>
      <c r="K17" s="159"/>
    </row>
    <row r="18" spans="1:11" x14ac:dyDescent="0.25">
      <c r="A18" s="77" t="s">
        <v>315</v>
      </c>
      <c r="B18" s="161">
        <v>45070</v>
      </c>
      <c r="C18" s="159"/>
      <c r="D18" s="159"/>
      <c r="E18" s="159"/>
      <c r="F18" s="159"/>
      <c r="G18" s="159"/>
      <c r="H18" s="159"/>
      <c r="I18" s="159"/>
      <c r="J18" s="159"/>
      <c r="K18" s="159"/>
    </row>
    <row r="19" spans="1:11" x14ac:dyDescent="0.25">
      <c r="A19" s="77" t="s">
        <v>316</v>
      </c>
      <c r="B19" s="161">
        <v>45014</v>
      </c>
      <c r="C19" s="159"/>
      <c r="D19" s="159"/>
      <c r="E19" s="159"/>
      <c r="F19" s="159"/>
      <c r="G19" s="159"/>
      <c r="H19" s="159"/>
      <c r="I19" s="159"/>
      <c r="J19" s="159"/>
      <c r="K19" s="159"/>
    </row>
    <row r="20" spans="1:11" x14ac:dyDescent="0.25">
      <c r="A20" s="77" t="s">
        <v>317</v>
      </c>
      <c r="B20" s="159" t="s">
        <v>327</v>
      </c>
      <c r="C20" s="159"/>
      <c r="D20" s="159"/>
      <c r="E20" s="159"/>
      <c r="F20" s="159"/>
      <c r="G20" s="159"/>
      <c r="H20" s="159"/>
      <c r="I20" s="159"/>
      <c r="J20" s="159"/>
      <c r="K20" s="159"/>
    </row>
    <row r="21" spans="1:11" x14ac:dyDescent="0.25">
      <c r="A21" s="77" t="s">
        <v>318</v>
      </c>
      <c r="B21" s="159" t="s">
        <v>328</v>
      </c>
      <c r="C21" s="159"/>
      <c r="D21" s="159"/>
      <c r="E21" s="159"/>
      <c r="F21" s="159"/>
      <c r="G21" s="159"/>
      <c r="H21" s="159"/>
      <c r="I21" s="159"/>
      <c r="J21" s="159"/>
      <c r="K21" s="159"/>
    </row>
    <row r="23" spans="1:11" x14ac:dyDescent="0.25">
      <c r="B23" s="91" t="str">
        <f>HYPERLINK("#'Factor List'!A1","Back to Factor List")</f>
        <v>Back to Factor List</v>
      </c>
    </row>
    <row r="24" spans="1:11" x14ac:dyDescent="0.25">
      <c r="B24" s="91" t="s">
        <v>240</v>
      </c>
    </row>
    <row r="25" spans="1:11" x14ac:dyDescent="0.25">
      <c r="B25" s="91"/>
    </row>
    <row r="26" spans="1:11" ht="13" x14ac:dyDescent="0.25">
      <c r="A26" s="87" t="s">
        <v>667</v>
      </c>
      <c r="B26" s="87">
        <v>65</v>
      </c>
      <c r="C26" s="87">
        <v>66</v>
      </c>
      <c r="D26" s="87">
        <v>67</v>
      </c>
      <c r="E26" s="87">
        <v>68</v>
      </c>
      <c r="F26" s="87">
        <v>69</v>
      </c>
      <c r="G26" s="87">
        <v>70</v>
      </c>
      <c r="H26" s="87">
        <v>71</v>
      </c>
      <c r="I26" s="87">
        <v>72</v>
      </c>
      <c r="J26" s="87">
        <v>73</v>
      </c>
      <c r="K26" s="87">
        <v>74</v>
      </c>
    </row>
    <row r="27" spans="1:11" x14ac:dyDescent="0.25">
      <c r="A27" s="88">
        <v>0</v>
      </c>
      <c r="B27" s="90">
        <v>1</v>
      </c>
      <c r="C27" s="90">
        <v>1.0589999999999999</v>
      </c>
      <c r="D27" s="90">
        <v>1.125</v>
      </c>
      <c r="E27" s="90">
        <v>1.1970000000000001</v>
      </c>
      <c r="F27" s="90">
        <v>1.276</v>
      </c>
      <c r="G27" s="90">
        <v>1.363</v>
      </c>
      <c r="H27" s="90">
        <v>1.46</v>
      </c>
      <c r="I27" s="90">
        <v>1.5669999999999999</v>
      </c>
      <c r="J27" s="90">
        <v>1.6859999999999999</v>
      </c>
      <c r="K27" s="90">
        <v>1.819</v>
      </c>
    </row>
    <row r="28" spans="1:11" x14ac:dyDescent="0.25">
      <c r="A28" s="88">
        <v>1</v>
      </c>
      <c r="B28" s="90">
        <v>1.0049999999999999</v>
      </c>
      <c r="C28" s="90">
        <v>1.0649999999999999</v>
      </c>
      <c r="D28" s="90">
        <v>1.131</v>
      </c>
      <c r="E28" s="90">
        <v>1.2030000000000001</v>
      </c>
      <c r="F28" s="90">
        <v>1.2829999999999999</v>
      </c>
      <c r="G28" s="90">
        <v>1.371</v>
      </c>
      <c r="H28" s="90">
        <v>1.4690000000000001</v>
      </c>
      <c r="I28" s="90">
        <v>1.577</v>
      </c>
      <c r="J28" s="90">
        <v>1.6970000000000001</v>
      </c>
      <c r="K28" s="90">
        <v>1.831</v>
      </c>
    </row>
    <row r="29" spans="1:11" x14ac:dyDescent="0.25">
      <c r="A29" s="88">
        <v>2</v>
      </c>
      <c r="B29" s="90">
        <v>1.01</v>
      </c>
      <c r="C29" s="90">
        <v>1.07</v>
      </c>
      <c r="D29" s="90">
        <v>1.137</v>
      </c>
      <c r="E29" s="90">
        <v>1.21</v>
      </c>
      <c r="F29" s="90">
        <v>1.29</v>
      </c>
      <c r="G29" s="90">
        <v>1.379</v>
      </c>
      <c r="H29" s="90">
        <v>1.478</v>
      </c>
      <c r="I29" s="90">
        <v>1.587</v>
      </c>
      <c r="J29" s="90">
        <v>1.708</v>
      </c>
      <c r="K29" s="90">
        <v>1.8440000000000001</v>
      </c>
    </row>
    <row r="30" spans="1:11" x14ac:dyDescent="0.25">
      <c r="A30" s="88">
        <v>3</v>
      </c>
      <c r="B30" s="90">
        <v>1.0149999999999999</v>
      </c>
      <c r="C30" s="90">
        <v>1.0760000000000001</v>
      </c>
      <c r="D30" s="90">
        <v>1.143</v>
      </c>
      <c r="E30" s="90">
        <v>1.2170000000000001</v>
      </c>
      <c r="F30" s="90">
        <v>1.298</v>
      </c>
      <c r="G30" s="90">
        <v>1.387</v>
      </c>
      <c r="H30" s="90">
        <v>1.4870000000000001</v>
      </c>
      <c r="I30" s="90">
        <v>1.597</v>
      </c>
      <c r="J30" s="90">
        <v>1.7190000000000001</v>
      </c>
      <c r="K30" s="90">
        <v>1.8560000000000001</v>
      </c>
    </row>
    <row r="31" spans="1:11" x14ac:dyDescent="0.25">
      <c r="A31" s="88">
        <v>4</v>
      </c>
      <c r="B31" s="90">
        <v>1.02</v>
      </c>
      <c r="C31" s="90">
        <v>1.081</v>
      </c>
      <c r="D31" s="90">
        <v>1.149</v>
      </c>
      <c r="E31" s="90">
        <v>1.2230000000000001</v>
      </c>
      <c r="F31" s="90">
        <v>1.3049999999999999</v>
      </c>
      <c r="G31" s="90">
        <v>1.3959999999999999</v>
      </c>
      <c r="H31" s="90">
        <v>1.496</v>
      </c>
      <c r="I31" s="90">
        <v>1.607</v>
      </c>
      <c r="J31" s="90">
        <v>1.73</v>
      </c>
      <c r="K31" s="90">
        <v>1.869</v>
      </c>
    </row>
    <row r="32" spans="1:11" x14ac:dyDescent="0.25">
      <c r="A32" s="88">
        <v>5</v>
      </c>
      <c r="B32" s="90">
        <v>1.0249999999999999</v>
      </c>
      <c r="C32" s="90">
        <v>1.087</v>
      </c>
      <c r="D32" s="90">
        <v>1.155</v>
      </c>
      <c r="E32" s="90">
        <v>1.23</v>
      </c>
      <c r="F32" s="90">
        <v>1.3120000000000001</v>
      </c>
      <c r="G32" s="90">
        <v>1.4039999999999999</v>
      </c>
      <c r="H32" s="90">
        <v>1.5049999999999999</v>
      </c>
      <c r="I32" s="90">
        <v>1.617</v>
      </c>
      <c r="J32" s="90">
        <v>1.742</v>
      </c>
      <c r="K32" s="90">
        <v>1.881</v>
      </c>
    </row>
    <row r="33" spans="1:11" x14ac:dyDescent="0.25">
      <c r="A33" s="88">
        <v>6</v>
      </c>
      <c r="B33" s="90">
        <v>1.03</v>
      </c>
      <c r="C33" s="90">
        <v>1.0920000000000001</v>
      </c>
      <c r="D33" s="90">
        <v>1.161</v>
      </c>
      <c r="E33" s="90">
        <v>1.236</v>
      </c>
      <c r="F33" s="90">
        <v>1.32</v>
      </c>
      <c r="G33" s="90">
        <v>1.4119999999999999</v>
      </c>
      <c r="H33" s="90">
        <v>1.5129999999999999</v>
      </c>
      <c r="I33" s="90">
        <v>1.627</v>
      </c>
      <c r="J33" s="90">
        <v>1.7529999999999999</v>
      </c>
      <c r="K33" s="90">
        <v>1.893</v>
      </c>
    </row>
    <row r="34" spans="1:11" x14ac:dyDescent="0.25">
      <c r="A34" s="88">
        <v>7</v>
      </c>
      <c r="B34" s="90">
        <v>1.0349999999999999</v>
      </c>
      <c r="C34" s="90">
        <v>1.0980000000000001</v>
      </c>
      <c r="D34" s="90">
        <v>1.167</v>
      </c>
      <c r="E34" s="90">
        <v>1.2430000000000001</v>
      </c>
      <c r="F34" s="90">
        <v>1.327</v>
      </c>
      <c r="G34" s="90">
        <v>1.42</v>
      </c>
      <c r="H34" s="90">
        <v>1.522</v>
      </c>
      <c r="I34" s="90">
        <v>1.637</v>
      </c>
      <c r="J34" s="90">
        <v>1.764</v>
      </c>
      <c r="K34" s="90">
        <v>1.9059999999999999</v>
      </c>
    </row>
    <row r="35" spans="1:11" x14ac:dyDescent="0.25">
      <c r="A35" s="88">
        <v>8</v>
      </c>
      <c r="B35" s="90">
        <v>1.04</v>
      </c>
      <c r="C35" s="90">
        <v>1.103</v>
      </c>
      <c r="D35" s="90">
        <v>1.173</v>
      </c>
      <c r="E35" s="90">
        <v>1.25</v>
      </c>
      <c r="F35" s="90">
        <v>1.3340000000000001</v>
      </c>
      <c r="G35" s="90">
        <v>1.4279999999999999</v>
      </c>
      <c r="H35" s="90">
        <v>1.5309999999999999</v>
      </c>
      <c r="I35" s="90">
        <v>1.6459999999999999</v>
      </c>
      <c r="J35" s="90">
        <v>1.7749999999999999</v>
      </c>
      <c r="K35" s="90">
        <v>1.9179999999999999</v>
      </c>
    </row>
    <row r="36" spans="1:11" x14ac:dyDescent="0.25">
      <c r="A36" s="88">
        <v>9</v>
      </c>
      <c r="B36" s="90">
        <v>1.0449999999999999</v>
      </c>
      <c r="C36" s="90">
        <v>1.1080000000000001</v>
      </c>
      <c r="D36" s="90">
        <v>1.179</v>
      </c>
      <c r="E36" s="90">
        <v>1.256</v>
      </c>
      <c r="F36" s="90">
        <v>1.341</v>
      </c>
      <c r="G36" s="90">
        <v>1.4359999999999999</v>
      </c>
      <c r="H36" s="90">
        <v>1.54</v>
      </c>
      <c r="I36" s="90">
        <v>1.6559999999999999</v>
      </c>
      <c r="J36" s="90">
        <v>1.786</v>
      </c>
      <c r="K36" s="90">
        <v>1.931</v>
      </c>
    </row>
    <row r="37" spans="1:11" x14ac:dyDescent="0.25">
      <c r="A37" s="88">
        <v>10</v>
      </c>
      <c r="B37" s="90">
        <v>1.05</v>
      </c>
      <c r="C37" s="90">
        <v>1.1140000000000001</v>
      </c>
      <c r="D37" s="90">
        <v>1.1850000000000001</v>
      </c>
      <c r="E37" s="90">
        <v>1.2629999999999999</v>
      </c>
      <c r="F37" s="90">
        <v>1.349</v>
      </c>
      <c r="G37" s="90">
        <v>1.444</v>
      </c>
      <c r="H37" s="90">
        <v>1.5489999999999999</v>
      </c>
      <c r="I37" s="90">
        <v>1.6659999999999999</v>
      </c>
      <c r="J37" s="90">
        <v>1.7969999999999999</v>
      </c>
      <c r="K37" s="90">
        <v>1.9430000000000001</v>
      </c>
    </row>
    <row r="38" spans="1:11" x14ac:dyDescent="0.25">
      <c r="A38" s="88">
        <v>11</v>
      </c>
      <c r="B38" s="90">
        <v>1.0549999999999999</v>
      </c>
      <c r="C38" s="90">
        <v>1.119</v>
      </c>
      <c r="D38" s="90">
        <v>1.1910000000000001</v>
      </c>
      <c r="E38" s="90">
        <v>1.2689999999999999</v>
      </c>
      <c r="F38" s="90">
        <v>1.3560000000000001</v>
      </c>
      <c r="G38" s="90">
        <v>1.452</v>
      </c>
      <c r="H38" s="90">
        <v>1.5580000000000001</v>
      </c>
      <c r="I38" s="90">
        <v>1.6759999999999999</v>
      </c>
      <c r="J38" s="90">
        <v>1.8080000000000001</v>
      </c>
      <c r="K38" s="90">
        <v>1.9550000000000001</v>
      </c>
    </row>
    <row r="44" spans="1:11" ht="39.65" customHeight="1" x14ac:dyDescent="0.25"/>
    <row r="46" spans="1:11" ht="27.65" customHeight="1" x14ac:dyDescent="0.25"/>
  </sheetData>
  <sheetProtection algorithmName="SHA-512" hashValue="p/yePzsBzWQBpQhOxXl9bgTYftph0KMIzuRtiRYiw3lWEEJnFtcJ8Op/KaqCfmhlCZCgIPltaxHozy2EjGuXyA==" saltValue="YuTnU6GstmxyiwrU3QbGiQ==" spinCount="100000" sheet="1" objects="1" scenarios="1"/>
  <conditionalFormatting sqref="A6:A16">
    <cfRule type="expression" dxfId="855" priority="23" stopIfTrue="1">
      <formula>MOD(ROW(),2)=0</formula>
    </cfRule>
    <cfRule type="expression" dxfId="854" priority="24" stopIfTrue="1">
      <formula>MOD(ROW(),2)&lt;&gt;0</formula>
    </cfRule>
  </conditionalFormatting>
  <conditionalFormatting sqref="B6:K21">
    <cfRule type="expression" dxfId="853" priority="25" stopIfTrue="1">
      <formula>MOD(ROW(),2)=0</formula>
    </cfRule>
    <cfRule type="expression" dxfId="852" priority="26" stopIfTrue="1">
      <formula>MOD(ROW(),2)&lt;&gt;0</formula>
    </cfRule>
  </conditionalFormatting>
  <conditionalFormatting sqref="C17:C21">
    <cfRule type="expression" dxfId="851" priority="17" stopIfTrue="1">
      <formula>MOD(ROW(),2)=0</formula>
    </cfRule>
    <cfRule type="expression" dxfId="850" priority="18" stopIfTrue="1">
      <formula>MOD(ROW(),2)&lt;&gt;0</formula>
    </cfRule>
  </conditionalFormatting>
  <conditionalFormatting sqref="A17:A20">
    <cfRule type="expression" dxfId="849" priority="13" stopIfTrue="1">
      <formula>MOD(ROW(),2)=0</formula>
    </cfRule>
    <cfRule type="expression" dxfId="848" priority="14" stopIfTrue="1">
      <formula>MOD(ROW(),2)&lt;&gt;0</formula>
    </cfRule>
  </conditionalFormatting>
  <conditionalFormatting sqref="B17:B18 B20:B21">
    <cfRule type="expression" dxfId="847" priority="15" stopIfTrue="1">
      <formula>MOD(ROW(),2)=0</formula>
    </cfRule>
    <cfRule type="expression" dxfId="846" priority="16" stopIfTrue="1">
      <formula>MOD(ROW(),2)&lt;&gt;0</formula>
    </cfRule>
  </conditionalFormatting>
  <conditionalFormatting sqref="A26:A38">
    <cfRule type="expression" dxfId="845" priority="7" stopIfTrue="1">
      <formula>MOD(ROW(),2)=0</formula>
    </cfRule>
    <cfRule type="expression" dxfId="844" priority="8" stopIfTrue="1">
      <formula>MOD(ROW(),2)&lt;&gt;0</formula>
    </cfRule>
  </conditionalFormatting>
  <conditionalFormatting sqref="B26:K38">
    <cfRule type="expression" dxfId="843" priority="9" stopIfTrue="1">
      <formula>MOD(ROW(),2)=0</formula>
    </cfRule>
    <cfRule type="expression" dxfId="842" priority="10" stopIfTrue="1">
      <formula>MOD(ROW(),2)&lt;&gt;0</formula>
    </cfRule>
  </conditionalFormatting>
  <conditionalFormatting sqref="B19">
    <cfRule type="expression" dxfId="841" priority="5" stopIfTrue="1">
      <formula>MOD(ROW(),2)=0</formula>
    </cfRule>
    <cfRule type="expression" dxfId="840" priority="6" stopIfTrue="1">
      <formula>MOD(ROW(),2)&lt;&gt;0</formula>
    </cfRule>
  </conditionalFormatting>
  <conditionalFormatting sqref="A21">
    <cfRule type="expression" dxfId="839" priority="1" stopIfTrue="1">
      <formula>MOD(ROW(),2)=0</formula>
    </cfRule>
    <cfRule type="expression" dxfId="838" priority="2" stopIfTrue="1">
      <formula>MOD(ROW(),2)&lt;&gt;0</formula>
    </cfRule>
  </conditionalFormatting>
  <hyperlinks>
    <hyperlink ref="B24" location="Assumptions!A1" display="Assumptions" xr:uid="{E70E2D88-8CDA-49B2-B3EE-806728A401FD}"/>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Sheet69"/>
  <dimension ref="A1:K46"/>
  <sheetViews>
    <sheetView showGridLines="0" zoomScale="85" zoomScaleNormal="85" workbookViewId="0">
      <selection activeCell="B18" sqref="B18"/>
    </sheetView>
  </sheetViews>
  <sheetFormatPr defaultColWidth="10" defaultRowHeight="12.5" x14ac:dyDescent="0.25"/>
  <cols>
    <col min="1" max="1" width="31.81640625" style="28" customWidth="1"/>
    <col min="2" max="11" width="22.81640625" style="28" customWidth="1"/>
    <col min="12" max="16384" width="10" style="28"/>
  </cols>
  <sheetData>
    <row r="1" spans="1:11" ht="20" x14ac:dyDescent="0.4">
      <c r="A1" s="40" t="s">
        <v>227</v>
      </c>
      <c r="B1" s="41"/>
      <c r="C1" s="41"/>
      <c r="D1" s="41"/>
      <c r="E1" s="41"/>
      <c r="F1" s="41"/>
      <c r="G1" s="41"/>
      <c r="H1" s="41"/>
      <c r="I1" s="41"/>
    </row>
    <row r="2" spans="1:11" ht="15.5" x14ac:dyDescent="0.35">
      <c r="A2" s="42" t="str">
        <f>IF(title="&gt; Enter workbook title here","Enter workbook title in Cover sheet",title)</f>
        <v>Fire Northern Ireland - Consolidated Factor Spreadsheet</v>
      </c>
      <c r="B2" s="43"/>
      <c r="C2" s="43"/>
      <c r="D2" s="43"/>
      <c r="E2" s="43"/>
      <c r="F2" s="43"/>
      <c r="G2" s="43"/>
      <c r="H2" s="43"/>
      <c r="I2" s="43"/>
    </row>
    <row r="3" spans="1:11" ht="15.5" x14ac:dyDescent="0.35">
      <c r="A3" s="44" t="str">
        <f>TABLE_FACTOR_TYPE_1&amp;" - x-"&amp;TABLE_SERIES_NUMBER_1</f>
        <v>Pension Debit - x-324</v>
      </c>
      <c r="B3" s="43"/>
      <c r="C3" s="43"/>
      <c r="D3" s="43"/>
      <c r="E3" s="43"/>
      <c r="F3" s="43"/>
      <c r="G3" s="43"/>
      <c r="H3" s="43"/>
      <c r="I3" s="43"/>
    </row>
    <row r="4" spans="1:11" x14ac:dyDescent="0.25">
      <c r="A4" s="45"/>
    </row>
    <row r="6" spans="1:11" ht="13" x14ac:dyDescent="0.3">
      <c r="A6" s="75" t="s">
        <v>562</v>
      </c>
      <c r="B6" s="159" t="s">
        <v>563</v>
      </c>
      <c r="C6" s="159"/>
      <c r="D6" s="159"/>
      <c r="E6" s="159"/>
      <c r="F6" s="159"/>
      <c r="G6" s="159"/>
      <c r="H6" s="159"/>
      <c r="I6" s="159"/>
      <c r="J6" s="159"/>
      <c r="K6" s="159"/>
    </row>
    <row r="7" spans="1:11" x14ac:dyDescent="0.25">
      <c r="A7" s="77" t="s">
        <v>305</v>
      </c>
      <c r="B7" s="159" t="s">
        <v>319</v>
      </c>
      <c r="C7" s="159"/>
      <c r="D7" s="159"/>
      <c r="E7" s="159"/>
      <c r="F7" s="159"/>
      <c r="G7" s="159"/>
      <c r="H7" s="159"/>
      <c r="I7" s="159"/>
      <c r="J7" s="159"/>
      <c r="K7" s="159"/>
    </row>
    <row r="8" spans="1:11" x14ac:dyDescent="0.25">
      <c r="A8" s="77" t="s">
        <v>306</v>
      </c>
      <c r="B8" s="159" t="s">
        <v>332</v>
      </c>
      <c r="C8" s="159"/>
      <c r="D8" s="159"/>
      <c r="E8" s="159"/>
      <c r="F8" s="159"/>
      <c r="G8" s="159"/>
      <c r="H8" s="159"/>
      <c r="I8" s="159"/>
      <c r="J8" s="159"/>
      <c r="K8" s="159"/>
    </row>
    <row r="9" spans="1:11" x14ac:dyDescent="0.25">
      <c r="A9" s="77" t="s">
        <v>307</v>
      </c>
      <c r="B9" s="159" t="s">
        <v>402</v>
      </c>
      <c r="C9" s="159"/>
      <c r="D9" s="159"/>
      <c r="E9" s="159"/>
      <c r="F9" s="159"/>
      <c r="G9" s="159"/>
      <c r="H9" s="159"/>
      <c r="I9" s="159"/>
      <c r="J9" s="159"/>
      <c r="K9" s="159"/>
    </row>
    <row r="10" spans="1:11" x14ac:dyDescent="0.25">
      <c r="A10" s="77" t="s">
        <v>233</v>
      </c>
      <c r="B10" s="159" t="s">
        <v>422</v>
      </c>
      <c r="C10" s="159"/>
      <c r="D10" s="159"/>
      <c r="E10" s="159"/>
      <c r="F10" s="159"/>
      <c r="G10" s="159"/>
      <c r="H10" s="159"/>
      <c r="I10" s="159"/>
      <c r="J10" s="159"/>
      <c r="K10" s="159"/>
    </row>
    <row r="11" spans="1:11" x14ac:dyDescent="0.25">
      <c r="A11" s="77" t="s">
        <v>308</v>
      </c>
      <c r="B11" s="159" t="s">
        <v>404</v>
      </c>
      <c r="C11" s="159"/>
      <c r="D11" s="159"/>
      <c r="E11" s="159"/>
      <c r="F11" s="159"/>
      <c r="G11" s="159"/>
      <c r="H11" s="159"/>
      <c r="I11" s="159"/>
      <c r="J11" s="159"/>
      <c r="K11" s="159"/>
    </row>
    <row r="12" spans="1:11" x14ac:dyDescent="0.25">
      <c r="A12" s="77" t="s">
        <v>309</v>
      </c>
      <c r="B12" s="159" t="s">
        <v>415</v>
      </c>
      <c r="C12" s="159"/>
      <c r="D12" s="159"/>
      <c r="E12" s="159"/>
      <c r="F12" s="159"/>
      <c r="G12" s="159"/>
      <c r="H12" s="159"/>
      <c r="I12" s="159"/>
      <c r="J12" s="159"/>
      <c r="K12" s="159"/>
    </row>
    <row r="13" spans="1:11" x14ac:dyDescent="0.25">
      <c r="A13" s="77" t="s">
        <v>570</v>
      </c>
      <c r="B13" s="159">
        <v>1</v>
      </c>
      <c r="C13" s="159"/>
      <c r="D13" s="159"/>
      <c r="E13" s="159"/>
      <c r="F13" s="159"/>
      <c r="G13" s="159"/>
      <c r="H13" s="159"/>
      <c r="I13" s="159"/>
      <c r="J13" s="159"/>
      <c r="K13" s="159"/>
    </row>
    <row r="14" spans="1:11" x14ac:dyDescent="0.25">
      <c r="A14" s="77" t="s">
        <v>311</v>
      </c>
      <c r="B14" s="159">
        <v>324</v>
      </c>
      <c r="C14" s="159"/>
      <c r="D14" s="159"/>
      <c r="E14" s="159"/>
      <c r="F14" s="159"/>
      <c r="G14" s="159"/>
      <c r="H14" s="159"/>
      <c r="I14" s="159"/>
      <c r="J14" s="159"/>
      <c r="K14" s="159"/>
    </row>
    <row r="15" spans="1:11" x14ac:dyDescent="0.25">
      <c r="A15" s="77" t="s">
        <v>573</v>
      </c>
      <c r="B15" s="159" t="s">
        <v>423</v>
      </c>
      <c r="C15" s="159"/>
      <c r="D15" s="159"/>
      <c r="E15" s="159"/>
      <c r="F15" s="159"/>
      <c r="G15" s="159"/>
      <c r="H15" s="159"/>
      <c r="I15" s="159"/>
      <c r="J15" s="159"/>
      <c r="K15" s="159"/>
    </row>
    <row r="16" spans="1:11" x14ac:dyDescent="0.25">
      <c r="A16" s="77" t="s">
        <v>313</v>
      </c>
      <c r="B16" s="159" t="s">
        <v>424</v>
      </c>
      <c r="C16" s="159"/>
      <c r="D16" s="159"/>
      <c r="E16" s="159"/>
      <c r="F16" s="159"/>
      <c r="G16" s="159"/>
      <c r="H16" s="159"/>
      <c r="I16" s="159"/>
      <c r="J16" s="159"/>
      <c r="K16" s="159"/>
    </row>
    <row r="17" spans="1:11" x14ac:dyDescent="0.25">
      <c r="A17" s="77" t="s">
        <v>642</v>
      </c>
      <c r="B17" s="159"/>
      <c r="C17" s="159"/>
      <c r="D17" s="159"/>
      <c r="E17" s="159"/>
      <c r="F17" s="159"/>
      <c r="G17" s="159"/>
      <c r="H17" s="159"/>
      <c r="I17" s="159"/>
      <c r="J17" s="159"/>
      <c r="K17" s="159"/>
    </row>
    <row r="18" spans="1:11" x14ac:dyDescent="0.25">
      <c r="A18" s="77" t="s">
        <v>315</v>
      </c>
      <c r="B18" s="161">
        <v>45070</v>
      </c>
      <c r="C18" s="159"/>
      <c r="D18" s="159"/>
      <c r="E18" s="159"/>
      <c r="F18" s="159"/>
      <c r="G18" s="159"/>
      <c r="H18" s="159"/>
      <c r="I18" s="159"/>
      <c r="J18" s="159"/>
      <c r="K18" s="159"/>
    </row>
    <row r="19" spans="1:11" x14ac:dyDescent="0.25">
      <c r="A19" s="77" t="s">
        <v>316</v>
      </c>
      <c r="B19" s="161">
        <v>45014</v>
      </c>
      <c r="C19" s="159"/>
      <c r="D19" s="159"/>
      <c r="E19" s="159"/>
      <c r="F19" s="159"/>
      <c r="G19" s="159"/>
      <c r="H19" s="159"/>
      <c r="I19" s="159"/>
      <c r="J19" s="159"/>
      <c r="K19" s="159"/>
    </row>
    <row r="20" spans="1:11" x14ac:dyDescent="0.25">
      <c r="A20" s="77" t="s">
        <v>317</v>
      </c>
      <c r="B20" s="159" t="s">
        <v>327</v>
      </c>
      <c r="C20" s="159"/>
      <c r="D20" s="159"/>
      <c r="E20" s="159"/>
      <c r="F20" s="159"/>
      <c r="G20" s="159"/>
      <c r="H20" s="159"/>
      <c r="I20" s="159"/>
      <c r="J20" s="159"/>
      <c r="K20" s="159"/>
    </row>
    <row r="21" spans="1:11" x14ac:dyDescent="0.25">
      <c r="A21" s="77" t="s">
        <v>318</v>
      </c>
      <c r="B21" s="159" t="s">
        <v>328</v>
      </c>
      <c r="C21" s="159"/>
      <c r="D21" s="159"/>
      <c r="E21" s="159"/>
      <c r="F21" s="159"/>
      <c r="G21" s="159"/>
      <c r="H21" s="159"/>
      <c r="I21" s="159"/>
      <c r="J21" s="159"/>
      <c r="K21" s="159"/>
    </row>
    <row r="23" spans="1:11" x14ac:dyDescent="0.25">
      <c r="B23" s="91" t="str">
        <f>HYPERLINK("#'Factor List'!A1","Back to Factor List")</f>
        <v>Back to Factor List</v>
      </c>
    </row>
    <row r="24" spans="1:11" x14ac:dyDescent="0.25">
      <c r="B24" s="91" t="s">
        <v>240</v>
      </c>
    </row>
    <row r="25" spans="1:11" x14ac:dyDescent="0.25">
      <c r="B25" s="91"/>
    </row>
    <row r="26" spans="1:11" ht="13" x14ac:dyDescent="0.25">
      <c r="A26" s="87" t="s">
        <v>667</v>
      </c>
      <c r="B26" s="87">
        <v>60</v>
      </c>
      <c r="C26" s="87">
        <v>61</v>
      </c>
      <c r="D26" s="87">
        <v>62</v>
      </c>
      <c r="E26" s="87">
        <v>63</v>
      </c>
      <c r="F26" s="87">
        <v>64</v>
      </c>
      <c r="G26" s="87">
        <v>65</v>
      </c>
      <c r="H26" s="87">
        <v>66</v>
      </c>
      <c r="I26" s="87">
        <v>67</v>
      </c>
      <c r="J26" s="87">
        <v>68</v>
      </c>
      <c r="K26" s="87">
        <v>69</v>
      </c>
    </row>
    <row r="27" spans="1:11" x14ac:dyDescent="0.25">
      <c r="A27" s="88">
        <v>0</v>
      </c>
      <c r="B27" s="90">
        <v>1</v>
      </c>
      <c r="C27" s="90">
        <v>1.05</v>
      </c>
      <c r="D27" s="90">
        <v>1.105</v>
      </c>
      <c r="E27" s="90">
        <v>1.1639999999999999</v>
      </c>
      <c r="F27" s="90">
        <v>1.228</v>
      </c>
      <c r="G27" s="90">
        <v>1.298</v>
      </c>
      <c r="H27" s="90">
        <v>1.3740000000000001</v>
      </c>
      <c r="I27" s="90">
        <v>1.4570000000000001</v>
      </c>
      <c r="J27" s="90">
        <v>1.548</v>
      </c>
      <c r="K27" s="90">
        <v>1.6479999999999999</v>
      </c>
    </row>
    <row r="28" spans="1:11" x14ac:dyDescent="0.25">
      <c r="A28" s="88">
        <v>1</v>
      </c>
      <c r="B28" s="90">
        <v>1.004</v>
      </c>
      <c r="C28" s="90">
        <v>1.0549999999999999</v>
      </c>
      <c r="D28" s="90">
        <v>1.1100000000000001</v>
      </c>
      <c r="E28" s="90">
        <v>1.169</v>
      </c>
      <c r="F28" s="90">
        <v>1.234</v>
      </c>
      <c r="G28" s="90">
        <v>1.304</v>
      </c>
      <c r="H28" s="90">
        <v>1.381</v>
      </c>
      <c r="I28" s="90">
        <v>1.4650000000000001</v>
      </c>
      <c r="J28" s="90">
        <v>1.5569999999999999</v>
      </c>
      <c r="K28" s="90">
        <v>1.6579999999999999</v>
      </c>
    </row>
    <row r="29" spans="1:11" x14ac:dyDescent="0.25">
      <c r="A29" s="88">
        <v>2</v>
      </c>
      <c r="B29" s="90">
        <v>1.008</v>
      </c>
      <c r="C29" s="90">
        <v>1.0589999999999999</v>
      </c>
      <c r="D29" s="90">
        <v>1.115</v>
      </c>
      <c r="E29" s="90">
        <v>1.175</v>
      </c>
      <c r="F29" s="90">
        <v>1.24</v>
      </c>
      <c r="G29" s="90">
        <v>1.3109999999999999</v>
      </c>
      <c r="H29" s="90">
        <v>1.3879999999999999</v>
      </c>
      <c r="I29" s="90">
        <v>1.472</v>
      </c>
      <c r="J29" s="90">
        <v>1.5649999999999999</v>
      </c>
      <c r="K29" s="90">
        <v>1.667</v>
      </c>
    </row>
    <row r="30" spans="1:11" x14ac:dyDescent="0.25">
      <c r="A30" s="88">
        <v>3</v>
      </c>
      <c r="B30" s="90">
        <v>1.0129999999999999</v>
      </c>
      <c r="C30" s="90">
        <v>1.0640000000000001</v>
      </c>
      <c r="D30" s="90">
        <v>1.1200000000000001</v>
      </c>
      <c r="E30" s="90">
        <v>1.18</v>
      </c>
      <c r="F30" s="90">
        <v>1.2450000000000001</v>
      </c>
      <c r="G30" s="90">
        <v>1.3169999999999999</v>
      </c>
      <c r="H30" s="90">
        <v>1.395</v>
      </c>
      <c r="I30" s="90">
        <v>1.48</v>
      </c>
      <c r="J30" s="90">
        <v>1.573</v>
      </c>
      <c r="K30" s="90">
        <v>1.6759999999999999</v>
      </c>
    </row>
    <row r="31" spans="1:11" x14ac:dyDescent="0.25">
      <c r="A31" s="88">
        <v>4</v>
      </c>
      <c r="B31" s="90">
        <v>1.0169999999999999</v>
      </c>
      <c r="C31" s="90">
        <v>1.0680000000000001</v>
      </c>
      <c r="D31" s="90">
        <v>1.1240000000000001</v>
      </c>
      <c r="E31" s="90">
        <v>1.1850000000000001</v>
      </c>
      <c r="F31" s="90">
        <v>1.2509999999999999</v>
      </c>
      <c r="G31" s="90">
        <v>1.323</v>
      </c>
      <c r="H31" s="90">
        <v>1.4019999999999999</v>
      </c>
      <c r="I31" s="90">
        <v>1.4870000000000001</v>
      </c>
      <c r="J31" s="90">
        <v>1.5820000000000001</v>
      </c>
      <c r="K31" s="90">
        <v>1.6850000000000001</v>
      </c>
    </row>
    <row r="32" spans="1:11" x14ac:dyDescent="0.25">
      <c r="A32" s="88">
        <v>5</v>
      </c>
      <c r="B32" s="90">
        <v>1.0209999999999999</v>
      </c>
      <c r="C32" s="90">
        <v>1.073</v>
      </c>
      <c r="D32" s="90">
        <v>1.129</v>
      </c>
      <c r="E32" s="90">
        <v>1.1910000000000001</v>
      </c>
      <c r="F32" s="90">
        <v>1.2569999999999999</v>
      </c>
      <c r="G32" s="90">
        <v>1.33</v>
      </c>
      <c r="H32" s="90">
        <v>1.409</v>
      </c>
      <c r="I32" s="90">
        <v>1.4950000000000001</v>
      </c>
      <c r="J32" s="90">
        <v>1.59</v>
      </c>
      <c r="K32" s="90">
        <v>1.694</v>
      </c>
    </row>
    <row r="33" spans="1:11" x14ac:dyDescent="0.25">
      <c r="A33" s="88">
        <v>6</v>
      </c>
      <c r="B33" s="90">
        <v>1.0249999999999999</v>
      </c>
      <c r="C33" s="90">
        <v>1.0780000000000001</v>
      </c>
      <c r="D33" s="90">
        <v>1.1339999999999999</v>
      </c>
      <c r="E33" s="90">
        <v>1.196</v>
      </c>
      <c r="F33" s="90">
        <v>1.2629999999999999</v>
      </c>
      <c r="G33" s="90">
        <v>1.3360000000000001</v>
      </c>
      <c r="H33" s="90">
        <v>1.4159999999999999</v>
      </c>
      <c r="I33" s="90">
        <v>1.5029999999999999</v>
      </c>
      <c r="J33" s="90">
        <v>1.5980000000000001</v>
      </c>
      <c r="K33" s="90">
        <v>1.7030000000000001</v>
      </c>
    </row>
    <row r="34" spans="1:11" x14ac:dyDescent="0.25">
      <c r="A34" s="88">
        <v>7</v>
      </c>
      <c r="B34" s="90">
        <v>1.0289999999999999</v>
      </c>
      <c r="C34" s="90">
        <v>1.0820000000000001</v>
      </c>
      <c r="D34" s="90">
        <v>1.139</v>
      </c>
      <c r="E34" s="90">
        <v>1.2010000000000001</v>
      </c>
      <c r="F34" s="90">
        <v>1.2689999999999999</v>
      </c>
      <c r="G34" s="90">
        <v>1.3420000000000001</v>
      </c>
      <c r="H34" s="90">
        <v>1.4219999999999999</v>
      </c>
      <c r="I34" s="90">
        <v>1.51</v>
      </c>
      <c r="J34" s="90">
        <v>1.607</v>
      </c>
      <c r="K34" s="90">
        <v>1.7130000000000001</v>
      </c>
    </row>
    <row r="35" spans="1:11" x14ac:dyDescent="0.25">
      <c r="A35" s="88">
        <v>8</v>
      </c>
      <c r="B35" s="90">
        <v>1.034</v>
      </c>
      <c r="C35" s="90">
        <v>1.087</v>
      </c>
      <c r="D35" s="90">
        <v>1.1439999999999999</v>
      </c>
      <c r="E35" s="90">
        <v>1.2070000000000001</v>
      </c>
      <c r="F35" s="90">
        <v>1.2749999999999999</v>
      </c>
      <c r="G35" s="90">
        <v>1.349</v>
      </c>
      <c r="H35" s="90">
        <v>1.429</v>
      </c>
      <c r="I35" s="90">
        <v>1.518</v>
      </c>
      <c r="J35" s="90">
        <v>1.615</v>
      </c>
      <c r="K35" s="90">
        <v>1.722</v>
      </c>
    </row>
    <row r="36" spans="1:11" x14ac:dyDescent="0.25">
      <c r="A36" s="88">
        <v>9</v>
      </c>
      <c r="B36" s="90">
        <v>1.038</v>
      </c>
      <c r="C36" s="90">
        <v>1.091</v>
      </c>
      <c r="D36" s="90">
        <v>1.149</v>
      </c>
      <c r="E36" s="90">
        <v>1.212</v>
      </c>
      <c r="F36" s="90">
        <v>1.28</v>
      </c>
      <c r="G36" s="90">
        <v>1.355</v>
      </c>
      <c r="H36" s="90">
        <v>1.4359999999999999</v>
      </c>
      <c r="I36" s="90">
        <v>1.5249999999999999</v>
      </c>
      <c r="J36" s="90">
        <v>1.623</v>
      </c>
      <c r="K36" s="90">
        <v>1.7310000000000001</v>
      </c>
    </row>
    <row r="37" spans="1:11" x14ac:dyDescent="0.25">
      <c r="A37" s="88">
        <v>10</v>
      </c>
      <c r="B37" s="90">
        <v>1.042</v>
      </c>
      <c r="C37" s="90">
        <v>1.0960000000000001</v>
      </c>
      <c r="D37" s="90">
        <v>1.1539999999999999</v>
      </c>
      <c r="E37" s="90">
        <v>1.2170000000000001</v>
      </c>
      <c r="F37" s="90">
        <v>1.286</v>
      </c>
      <c r="G37" s="90">
        <v>1.361</v>
      </c>
      <c r="H37" s="90">
        <v>1.4430000000000001</v>
      </c>
      <c r="I37" s="90">
        <v>1.5329999999999999</v>
      </c>
      <c r="J37" s="90">
        <v>1.6319999999999999</v>
      </c>
      <c r="K37" s="90">
        <v>1.74</v>
      </c>
    </row>
    <row r="38" spans="1:11" x14ac:dyDescent="0.25">
      <c r="A38" s="88">
        <v>11</v>
      </c>
      <c r="B38" s="90">
        <v>1.046</v>
      </c>
      <c r="C38" s="90">
        <v>1.1000000000000001</v>
      </c>
      <c r="D38" s="90">
        <v>1.159</v>
      </c>
      <c r="E38" s="90">
        <v>1.2230000000000001</v>
      </c>
      <c r="F38" s="90">
        <v>1.292</v>
      </c>
      <c r="G38" s="90">
        <v>1.3680000000000001</v>
      </c>
      <c r="H38" s="90">
        <v>1.45</v>
      </c>
      <c r="I38" s="90">
        <v>1.5409999999999999</v>
      </c>
      <c r="J38" s="90">
        <v>1.64</v>
      </c>
      <c r="K38" s="90">
        <v>1.7490000000000001</v>
      </c>
    </row>
    <row r="44" spans="1:11" ht="39.65" customHeight="1" x14ac:dyDescent="0.25"/>
    <row r="46" spans="1:11" ht="27.65" customHeight="1" x14ac:dyDescent="0.25"/>
  </sheetData>
  <sheetProtection algorithmName="SHA-512" hashValue="hbcZuXKWR5QfWD3h7Y+06Co9Vnc6Rj6lENPZ2kK8/Wohvj3Vwu1oH/Au30UcULpxqYf1hxQzJeYNM4xuqInnlQ==" saltValue="gLnm2iSFQ21Wg/Ow5iYq2g==" spinCount="100000" sheet="1" objects="1" scenarios="1"/>
  <conditionalFormatting sqref="A6:A16">
    <cfRule type="expression" dxfId="837" priority="23" stopIfTrue="1">
      <formula>MOD(ROW(),2)=0</formula>
    </cfRule>
    <cfRule type="expression" dxfId="836" priority="24" stopIfTrue="1">
      <formula>MOD(ROW(),2)&lt;&gt;0</formula>
    </cfRule>
  </conditionalFormatting>
  <conditionalFormatting sqref="B6:K21">
    <cfRule type="expression" dxfId="835" priority="25" stopIfTrue="1">
      <formula>MOD(ROW(),2)=0</formula>
    </cfRule>
    <cfRule type="expression" dxfId="834" priority="26" stopIfTrue="1">
      <formula>MOD(ROW(),2)&lt;&gt;0</formula>
    </cfRule>
  </conditionalFormatting>
  <conditionalFormatting sqref="C17:C21">
    <cfRule type="expression" dxfId="833" priority="17" stopIfTrue="1">
      <formula>MOD(ROW(),2)=0</formula>
    </cfRule>
    <cfRule type="expression" dxfId="832" priority="18" stopIfTrue="1">
      <formula>MOD(ROW(),2)&lt;&gt;0</formula>
    </cfRule>
  </conditionalFormatting>
  <conditionalFormatting sqref="A17:A20">
    <cfRule type="expression" dxfId="831" priority="13" stopIfTrue="1">
      <formula>MOD(ROW(),2)=0</formula>
    </cfRule>
    <cfRule type="expression" dxfId="830" priority="14" stopIfTrue="1">
      <formula>MOD(ROW(),2)&lt;&gt;0</formula>
    </cfRule>
  </conditionalFormatting>
  <conditionalFormatting sqref="B17:B18 B20:B21">
    <cfRule type="expression" dxfId="829" priority="15" stopIfTrue="1">
      <formula>MOD(ROW(),2)=0</formula>
    </cfRule>
    <cfRule type="expression" dxfId="828" priority="16" stopIfTrue="1">
      <formula>MOD(ROW(),2)&lt;&gt;0</formula>
    </cfRule>
  </conditionalFormatting>
  <conditionalFormatting sqref="A26:A38">
    <cfRule type="expression" dxfId="827" priority="7" stopIfTrue="1">
      <formula>MOD(ROW(),2)=0</formula>
    </cfRule>
    <cfRule type="expression" dxfId="826" priority="8" stopIfTrue="1">
      <formula>MOD(ROW(),2)&lt;&gt;0</formula>
    </cfRule>
  </conditionalFormatting>
  <conditionalFormatting sqref="B26:K38">
    <cfRule type="expression" dxfId="825" priority="9" stopIfTrue="1">
      <formula>MOD(ROW(),2)=0</formula>
    </cfRule>
    <cfRule type="expression" dxfId="824" priority="10" stopIfTrue="1">
      <formula>MOD(ROW(),2)&lt;&gt;0</formula>
    </cfRule>
  </conditionalFormatting>
  <conditionalFormatting sqref="B19">
    <cfRule type="expression" dxfId="823" priority="5" stopIfTrue="1">
      <formula>MOD(ROW(),2)=0</formula>
    </cfRule>
    <cfRule type="expression" dxfId="822" priority="6" stopIfTrue="1">
      <formula>MOD(ROW(),2)&lt;&gt;0</formula>
    </cfRule>
  </conditionalFormatting>
  <conditionalFormatting sqref="A21">
    <cfRule type="expression" dxfId="821" priority="1" stopIfTrue="1">
      <formula>MOD(ROW(),2)=0</formula>
    </cfRule>
    <cfRule type="expression" dxfId="820" priority="2" stopIfTrue="1">
      <formula>MOD(ROW(),2)&lt;&gt;0</formula>
    </cfRule>
  </conditionalFormatting>
  <hyperlinks>
    <hyperlink ref="B24" location="Assumptions!A1" display="Assumptions" xr:uid="{4D794BFE-F399-48DD-98A1-F66FB748E0AC}"/>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4"/>
  </sheetPr>
  <dimension ref="A1:I224"/>
  <sheetViews>
    <sheetView workbookViewId="0">
      <selection activeCell="B19" sqref="B19"/>
    </sheetView>
  </sheetViews>
  <sheetFormatPr defaultRowHeight="12.5" x14ac:dyDescent="0.25"/>
  <cols>
    <col min="2" max="2" width="3.453125" style="12" customWidth="1"/>
    <col min="3" max="3" width="7" style="12" customWidth="1"/>
    <col min="4" max="4" width="62" customWidth="1"/>
    <col min="5" max="6" width="16.81640625" style="12" customWidth="1"/>
    <col min="7" max="7" width="19.453125" style="12" customWidth="1"/>
  </cols>
  <sheetData>
    <row r="1" spans="1:9" ht="20" x14ac:dyDescent="0.4">
      <c r="A1" s="4" t="s">
        <v>227</v>
      </c>
      <c r="B1" s="13"/>
      <c r="C1" s="13"/>
      <c r="D1" s="10"/>
      <c r="E1" s="13"/>
      <c r="F1" s="13"/>
      <c r="G1" s="13"/>
      <c r="H1" s="10"/>
      <c r="I1" s="10"/>
    </row>
    <row r="2" spans="1:9" ht="15.5" x14ac:dyDescent="0.35">
      <c r="A2" s="11" t="str">
        <f>IF(title="&gt; Enter workbook title here","Enter workbook title in Cover sheet",title)</f>
        <v>Fire Northern Ireland - Consolidated Factor Spreadsheet</v>
      </c>
      <c r="B2" s="14"/>
      <c r="C2" s="14"/>
      <c r="D2" s="9"/>
      <c r="E2" s="14"/>
      <c r="F2" s="14"/>
      <c r="G2" s="14"/>
      <c r="H2" s="9"/>
      <c r="I2" s="9"/>
    </row>
    <row r="3" spans="1:9" ht="15.5" x14ac:dyDescent="0.35">
      <c r="A3" s="6" t="s">
        <v>290</v>
      </c>
      <c r="B3" s="14"/>
      <c r="C3" s="14"/>
      <c r="D3" s="9"/>
      <c r="E3" s="14"/>
      <c r="F3" s="14"/>
      <c r="G3" s="14"/>
      <c r="H3" s="9"/>
      <c r="I3" s="9"/>
    </row>
    <row r="4" spans="1:9" x14ac:dyDescent="0.25">
      <c r="A4" s="7" t="str">
        <f ca="1">CELL("filename",A1)</f>
        <v>https://tris42.sharepoint.com/sites/gad_wrkgrp_actuarial/pspsactuarialwork/Central/Factors &amp; Guidance/2024 Guidance Review/4. Online portal/3. Import data/3. Factor tables/0_client_friendly/Ready to be uploaded/2025-03/[Fire NI Consolidated Factors 2025-02.xlsm]Summary - Fire_E</v>
      </c>
    </row>
    <row r="7" spans="1:9" ht="13" x14ac:dyDescent="0.3">
      <c r="E7" s="31" t="s">
        <v>291</v>
      </c>
      <c r="F7" s="31" t="s">
        <v>292</v>
      </c>
      <c r="G7" s="31" t="s">
        <v>293</v>
      </c>
    </row>
    <row r="8" spans="1:9" ht="13" x14ac:dyDescent="0.3">
      <c r="B8" s="33" t="s">
        <v>294</v>
      </c>
      <c r="C8" s="21"/>
      <c r="D8" s="15"/>
      <c r="E8" s="32">
        <v>2015</v>
      </c>
      <c r="F8" s="32">
        <v>2006</v>
      </c>
      <c r="G8" s="35">
        <v>1992</v>
      </c>
    </row>
    <row r="9" spans="1:9" x14ac:dyDescent="0.25">
      <c r="B9" s="23"/>
      <c r="C9" s="22"/>
      <c r="D9" s="17"/>
      <c r="E9" s="16"/>
      <c r="F9" s="16"/>
      <c r="G9" s="16"/>
    </row>
    <row r="10" spans="1:9" ht="13" x14ac:dyDescent="0.3">
      <c r="B10" s="34" t="s">
        <v>295</v>
      </c>
      <c r="D10" s="18"/>
      <c r="E10" s="20"/>
      <c r="F10" s="20"/>
      <c r="G10" s="20"/>
    </row>
    <row r="11" spans="1:9" x14ac:dyDescent="0.25">
      <c r="B11" s="24" t="s">
        <v>296</v>
      </c>
      <c r="C11" s="12">
        <v>101</v>
      </c>
      <c r="D11" s="18"/>
      <c r="E11" s="36"/>
      <c r="F11" s="36"/>
      <c r="G11" s="36"/>
    </row>
    <row r="12" spans="1:9" x14ac:dyDescent="0.25">
      <c r="B12" s="24" t="s">
        <v>296</v>
      </c>
      <c r="C12" s="12">
        <v>102</v>
      </c>
      <c r="D12" s="18"/>
      <c r="E12" s="36"/>
      <c r="F12" s="36"/>
      <c r="G12" s="36"/>
    </row>
    <row r="13" spans="1:9" x14ac:dyDescent="0.25">
      <c r="B13" s="24" t="s">
        <v>296</v>
      </c>
      <c r="C13" s="12">
        <v>103</v>
      </c>
      <c r="D13" s="18"/>
      <c r="E13" s="36"/>
      <c r="F13" s="36"/>
      <c r="G13" s="36"/>
    </row>
    <row r="14" spans="1:9" x14ac:dyDescent="0.25">
      <c r="B14" s="24" t="s">
        <v>296</v>
      </c>
      <c r="C14" s="12">
        <v>104</v>
      </c>
      <c r="D14" s="18"/>
      <c r="E14" s="36"/>
      <c r="F14" s="36"/>
      <c r="G14" s="36"/>
    </row>
    <row r="15" spans="1:9" x14ac:dyDescent="0.25">
      <c r="B15" s="24" t="s">
        <v>296</v>
      </c>
      <c r="C15" s="12">
        <v>105</v>
      </c>
      <c r="D15" s="18"/>
      <c r="E15" s="36"/>
      <c r="F15" s="36"/>
      <c r="G15" s="36"/>
    </row>
    <row r="16" spans="1:9" x14ac:dyDescent="0.25">
      <c r="B16" s="24" t="s">
        <v>296</v>
      </c>
      <c r="C16" s="12">
        <v>106</v>
      </c>
      <c r="D16" s="18"/>
      <c r="E16" s="36"/>
      <c r="F16" s="36"/>
      <c r="G16" s="36"/>
    </row>
    <row r="17" spans="2:8" x14ac:dyDescent="0.25">
      <c r="B17" s="24" t="s">
        <v>296</v>
      </c>
      <c r="C17" s="12">
        <v>107</v>
      </c>
      <c r="D17" s="18"/>
      <c r="E17" s="36"/>
      <c r="F17" s="36"/>
      <c r="G17" s="36"/>
    </row>
    <row r="18" spans="2:8" x14ac:dyDescent="0.25">
      <c r="B18" s="24" t="s">
        <v>296</v>
      </c>
      <c r="C18" s="12">
        <v>108</v>
      </c>
      <c r="D18" s="18"/>
      <c r="E18" s="36"/>
      <c r="F18" s="36"/>
      <c r="G18" s="36"/>
    </row>
    <row r="19" spans="2:8" x14ac:dyDescent="0.25">
      <c r="B19" s="86" t="s">
        <v>296</v>
      </c>
      <c r="C19" s="12">
        <v>109</v>
      </c>
      <c r="D19" s="18"/>
      <c r="E19" s="36"/>
      <c r="F19" s="36"/>
      <c r="G19" s="36"/>
    </row>
    <row r="20" spans="2:8" x14ac:dyDescent="0.25">
      <c r="B20" s="24" t="s">
        <v>296</v>
      </c>
      <c r="C20" s="12">
        <v>110</v>
      </c>
      <c r="D20" s="18"/>
      <c r="E20" s="36"/>
      <c r="F20" s="36"/>
      <c r="G20" s="36"/>
    </row>
    <row r="21" spans="2:8" x14ac:dyDescent="0.25">
      <c r="B21" s="24" t="s">
        <v>296</v>
      </c>
      <c r="C21" s="12">
        <v>111</v>
      </c>
      <c r="D21" s="18"/>
      <c r="E21" s="36"/>
      <c r="F21" s="36"/>
      <c r="G21" s="36"/>
    </row>
    <row r="22" spans="2:8" x14ac:dyDescent="0.25">
      <c r="B22" s="24" t="s">
        <v>296</v>
      </c>
      <c r="C22" s="12">
        <v>112</v>
      </c>
      <c r="D22" s="18"/>
      <c r="E22" s="36"/>
      <c r="F22" s="36"/>
      <c r="G22" s="36"/>
    </row>
    <row r="23" spans="2:8" x14ac:dyDescent="0.25">
      <c r="B23" s="24" t="s">
        <v>296</v>
      </c>
      <c r="C23" s="12">
        <v>113</v>
      </c>
      <c r="D23" s="18"/>
      <c r="E23" s="36"/>
      <c r="F23" s="36"/>
      <c r="G23" s="36"/>
    </row>
    <row r="24" spans="2:8" x14ac:dyDescent="0.25">
      <c r="B24" s="24" t="s">
        <v>296</v>
      </c>
      <c r="C24" s="12">
        <v>114</v>
      </c>
      <c r="D24" s="18"/>
      <c r="E24" s="36"/>
      <c r="F24" s="36"/>
      <c r="G24" s="36"/>
    </row>
    <row r="25" spans="2:8" x14ac:dyDescent="0.25">
      <c r="B25" s="24" t="s">
        <v>296</v>
      </c>
      <c r="C25" s="12">
        <v>115</v>
      </c>
      <c r="D25" s="18"/>
      <c r="E25" s="36"/>
      <c r="F25" s="36"/>
      <c r="G25" s="36"/>
    </row>
    <row r="26" spans="2:8" x14ac:dyDescent="0.25">
      <c r="B26" s="24" t="s">
        <v>296</v>
      </c>
      <c r="C26" s="12">
        <v>116</v>
      </c>
      <c r="D26" s="18"/>
      <c r="E26" s="36"/>
      <c r="F26" s="36"/>
      <c r="G26" s="36"/>
    </row>
    <row r="27" spans="2:8" x14ac:dyDescent="0.25">
      <c r="B27" s="24" t="s">
        <v>296</v>
      </c>
      <c r="C27" s="12">
        <v>117</v>
      </c>
      <c r="D27" s="18"/>
      <c r="E27" s="36"/>
      <c r="F27" s="36"/>
      <c r="G27" s="36"/>
    </row>
    <row r="28" spans="2:8" x14ac:dyDescent="0.25">
      <c r="B28" s="24" t="s">
        <v>296</v>
      </c>
      <c r="C28" s="12">
        <v>118</v>
      </c>
      <c r="D28" s="18"/>
      <c r="E28" s="36"/>
      <c r="F28" s="36"/>
      <c r="G28" s="36"/>
    </row>
    <row r="29" spans="2:8" x14ac:dyDescent="0.25">
      <c r="B29" s="24" t="s">
        <v>296</v>
      </c>
      <c r="C29" s="12">
        <v>119</v>
      </c>
      <c r="D29" s="18"/>
      <c r="E29" s="36"/>
      <c r="F29" s="36"/>
      <c r="G29" s="36"/>
    </row>
    <row r="30" spans="2:8" x14ac:dyDescent="0.25">
      <c r="B30" s="24" t="s">
        <v>296</v>
      </c>
      <c r="C30" s="12">
        <v>120</v>
      </c>
      <c r="D30" s="18"/>
      <c r="E30" s="36"/>
      <c r="F30" s="36"/>
      <c r="G30" s="36"/>
    </row>
    <row r="31" spans="2:8" x14ac:dyDescent="0.25">
      <c r="B31" s="24" t="s">
        <v>296</v>
      </c>
      <c r="C31" s="12">
        <v>121</v>
      </c>
      <c r="E31" s="37"/>
      <c r="F31" s="37"/>
      <c r="G31" s="37"/>
      <c r="H31" s="30"/>
    </row>
    <row r="32" spans="2:8" x14ac:dyDescent="0.25">
      <c r="B32" s="24" t="s">
        <v>296</v>
      </c>
      <c r="C32" s="12">
        <v>122</v>
      </c>
      <c r="D32" s="18"/>
      <c r="E32" s="36"/>
      <c r="F32" s="36"/>
      <c r="G32" s="36"/>
    </row>
    <row r="33" spans="2:8" x14ac:dyDescent="0.25">
      <c r="B33" s="24" t="s">
        <v>296</v>
      </c>
      <c r="C33" s="12">
        <v>123</v>
      </c>
      <c r="D33" s="18"/>
      <c r="E33" s="36"/>
      <c r="F33" s="36"/>
      <c r="G33" s="36"/>
    </row>
    <row r="34" spans="2:8" x14ac:dyDescent="0.25">
      <c r="B34" s="24" t="s">
        <v>296</v>
      </c>
      <c r="C34" s="12">
        <v>124</v>
      </c>
      <c r="D34" s="18"/>
      <c r="E34" s="36"/>
      <c r="F34" s="36"/>
      <c r="G34" s="36"/>
    </row>
    <row r="35" spans="2:8" x14ac:dyDescent="0.25">
      <c r="B35" s="24" t="s">
        <v>296</v>
      </c>
      <c r="C35" s="12">
        <v>125</v>
      </c>
      <c r="D35" s="18"/>
      <c r="E35" s="36"/>
      <c r="F35" s="36"/>
      <c r="G35" s="36"/>
      <c r="H35" s="29"/>
    </row>
    <row r="36" spans="2:8" x14ac:dyDescent="0.25">
      <c r="B36" s="25"/>
      <c r="C36" s="22"/>
      <c r="D36" s="17"/>
      <c r="E36" s="38"/>
      <c r="F36" s="38"/>
      <c r="G36" s="38"/>
    </row>
    <row r="37" spans="2:8" ht="13" x14ac:dyDescent="0.3">
      <c r="B37" s="34" t="s">
        <v>297</v>
      </c>
      <c r="D37" s="18"/>
      <c r="E37" s="36"/>
      <c r="F37" s="36"/>
      <c r="G37" s="36"/>
    </row>
    <row r="38" spans="2:8" x14ac:dyDescent="0.25">
      <c r="B38" s="24" t="s">
        <v>296</v>
      </c>
      <c r="C38" s="12">
        <v>201</v>
      </c>
      <c r="D38" s="18"/>
      <c r="E38" s="36"/>
      <c r="F38" s="36"/>
      <c r="G38" s="36"/>
    </row>
    <row r="39" spans="2:8" x14ac:dyDescent="0.25">
      <c r="B39" s="24" t="s">
        <v>296</v>
      </c>
      <c r="C39" s="12">
        <v>202</v>
      </c>
      <c r="D39" s="18"/>
      <c r="E39" s="36"/>
      <c r="F39" s="36"/>
      <c r="G39" s="36"/>
    </row>
    <row r="40" spans="2:8" x14ac:dyDescent="0.25">
      <c r="B40" s="24" t="s">
        <v>296</v>
      </c>
      <c r="C40" s="12">
        <v>203</v>
      </c>
      <c r="D40" s="18"/>
      <c r="E40" s="36"/>
      <c r="F40" s="36"/>
      <c r="G40" s="36"/>
    </row>
    <row r="41" spans="2:8" x14ac:dyDescent="0.25">
      <c r="B41" s="24" t="s">
        <v>296</v>
      </c>
      <c r="C41" s="12">
        <v>204</v>
      </c>
      <c r="D41" s="18"/>
      <c r="E41" s="36"/>
      <c r="F41" s="36"/>
      <c r="G41" s="36"/>
    </row>
    <row r="42" spans="2:8" x14ac:dyDescent="0.25">
      <c r="B42" s="24" t="s">
        <v>296</v>
      </c>
      <c r="C42" s="12">
        <v>205</v>
      </c>
      <c r="D42" s="18"/>
      <c r="E42" s="36"/>
      <c r="F42" s="36"/>
      <c r="G42" s="36"/>
    </row>
    <row r="43" spans="2:8" x14ac:dyDescent="0.25">
      <c r="B43" s="24" t="s">
        <v>296</v>
      </c>
      <c r="C43" s="12">
        <v>206</v>
      </c>
      <c r="D43" s="18"/>
      <c r="E43" s="36"/>
      <c r="F43" s="36"/>
      <c r="G43" s="36"/>
    </row>
    <row r="44" spans="2:8" x14ac:dyDescent="0.25">
      <c r="B44" s="24" t="s">
        <v>296</v>
      </c>
      <c r="C44" s="12">
        <v>207</v>
      </c>
      <c r="D44" s="18"/>
      <c r="E44" s="36"/>
      <c r="F44" s="36"/>
      <c r="G44" s="36"/>
    </row>
    <row r="45" spans="2:8" x14ac:dyDescent="0.25">
      <c r="B45" s="24" t="s">
        <v>296</v>
      </c>
      <c r="C45" s="12">
        <v>208</v>
      </c>
      <c r="D45" s="18"/>
      <c r="E45" s="36"/>
      <c r="F45" s="36"/>
      <c r="G45" s="36"/>
    </row>
    <row r="46" spans="2:8" x14ac:dyDescent="0.25">
      <c r="B46" s="24" t="s">
        <v>296</v>
      </c>
      <c r="C46" s="12">
        <v>209</v>
      </c>
      <c r="D46" s="18"/>
      <c r="E46" s="36"/>
      <c r="F46" s="36"/>
      <c r="G46" s="36"/>
    </row>
    <row r="47" spans="2:8" x14ac:dyDescent="0.25">
      <c r="B47" s="24" t="s">
        <v>296</v>
      </c>
      <c r="C47" s="12">
        <v>210</v>
      </c>
      <c r="D47" s="18"/>
      <c r="E47" s="36"/>
      <c r="F47" s="36"/>
      <c r="G47" s="36"/>
    </row>
    <row r="48" spans="2:8" x14ac:dyDescent="0.25">
      <c r="B48" s="24" t="s">
        <v>296</v>
      </c>
      <c r="C48" s="12">
        <v>211</v>
      </c>
      <c r="D48" s="18"/>
      <c r="E48" s="36"/>
      <c r="F48" s="36"/>
      <c r="G48" s="36"/>
    </row>
    <row r="49" spans="2:7" x14ac:dyDescent="0.25">
      <c r="B49" s="24" t="s">
        <v>296</v>
      </c>
      <c r="C49" s="12">
        <v>212</v>
      </c>
      <c r="D49" s="18"/>
      <c r="E49" s="36"/>
      <c r="F49" s="36"/>
      <c r="G49" s="36"/>
    </row>
    <row r="50" spans="2:7" x14ac:dyDescent="0.25">
      <c r="B50" s="24" t="s">
        <v>296</v>
      </c>
      <c r="C50" s="12">
        <v>213</v>
      </c>
      <c r="D50" s="18"/>
      <c r="E50" s="36"/>
      <c r="F50" s="36"/>
      <c r="G50" s="36"/>
    </row>
    <row r="51" spans="2:7" x14ac:dyDescent="0.25">
      <c r="B51" s="24" t="s">
        <v>296</v>
      </c>
      <c r="C51" s="12">
        <v>214</v>
      </c>
      <c r="D51" s="18"/>
      <c r="E51" s="36"/>
      <c r="F51" s="36"/>
      <c r="G51" s="36"/>
    </row>
    <row r="52" spans="2:7" x14ac:dyDescent="0.25">
      <c r="B52" s="24" t="s">
        <v>296</v>
      </c>
      <c r="C52" s="12">
        <v>215</v>
      </c>
      <c r="D52" s="18"/>
      <c r="E52" s="36"/>
      <c r="F52" s="36"/>
      <c r="G52" s="36"/>
    </row>
    <row r="53" spans="2:7" x14ac:dyDescent="0.25">
      <c r="B53" s="24" t="s">
        <v>296</v>
      </c>
      <c r="C53" s="12">
        <v>216</v>
      </c>
      <c r="D53" s="18"/>
      <c r="E53" s="36"/>
      <c r="F53" s="36"/>
      <c r="G53" s="36"/>
    </row>
    <row r="54" spans="2:7" x14ac:dyDescent="0.25">
      <c r="B54" s="24" t="s">
        <v>296</v>
      </c>
      <c r="C54" s="12">
        <v>217</v>
      </c>
      <c r="D54" s="18"/>
      <c r="E54" s="36"/>
      <c r="F54" s="36"/>
      <c r="G54" s="36"/>
    </row>
    <row r="55" spans="2:7" x14ac:dyDescent="0.25">
      <c r="B55" s="24" t="s">
        <v>296</v>
      </c>
      <c r="C55" s="12">
        <v>218</v>
      </c>
      <c r="D55" s="18"/>
      <c r="E55" s="36"/>
      <c r="F55" s="36"/>
      <c r="G55" s="36"/>
    </row>
    <row r="56" spans="2:7" x14ac:dyDescent="0.25">
      <c r="B56" s="24" t="s">
        <v>296</v>
      </c>
      <c r="C56" s="12">
        <v>219</v>
      </c>
      <c r="D56" s="18"/>
      <c r="E56" s="36"/>
      <c r="F56" s="36"/>
      <c r="G56" s="36"/>
    </row>
    <row r="57" spans="2:7" x14ac:dyDescent="0.25">
      <c r="B57" s="24" t="s">
        <v>296</v>
      </c>
      <c r="C57" s="12">
        <v>220</v>
      </c>
      <c r="D57" s="18"/>
      <c r="E57" s="36"/>
      <c r="F57" s="36"/>
      <c r="G57" s="36"/>
    </row>
    <row r="58" spans="2:7" x14ac:dyDescent="0.25">
      <c r="B58" s="24" t="s">
        <v>296</v>
      </c>
      <c r="C58" s="12">
        <v>221</v>
      </c>
      <c r="D58" s="18"/>
      <c r="E58" s="36"/>
      <c r="F58" s="36"/>
      <c r="G58" s="36"/>
    </row>
    <row r="59" spans="2:7" x14ac:dyDescent="0.25">
      <c r="B59" s="24" t="s">
        <v>296</v>
      </c>
      <c r="C59" s="12">
        <v>222</v>
      </c>
      <c r="D59" s="18"/>
      <c r="E59" s="36"/>
      <c r="F59" s="36"/>
      <c r="G59" s="36"/>
    </row>
    <row r="60" spans="2:7" x14ac:dyDescent="0.25">
      <c r="B60" s="24" t="s">
        <v>296</v>
      </c>
      <c r="C60" s="12">
        <v>223</v>
      </c>
      <c r="D60" s="18"/>
      <c r="E60" s="36"/>
      <c r="F60" s="36"/>
      <c r="G60" s="36"/>
    </row>
    <row r="61" spans="2:7" x14ac:dyDescent="0.25">
      <c r="B61" s="24" t="s">
        <v>296</v>
      </c>
      <c r="C61" s="12">
        <v>224</v>
      </c>
      <c r="D61" s="18"/>
      <c r="E61" s="36"/>
      <c r="F61" s="36"/>
      <c r="G61" s="36"/>
    </row>
    <row r="62" spans="2:7" x14ac:dyDescent="0.25">
      <c r="B62" s="24" t="s">
        <v>296</v>
      </c>
      <c r="C62" s="12">
        <v>225</v>
      </c>
      <c r="D62" s="19"/>
      <c r="E62" s="39"/>
      <c r="F62" s="39"/>
      <c r="G62" s="39"/>
    </row>
    <row r="63" spans="2:7" x14ac:dyDescent="0.25">
      <c r="B63" s="25"/>
      <c r="C63" s="22"/>
      <c r="D63" s="17"/>
      <c r="E63" s="38"/>
      <c r="F63" s="38"/>
      <c r="G63" s="38"/>
    </row>
    <row r="64" spans="2:7" ht="13" x14ac:dyDescent="0.3">
      <c r="B64" s="34" t="s">
        <v>298</v>
      </c>
      <c r="D64" s="18"/>
      <c r="E64" s="36"/>
      <c r="F64" s="36"/>
      <c r="G64" s="36"/>
    </row>
    <row r="65" spans="2:7" x14ac:dyDescent="0.25">
      <c r="B65" s="24" t="s">
        <v>296</v>
      </c>
      <c r="C65" s="12">
        <v>301</v>
      </c>
      <c r="D65" s="18"/>
      <c r="E65" s="36"/>
      <c r="F65" s="36"/>
      <c r="G65" s="36"/>
    </row>
    <row r="66" spans="2:7" x14ac:dyDescent="0.25">
      <c r="B66" s="24" t="s">
        <v>296</v>
      </c>
      <c r="C66" s="12">
        <v>302</v>
      </c>
      <c r="D66" s="18"/>
      <c r="E66" s="36"/>
      <c r="F66" s="36"/>
      <c r="G66" s="36"/>
    </row>
    <row r="67" spans="2:7" x14ac:dyDescent="0.25">
      <c r="B67" s="24" t="s">
        <v>296</v>
      </c>
      <c r="C67" s="12">
        <v>303</v>
      </c>
      <c r="D67" s="18"/>
      <c r="E67" s="36"/>
      <c r="F67" s="36"/>
      <c r="G67" s="36"/>
    </row>
    <row r="68" spans="2:7" x14ac:dyDescent="0.25">
      <c r="B68" s="24" t="s">
        <v>296</v>
      </c>
      <c r="C68" s="12">
        <v>304</v>
      </c>
      <c r="D68" s="18"/>
      <c r="E68" s="36"/>
      <c r="F68" s="36"/>
      <c r="G68" s="36"/>
    </row>
    <row r="69" spans="2:7" x14ac:dyDescent="0.25">
      <c r="B69" s="24" t="s">
        <v>296</v>
      </c>
      <c r="C69" s="12">
        <v>305</v>
      </c>
      <c r="D69" s="18"/>
      <c r="E69" s="36"/>
      <c r="F69" s="36"/>
      <c r="G69" s="36"/>
    </row>
    <row r="70" spans="2:7" x14ac:dyDescent="0.25">
      <c r="B70" s="24" t="s">
        <v>296</v>
      </c>
      <c r="C70" s="12">
        <v>306</v>
      </c>
      <c r="D70" s="18"/>
      <c r="E70" s="36"/>
      <c r="F70" s="36"/>
      <c r="G70" s="36"/>
    </row>
    <row r="71" spans="2:7" x14ac:dyDescent="0.25">
      <c r="B71" s="24" t="s">
        <v>296</v>
      </c>
      <c r="C71" s="12">
        <v>307</v>
      </c>
      <c r="D71" s="18"/>
      <c r="E71" s="36"/>
      <c r="F71" s="36"/>
      <c r="G71" s="36"/>
    </row>
    <row r="72" spans="2:7" x14ac:dyDescent="0.25">
      <c r="B72" s="24" t="s">
        <v>296</v>
      </c>
      <c r="C72" s="12">
        <v>308</v>
      </c>
      <c r="D72" s="18"/>
      <c r="E72" s="36"/>
      <c r="F72" s="36"/>
      <c r="G72" s="36"/>
    </row>
    <row r="73" spans="2:7" x14ac:dyDescent="0.25">
      <c r="B73" s="24" t="s">
        <v>296</v>
      </c>
      <c r="C73" s="12">
        <v>309</v>
      </c>
      <c r="D73" s="18"/>
      <c r="E73" s="36"/>
      <c r="F73" s="36"/>
      <c r="G73" s="36"/>
    </row>
    <row r="74" spans="2:7" x14ac:dyDescent="0.25">
      <c r="B74" s="24" t="s">
        <v>296</v>
      </c>
      <c r="C74" s="12">
        <v>310</v>
      </c>
      <c r="D74" s="18"/>
      <c r="E74" s="36"/>
      <c r="F74" s="36"/>
      <c r="G74" s="36"/>
    </row>
    <row r="75" spans="2:7" x14ac:dyDescent="0.25">
      <c r="B75" s="24" t="s">
        <v>296</v>
      </c>
      <c r="C75" s="12">
        <v>311</v>
      </c>
      <c r="D75" s="18"/>
      <c r="E75" s="36"/>
      <c r="F75" s="36"/>
      <c r="G75" s="36"/>
    </row>
    <row r="76" spans="2:7" x14ac:dyDescent="0.25">
      <c r="B76" s="24" t="s">
        <v>296</v>
      </c>
      <c r="C76" s="12">
        <v>312</v>
      </c>
      <c r="D76" s="18"/>
      <c r="E76" s="36"/>
      <c r="F76" s="36"/>
      <c r="G76" s="36"/>
    </row>
    <row r="77" spans="2:7" x14ac:dyDescent="0.25">
      <c r="B77" s="24" t="s">
        <v>296</v>
      </c>
      <c r="C77" s="12">
        <v>313</v>
      </c>
      <c r="D77" s="18"/>
      <c r="E77" s="36"/>
      <c r="F77" s="36"/>
      <c r="G77" s="36"/>
    </row>
    <row r="78" spans="2:7" x14ac:dyDescent="0.25">
      <c r="B78" s="24" t="s">
        <v>296</v>
      </c>
      <c r="C78" s="12">
        <v>314</v>
      </c>
      <c r="D78" s="18"/>
      <c r="E78" s="36"/>
      <c r="F78" s="36"/>
      <c r="G78" s="36"/>
    </row>
    <row r="79" spans="2:7" x14ac:dyDescent="0.25">
      <c r="B79" s="24" t="s">
        <v>296</v>
      </c>
      <c r="C79" s="12">
        <v>315</v>
      </c>
      <c r="D79" s="18"/>
      <c r="E79" s="36"/>
      <c r="F79" s="36"/>
      <c r="G79" s="36"/>
    </row>
    <row r="80" spans="2:7" x14ac:dyDescent="0.25">
      <c r="B80" s="24" t="s">
        <v>296</v>
      </c>
      <c r="C80" s="12">
        <v>316</v>
      </c>
      <c r="D80" s="18"/>
      <c r="E80" s="36"/>
      <c r="F80" s="36"/>
      <c r="G80" s="36"/>
    </row>
    <row r="81" spans="2:7" x14ac:dyDescent="0.25">
      <c r="B81" s="24" t="s">
        <v>296</v>
      </c>
      <c r="C81" s="12">
        <v>317</v>
      </c>
      <c r="D81" s="18"/>
      <c r="E81" s="36"/>
      <c r="F81" s="36"/>
      <c r="G81" s="36"/>
    </row>
    <row r="82" spans="2:7" x14ac:dyDescent="0.25">
      <c r="B82" s="24" t="s">
        <v>296</v>
      </c>
      <c r="C82" s="12">
        <v>318</v>
      </c>
      <c r="D82" s="18"/>
      <c r="E82" s="36"/>
      <c r="F82" s="36"/>
      <c r="G82" s="36"/>
    </row>
    <row r="83" spans="2:7" x14ac:dyDescent="0.25">
      <c r="B83" s="24" t="s">
        <v>296</v>
      </c>
      <c r="C83" s="12">
        <v>319</v>
      </c>
      <c r="D83" s="18"/>
      <c r="E83" s="36"/>
      <c r="F83" s="36"/>
      <c r="G83" s="36"/>
    </row>
    <row r="84" spans="2:7" x14ac:dyDescent="0.25">
      <c r="B84" s="24" t="s">
        <v>296</v>
      </c>
      <c r="C84" s="12">
        <v>320</v>
      </c>
      <c r="D84" s="18"/>
      <c r="E84" s="36"/>
      <c r="F84" s="36"/>
      <c r="G84" s="36"/>
    </row>
    <row r="85" spans="2:7" x14ac:dyDescent="0.25">
      <c r="B85" s="24" t="s">
        <v>296</v>
      </c>
      <c r="C85" s="12">
        <v>321</v>
      </c>
      <c r="D85" s="18"/>
      <c r="E85" s="36"/>
      <c r="F85" s="36"/>
      <c r="G85" s="36"/>
    </row>
    <row r="86" spans="2:7" x14ac:dyDescent="0.25">
      <c r="B86" s="24" t="s">
        <v>296</v>
      </c>
      <c r="C86" s="12">
        <v>322</v>
      </c>
      <c r="D86" s="18"/>
      <c r="E86" s="36"/>
      <c r="F86" s="36"/>
      <c r="G86" s="36"/>
    </row>
    <row r="87" spans="2:7" x14ac:dyDescent="0.25">
      <c r="B87" s="24" t="s">
        <v>296</v>
      </c>
      <c r="C87" s="12">
        <v>323</v>
      </c>
      <c r="D87" s="18"/>
      <c r="E87" s="36"/>
      <c r="F87" s="36"/>
      <c r="G87" s="36"/>
    </row>
    <row r="88" spans="2:7" x14ac:dyDescent="0.25">
      <c r="B88" s="24" t="s">
        <v>296</v>
      </c>
      <c r="C88" s="12">
        <v>324</v>
      </c>
      <c r="D88" s="18"/>
      <c r="E88" s="36"/>
      <c r="F88" s="36"/>
      <c r="G88" s="36"/>
    </row>
    <row r="89" spans="2:7" x14ac:dyDescent="0.25">
      <c r="B89" s="24" t="s">
        <v>296</v>
      </c>
      <c r="C89" s="12">
        <v>325</v>
      </c>
      <c r="D89" s="19"/>
      <c r="E89" s="39"/>
      <c r="F89" s="39"/>
      <c r="G89" s="39"/>
    </row>
    <row r="90" spans="2:7" x14ac:dyDescent="0.25">
      <c r="B90" s="25"/>
      <c r="C90" s="22"/>
      <c r="D90" s="17"/>
      <c r="E90" s="38"/>
      <c r="F90" s="38"/>
      <c r="G90" s="38"/>
    </row>
    <row r="91" spans="2:7" ht="13" x14ac:dyDescent="0.3">
      <c r="B91" s="34" t="s">
        <v>299</v>
      </c>
      <c r="D91" s="18"/>
      <c r="E91" s="36"/>
      <c r="F91" s="36"/>
      <c r="G91" s="36"/>
    </row>
    <row r="92" spans="2:7" x14ac:dyDescent="0.25">
      <c r="B92" s="24" t="s">
        <v>296</v>
      </c>
      <c r="C92" s="12">
        <v>401</v>
      </c>
      <c r="D92" s="18"/>
      <c r="E92" s="36"/>
      <c r="F92" s="36"/>
      <c r="G92" s="36"/>
    </row>
    <row r="93" spans="2:7" x14ac:dyDescent="0.25">
      <c r="B93" s="24" t="s">
        <v>296</v>
      </c>
      <c r="C93" s="12">
        <v>402</v>
      </c>
      <c r="D93" s="18"/>
      <c r="E93" s="36"/>
      <c r="F93" s="36"/>
      <c r="G93" s="36"/>
    </row>
    <row r="94" spans="2:7" x14ac:dyDescent="0.25">
      <c r="B94" s="24" t="s">
        <v>296</v>
      </c>
      <c r="C94" s="12">
        <v>403</v>
      </c>
      <c r="D94" s="18"/>
      <c r="E94" s="36"/>
      <c r="F94" s="36"/>
      <c r="G94" s="36"/>
    </row>
    <row r="95" spans="2:7" x14ac:dyDescent="0.25">
      <c r="B95" s="24" t="s">
        <v>296</v>
      </c>
      <c r="C95" s="12">
        <v>404</v>
      </c>
      <c r="D95" s="18"/>
      <c r="E95" s="36"/>
      <c r="F95" s="36"/>
      <c r="G95" s="36"/>
    </row>
    <row r="96" spans="2:7" x14ac:dyDescent="0.25">
      <c r="B96" s="24" t="s">
        <v>296</v>
      </c>
      <c r="C96" s="12">
        <v>405</v>
      </c>
      <c r="D96" s="18"/>
      <c r="E96" s="36"/>
      <c r="F96" s="36"/>
      <c r="G96" s="36"/>
    </row>
    <row r="97" spans="2:7" x14ac:dyDescent="0.25">
      <c r="B97" s="24" t="s">
        <v>296</v>
      </c>
      <c r="C97" s="12">
        <v>406</v>
      </c>
      <c r="D97" s="18"/>
      <c r="E97" s="36"/>
      <c r="F97" s="36"/>
      <c r="G97" s="36"/>
    </row>
    <row r="98" spans="2:7" x14ac:dyDescent="0.25">
      <c r="B98" s="24" t="s">
        <v>296</v>
      </c>
      <c r="C98" s="12">
        <v>407</v>
      </c>
      <c r="D98" s="18"/>
      <c r="E98" s="36"/>
      <c r="F98" s="36"/>
      <c r="G98" s="36"/>
    </row>
    <row r="99" spans="2:7" x14ac:dyDescent="0.25">
      <c r="B99" s="24" t="s">
        <v>296</v>
      </c>
      <c r="C99" s="12">
        <v>408</v>
      </c>
      <c r="D99" s="18"/>
      <c r="E99" s="36"/>
      <c r="F99" s="36"/>
      <c r="G99" s="36"/>
    </row>
    <row r="100" spans="2:7" x14ac:dyDescent="0.25">
      <c r="B100" s="24" t="s">
        <v>296</v>
      </c>
      <c r="C100" s="12">
        <v>409</v>
      </c>
      <c r="D100" s="18"/>
      <c r="E100" s="36"/>
      <c r="F100" s="36"/>
      <c r="G100" s="36"/>
    </row>
    <row r="101" spans="2:7" x14ac:dyDescent="0.25">
      <c r="B101" s="24" t="s">
        <v>296</v>
      </c>
      <c r="C101" s="12">
        <v>410</v>
      </c>
      <c r="D101" s="18"/>
      <c r="E101" s="36"/>
      <c r="F101" s="36"/>
      <c r="G101" s="36"/>
    </row>
    <row r="102" spans="2:7" x14ac:dyDescent="0.25">
      <c r="B102" s="24" t="s">
        <v>296</v>
      </c>
      <c r="C102" s="12">
        <v>411</v>
      </c>
      <c r="D102" s="18"/>
      <c r="E102" s="36"/>
      <c r="F102" s="36"/>
      <c r="G102" s="36"/>
    </row>
    <row r="103" spans="2:7" x14ac:dyDescent="0.25">
      <c r="B103" s="24" t="s">
        <v>296</v>
      </c>
      <c r="C103" s="12">
        <v>412</v>
      </c>
      <c r="D103" s="18"/>
      <c r="E103" s="36"/>
      <c r="F103" s="36"/>
      <c r="G103" s="36"/>
    </row>
    <row r="104" spans="2:7" x14ac:dyDescent="0.25">
      <c r="B104" s="24" t="s">
        <v>296</v>
      </c>
      <c r="C104" s="12">
        <v>413</v>
      </c>
      <c r="D104" s="18"/>
      <c r="E104" s="36"/>
      <c r="F104" s="36"/>
      <c r="G104" s="36"/>
    </row>
    <row r="105" spans="2:7" x14ac:dyDescent="0.25">
      <c r="B105" s="24" t="s">
        <v>296</v>
      </c>
      <c r="C105" s="12">
        <v>414</v>
      </c>
      <c r="D105" s="18"/>
      <c r="E105" s="36"/>
      <c r="F105" s="36"/>
      <c r="G105" s="36"/>
    </row>
    <row r="106" spans="2:7" x14ac:dyDescent="0.25">
      <c r="B106" s="24" t="s">
        <v>296</v>
      </c>
      <c r="C106" s="12">
        <v>415</v>
      </c>
      <c r="D106" s="18"/>
      <c r="E106" s="36"/>
      <c r="F106" s="36"/>
      <c r="G106" s="36"/>
    </row>
    <row r="107" spans="2:7" x14ac:dyDescent="0.25">
      <c r="B107" s="24" t="s">
        <v>296</v>
      </c>
      <c r="C107" s="12">
        <v>416</v>
      </c>
      <c r="D107" s="18"/>
      <c r="E107" s="36"/>
      <c r="F107" s="36"/>
      <c r="G107" s="36"/>
    </row>
    <row r="108" spans="2:7" x14ac:dyDescent="0.25">
      <c r="B108" s="24" t="s">
        <v>296</v>
      </c>
      <c r="C108" s="12">
        <v>417</v>
      </c>
      <c r="D108" s="18"/>
      <c r="E108" s="36"/>
      <c r="F108" s="36"/>
      <c r="G108" s="36"/>
    </row>
    <row r="109" spans="2:7" x14ac:dyDescent="0.25">
      <c r="B109" s="24" t="s">
        <v>296</v>
      </c>
      <c r="C109" s="12">
        <v>418</v>
      </c>
      <c r="D109" s="18"/>
      <c r="E109" s="36"/>
      <c r="F109" s="36"/>
      <c r="G109" s="36"/>
    </row>
    <row r="110" spans="2:7" x14ac:dyDescent="0.25">
      <c r="B110" s="24" t="s">
        <v>296</v>
      </c>
      <c r="C110" s="12">
        <v>419</v>
      </c>
      <c r="D110" s="18"/>
      <c r="E110" s="36"/>
      <c r="F110" s="36"/>
      <c r="G110" s="36"/>
    </row>
    <row r="111" spans="2:7" x14ac:dyDescent="0.25">
      <c r="B111" s="24" t="s">
        <v>296</v>
      </c>
      <c r="C111" s="12">
        <v>420</v>
      </c>
      <c r="D111" s="18"/>
      <c r="E111" s="36"/>
      <c r="F111" s="36"/>
      <c r="G111" s="36"/>
    </row>
    <row r="112" spans="2:7" x14ac:dyDescent="0.25">
      <c r="B112" s="24" t="s">
        <v>296</v>
      </c>
      <c r="C112" s="12">
        <v>421</v>
      </c>
      <c r="D112" s="18"/>
      <c r="E112" s="36"/>
      <c r="F112" s="36"/>
      <c r="G112" s="36"/>
    </row>
    <row r="113" spans="2:7" x14ac:dyDescent="0.25">
      <c r="B113" s="24" t="s">
        <v>296</v>
      </c>
      <c r="C113" s="12">
        <v>422</v>
      </c>
      <c r="D113" s="18"/>
      <c r="E113" s="36"/>
      <c r="F113" s="36"/>
      <c r="G113" s="36"/>
    </row>
    <row r="114" spans="2:7" x14ac:dyDescent="0.25">
      <c r="B114" s="24" t="s">
        <v>296</v>
      </c>
      <c r="C114" s="12">
        <v>423</v>
      </c>
      <c r="D114" s="18"/>
      <c r="E114" s="36"/>
      <c r="F114" s="36"/>
      <c r="G114" s="36"/>
    </row>
    <row r="115" spans="2:7" x14ac:dyDescent="0.25">
      <c r="B115" s="24" t="s">
        <v>296</v>
      </c>
      <c r="C115" s="12">
        <v>424</v>
      </c>
      <c r="D115" s="18"/>
      <c r="E115" s="36"/>
      <c r="F115" s="36"/>
      <c r="G115" s="36"/>
    </row>
    <row r="116" spans="2:7" x14ac:dyDescent="0.25">
      <c r="B116" s="24" t="s">
        <v>296</v>
      </c>
      <c r="C116" s="12">
        <v>425</v>
      </c>
      <c r="D116" s="19"/>
      <c r="E116" s="39"/>
      <c r="F116" s="39"/>
      <c r="G116" s="39"/>
    </row>
    <row r="117" spans="2:7" x14ac:dyDescent="0.25">
      <c r="B117" s="25"/>
      <c r="C117" s="22"/>
      <c r="D117" s="17"/>
      <c r="E117" s="38"/>
      <c r="F117" s="38"/>
      <c r="G117" s="38"/>
    </row>
    <row r="118" spans="2:7" ht="13" x14ac:dyDescent="0.3">
      <c r="B118" s="34" t="s">
        <v>300</v>
      </c>
      <c r="D118" s="18"/>
      <c r="E118" s="36"/>
      <c r="F118" s="36"/>
      <c r="G118" s="36"/>
    </row>
    <row r="119" spans="2:7" x14ac:dyDescent="0.25">
      <c r="B119" s="24" t="s">
        <v>296</v>
      </c>
      <c r="C119" s="12">
        <v>501</v>
      </c>
      <c r="D119" s="18"/>
      <c r="E119" s="36"/>
      <c r="F119" s="36"/>
      <c r="G119" s="36"/>
    </row>
    <row r="120" spans="2:7" x14ac:dyDescent="0.25">
      <c r="B120" s="24" t="s">
        <v>296</v>
      </c>
      <c r="C120" s="12">
        <v>502</v>
      </c>
      <c r="D120" s="18"/>
      <c r="E120" s="36"/>
      <c r="F120" s="36"/>
      <c r="G120" s="36"/>
    </row>
    <row r="121" spans="2:7" x14ac:dyDescent="0.25">
      <c r="B121" s="24" t="s">
        <v>296</v>
      </c>
      <c r="C121" s="12">
        <v>503</v>
      </c>
      <c r="D121" s="18"/>
      <c r="E121" s="36"/>
      <c r="F121" s="36"/>
      <c r="G121" s="36"/>
    </row>
    <row r="122" spans="2:7" x14ac:dyDescent="0.25">
      <c r="B122" s="24" t="s">
        <v>296</v>
      </c>
      <c r="C122" s="12">
        <v>504</v>
      </c>
      <c r="D122" s="18"/>
      <c r="E122" s="36"/>
      <c r="F122" s="36"/>
      <c r="G122" s="36"/>
    </row>
    <row r="123" spans="2:7" x14ac:dyDescent="0.25">
      <c r="B123" s="24" t="s">
        <v>296</v>
      </c>
      <c r="C123" s="12">
        <v>505</v>
      </c>
      <c r="D123" s="18"/>
      <c r="E123" s="36"/>
      <c r="F123" s="36"/>
      <c r="G123" s="36"/>
    </row>
    <row r="124" spans="2:7" x14ac:dyDescent="0.25">
      <c r="B124" s="24" t="s">
        <v>296</v>
      </c>
      <c r="C124" s="12">
        <v>506</v>
      </c>
      <c r="D124" s="18"/>
      <c r="E124" s="36"/>
      <c r="F124" s="36"/>
      <c r="G124" s="36"/>
    </row>
    <row r="125" spans="2:7" x14ac:dyDescent="0.25">
      <c r="B125" s="24" t="s">
        <v>296</v>
      </c>
      <c r="C125" s="12">
        <v>507</v>
      </c>
      <c r="D125" s="18"/>
      <c r="E125" s="36"/>
      <c r="F125" s="36"/>
      <c r="G125" s="36"/>
    </row>
    <row r="126" spans="2:7" x14ac:dyDescent="0.25">
      <c r="B126" s="24" t="s">
        <v>296</v>
      </c>
      <c r="C126" s="12">
        <v>508</v>
      </c>
      <c r="D126" s="18"/>
      <c r="E126" s="36"/>
      <c r="F126" s="36"/>
      <c r="G126" s="36"/>
    </row>
    <row r="127" spans="2:7" x14ac:dyDescent="0.25">
      <c r="B127" s="24" t="s">
        <v>296</v>
      </c>
      <c r="C127" s="12">
        <v>509</v>
      </c>
      <c r="D127" s="18"/>
      <c r="E127" s="36"/>
      <c r="F127" s="36"/>
      <c r="G127" s="36"/>
    </row>
    <row r="128" spans="2:7" x14ac:dyDescent="0.25">
      <c r="B128" s="24" t="s">
        <v>296</v>
      </c>
      <c r="C128" s="12">
        <v>510</v>
      </c>
      <c r="D128" s="18"/>
      <c r="E128" s="36"/>
      <c r="F128" s="36"/>
      <c r="G128" s="36"/>
    </row>
    <row r="129" spans="2:7" x14ac:dyDescent="0.25">
      <c r="B129" s="24" t="s">
        <v>296</v>
      </c>
      <c r="C129" s="12">
        <v>511</v>
      </c>
      <c r="D129" s="18"/>
      <c r="E129" s="36"/>
      <c r="F129" s="36"/>
      <c r="G129" s="36"/>
    </row>
    <row r="130" spans="2:7" x14ac:dyDescent="0.25">
      <c r="B130" s="24" t="s">
        <v>296</v>
      </c>
      <c r="C130" s="12">
        <v>512</v>
      </c>
      <c r="D130" s="18"/>
      <c r="E130" s="36"/>
      <c r="F130" s="36"/>
      <c r="G130" s="36"/>
    </row>
    <row r="131" spans="2:7" x14ac:dyDescent="0.25">
      <c r="B131" s="24" t="s">
        <v>296</v>
      </c>
      <c r="C131" s="12">
        <v>513</v>
      </c>
      <c r="D131" s="18"/>
      <c r="E131" s="36"/>
      <c r="F131" s="36"/>
      <c r="G131" s="36"/>
    </row>
    <row r="132" spans="2:7" x14ac:dyDescent="0.25">
      <c r="B132" s="24" t="s">
        <v>296</v>
      </c>
      <c r="C132" s="12">
        <v>514</v>
      </c>
      <c r="D132" s="18"/>
      <c r="E132" s="36"/>
      <c r="F132" s="36"/>
      <c r="G132" s="36"/>
    </row>
    <row r="133" spans="2:7" x14ac:dyDescent="0.25">
      <c r="B133" s="24" t="s">
        <v>296</v>
      </c>
      <c r="C133" s="12">
        <v>515</v>
      </c>
      <c r="D133" s="18"/>
      <c r="E133" s="36"/>
      <c r="F133" s="36"/>
      <c r="G133" s="36"/>
    </row>
    <row r="134" spans="2:7" x14ac:dyDescent="0.25">
      <c r="B134" s="24" t="s">
        <v>296</v>
      </c>
      <c r="C134" s="12">
        <v>516</v>
      </c>
      <c r="D134" s="18"/>
      <c r="E134" s="36"/>
      <c r="F134" s="36"/>
      <c r="G134" s="36"/>
    </row>
    <row r="135" spans="2:7" x14ac:dyDescent="0.25">
      <c r="B135" s="24" t="s">
        <v>296</v>
      </c>
      <c r="C135" s="12">
        <v>517</v>
      </c>
      <c r="D135" s="18"/>
      <c r="E135" s="36"/>
      <c r="F135" s="36"/>
      <c r="G135" s="36"/>
    </row>
    <row r="136" spans="2:7" x14ac:dyDescent="0.25">
      <c r="B136" s="24" t="s">
        <v>296</v>
      </c>
      <c r="C136" s="12">
        <v>518</v>
      </c>
      <c r="D136" s="18"/>
      <c r="E136" s="36"/>
      <c r="F136" s="36"/>
      <c r="G136" s="36"/>
    </row>
    <row r="137" spans="2:7" x14ac:dyDescent="0.25">
      <c r="B137" s="24" t="s">
        <v>296</v>
      </c>
      <c r="C137" s="12">
        <v>519</v>
      </c>
      <c r="D137" s="18"/>
      <c r="E137" s="36"/>
      <c r="F137" s="36"/>
      <c r="G137" s="36"/>
    </row>
    <row r="138" spans="2:7" x14ac:dyDescent="0.25">
      <c r="B138" s="24" t="s">
        <v>296</v>
      </c>
      <c r="C138" s="12">
        <v>520</v>
      </c>
      <c r="D138" s="18"/>
      <c r="E138" s="36"/>
      <c r="F138" s="36"/>
      <c r="G138" s="36"/>
    </row>
    <row r="139" spans="2:7" x14ac:dyDescent="0.25">
      <c r="B139" s="24" t="s">
        <v>296</v>
      </c>
      <c r="C139" s="12">
        <v>521</v>
      </c>
      <c r="D139" s="18"/>
      <c r="E139" s="36"/>
      <c r="F139" s="36"/>
      <c r="G139" s="36"/>
    </row>
    <row r="140" spans="2:7" x14ac:dyDescent="0.25">
      <c r="B140" s="24" t="s">
        <v>296</v>
      </c>
      <c r="C140" s="12">
        <v>522</v>
      </c>
      <c r="D140" s="18"/>
      <c r="E140" s="36"/>
      <c r="F140" s="36"/>
      <c r="G140" s="36"/>
    </row>
    <row r="141" spans="2:7" x14ac:dyDescent="0.25">
      <c r="B141" s="24" t="s">
        <v>296</v>
      </c>
      <c r="C141" s="12">
        <v>523</v>
      </c>
      <c r="D141" s="18"/>
      <c r="E141" s="36"/>
      <c r="F141" s="36"/>
      <c r="G141" s="36"/>
    </row>
    <row r="142" spans="2:7" x14ac:dyDescent="0.25">
      <c r="B142" s="24" t="s">
        <v>296</v>
      </c>
      <c r="C142" s="12">
        <v>524</v>
      </c>
      <c r="D142" s="18"/>
      <c r="E142" s="36"/>
      <c r="F142" s="36"/>
      <c r="G142" s="36"/>
    </row>
    <row r="143" spans="2:7" x14ac:dyDescent="0.25">
      <c r="B143" s="24" t="s">
        <v>296</v>
      </c>
      <c r="C143" s="12">
        <v>525</v>
      </c>
      <c r="D143" s="19"/>
      <c r="E143" s="39"/>
      <c r="F143" s="39"/>
      <c r="G143" s="39"/>
    </row>
    <row r="144" spans="2:7" x14ac:dyDescent="0.25">
      <c r="B144" s="25"/>
      <c r="C144" s="22"/>
      <c r="D144" s="17"/>
      <c r="E144" s="38"/>
      <c r="F144" s="38"/>
      <c r="G144" s="38"/>
    </row>
    <row r="145" spans="2:7" ht="13" x14ac:dyDescent="0.3">
      <c r="B145" s="34" t="s">
        <v>301</v>
      </c>
      <c r="D145" s="18"/>
      <c r="E145" s="36"/>
      <c r="F145" s="36"/>
      <c r="G145" s="36"/>
    </row>
    <row r="146" spans="2:7" x14ac:dyDescent="0.25">
      <c r="B146" s="24" t="s">
        <v>296</v>
      </c>
      <c r="C146" s="12">
        <v>601</v>
      </c>
      <c r="D146" s="18"/>
      <c r="E146" s="36"/>
      <c r="F146" s="36"/>
      <c r="G146" s="36"/>
    </row>
    <row r="147" spans="2:7" x14ac:dyDescent="0.25">
      <c r="B147" s="24" t="s">
        <v>296</v>
      </c>
      <c r="C147" s="12">
        <v>602</v>
      </c>
      <c r="D147" s="18"/>
      <c r="E147" s="36"/>
      <c r="F147" s="36"/>
      <c r="G147" s="36"/>
    </row>
    <row r="148" spans="2:7" x14ac:dyDescent="0.25">
      <c r="B148" s="24" t="s">
        <v>296</v>
      </c>
      <c r="C148" s="12">
        <v>603</v>
      </c>
      <c r="D148" s="18"/>
      <c r="E148" s="36"/>
      <c r="F148" s="36"/>
      <c r="G148" s="36"/>
    </row>
    <row r="149" spans="2:7" x14ac:dyDescent="0.25">
      <c r="B149" s="24" t="s">
        <v>296</v>
      </c>
      <c r="C149" s="12">
        <v>604</v>
      </c>
      <c r="D149" s="18"/>
      <c r="E149" s="36"/>
      <c r="F149" s="36"/>
      <c r="G149" s="36"/>
    </row>
    <row r="150" spans="2:7" x14ac:dyDescent="0.25">
      <c r="B150" s="24" t="s">
        <v>296</v>
      </c>
      <c r="C150" s="12">
        <v>605</v>
      </c>
      <c r="D150" s="18"/>
      <c r="E150" s="36"/>
      <c r="F150" s="36"/>
      <c r="G150" s="36"/>
    </row>
    <row r="151" spans="2:7" x14ac:dyDescent="0.25">
      <c r="B151" s="24" t="s">
        <v>296</v>
      </c>
      <c r="C151" s="12">
        <v>606</v>
      </c>
      <c r="D151" s="18"/>
      <c r="E151" s="36"/>
      <c r="F151" s="36"/>
      <c r="G151" s="36"/>
    </row>
    <row r="152" spans="2:7" x14ac:dyDescent="0.25">
      <c r="B152" s="24" t="s">
        <v>296</v>
      </c>
      <c r="C152" s="12">
        <v>607</v>
      </c>
      <c r="D152" s="18"/>
      <c r="E152" s="36"/>
      <c r="F152" s="36"/>
      <c r="G152" s="36"/>
    </row>
    <row r="153" spans="2:7" x14ac:dyDescent="0.25">
      <c r="B153" s="24" t="s">
        <v>296</v>
      </c>
      <c r="C153" s="12">
        <v>608</v>
      </c>
      <c r="D153" s="18"/>
      <c r="E153" s="36"/>
      <c r="F153" s="36"/>
      <c r="G153" s="36"/>
    </row>
    <row r="154" spans="2:7" x14ac:dyDescent="0.25">
      <c r="B154" s="24" t="s">
        <v>296</v>
      </c>
      <c r="C154" s="12">
        <v>609</v>
      </c>
      <c r="D154" s="18"/>
      <c r="E154" s="36"/>
      <c r="F154" s="36"/>
      <c r="G154" s="36"/>
    </row>
    <row r="155" spans="2:7" x14ac:dyDescent="0.25">
      <c r="B155" s="24" t="s">
        <v>296</v>
      </c>
      <c r="C155" s="12">
        <v>610</v>
      </c>
      <c r="D155" s="18"/>
      <c r="E155" s="36"/>
      <c r="F155" s="36"/>
      <c r="G155" s="36"/>
    </row>
    <row r="156" spans="2:7" x14ac:dyDescent="0.25">
      <c r="B156" s="24" t="s">
        <v>296</v>
      </c>
      <c r="C156" s="12">
        <v>611</v>
      </c>
      <c r="D156" s="18"/>
      <c r="E156" s="36"/>
      <c r="F156" s="36"/>
      <c r="G156" s="36"/>
    </row>
    <row r="157" spans="2:7" x14ac:dyDescent="0.25">
      <c r="B157" s="24" t="s">
        <v>296</v>
      </c>
      <c r="C157" s="12">
        <v>612</v>
      </c>
      <c r="D157" s="18"/>
      <c r="E157" s="36"/>
      <c r="F157" s="36"/>
      <c r="G157" s="36"/>
    </row>
    <row r="158" spans="2:7" x14ac:dyDescent="0.25">
      <c r="B158" s="24" t="s">
        <v>296</v>
      </c>
      <c r="C158" s="12">
        <v>613</v>
      </c>
      <c r="D158" s="18"/>
      <c r="E158" s="36"/>
      <c r="F158" s="36"/>
      <c r="G158" s="36"/>
    </row>
    <row r="159" spans="2:7" x14ac:dyDescent="0.25">
      <c r="B159" s="24" t="s">
        <v>296</v>
      </c>
      <c r="C159" s="12">
        <v>614</v>
      </c>
      <c r="D159" s="18"/>
      <c r="E159" s="36"/>
      <c r="F159" s="36"/>
      <c r="G159" s="36"/>
    </row>
    <row r="160" spans="2:7" x14ac:dyDescent="0.25">
      <c r="B160" s="24" t="s">
        <v>296</v>
      </c>
      <c r="C160" s="12">
        <v>615</v>
      </c>
      <c r="D160" s="18"/>
      <c r="E160" s="36"/>
      <c r="F160" s="36"/>
      <c r="G160" s="36"/>
    </row>
    <row r="161" spans="2:7" x14ac:dyDescent="0.25">
      <c r="B161" s="24" t="s">
        <v>296</v>
      </c>
      <c r="C161" s="12">
        <v>616</v>
      </c>
      <c r="D161" s="18"/>
      <c r="E161" s="36"/>
      <c r="F161" s="36"/>
      <c r="G161" s="36"/>
    </row>
    <row r="162" spans="2:7" x14ac:dyDescent="0.25">
      <c r="B162" s="24" t="s">
        <v>296</v>
      </c>
      <c r="C162" s="12">
        <v>617</v>
      </c>
      <c r="D162" s="18"/>
      <c r="E162" s="36"/>
      <c r="F162" s="36"/>
      <c r="G162" s="36"/>
    </row>
    <row r="163" spans="2:7" x14ac:dyDescent="0.25">
      <c r="B163" s="24" t="s">
        <v>296</v>
      </c>
      <c r="C163" s="12">
        <v>618</v>
      </c>
      <c r="D163" s="18"/>
      <c r="E163" s="36"/>
      <c r="F163" s="36"/>
      <c r="G163" s="36"/>
    </row>
    <row r="164" spans="2:7" x14ac:dyDescent="0.25">
      <c r="B164" s="24" t="s">
        <v>296</v>
      </c>
      <c r="C164" s="12">
        <v>619</v>
      </c>
      <c r="D164" s="18"/>
      <c r="E164" s="36"/>
      <c r="F164" s="36"/>
      <c r="G164" s="36"/>
    </row>
    <row r="165" spans="2:7" x14ac:dyDescent="0.25">
      <c r="B165" s="24" t="s">
        <v>296</v>
      </c>
      <c r="C165" s="12">
        <v>620</v>
      </c>
      <c r="D165" s="18"/>
      <c r="E165" s="36"/>
      <c r="F165" s="36"/>
      <c r="G165" s="36"/>
    </row>
    <row r="166" spans="2:7" x14ac:dyDescent="0.25">
      <c r="B166" s="24" t="s">
        <v>296</v>
      </c>
      <c r="C166" s="12">
        <v>621</v>
      </c>
      <c r="D166" s="18"/>
      <c r="E166" s="36"/>
      <c r="F166" s="36"/>
      <c r="G166" s="36"/>
    </row>
    <row r="167" spans="2:7" x14ac:dyDescent="0.25">
      <c r="B167" s="24" t="s">
        <v>296</v>
      </c>
      <c r="C167" s="12">
        <v>622</v>
      </c>
      <c r="D167" s="18"/>
      <c r="E167" s="36"/>
      <c r="F167" s="36"/>
      <c r="G167" s="36"/>
    </row>
    <row r="168" spans="2:7" x14ac:dyDescent="0.25">
      <c r="B168" s="24" t="s">
        <v>296</v>
      </c>
      <c r="C168" s="12">
        <v>623</v>
      </c>
      <c r="D168" s="18"/>
      <c r="E168" s="36"/>
      <c r="F168" s="36"/>
      <c r="G168" s="36"/>
    </row>
    <row r="169" spans="2:7" x14ac:dyDescent="0.25">
      <c r="B169" s="24" t="s">
        <v>296</v>
      </c>
      <c r="C169" s="12">
        <v>624</v>
      </c>
      <c r="D169" s="18"/>
      <c r="E169" s="36"/>
      <c r="F169" s="36"/>
      <c r="G169" s="36"/>
    </row>
    <row r="170" spans="2:7" x14ac:dyDescent="0.25">
      <c r="B170" s="24" t="s">
        <v>296</v>
      </c>
      <c r="C170" s="12">
        <v>625</v>
      </c>
      <c r="D170" s="19"/>
      <c r="E170" s="39"/>
      <c r="F170" s="39"/>
      <c r="G170" s="39"/>
    </row>
    <row r="171" spans="2:7" x14ac:dyDescent="0.25">
      <c r="B171" s="25"/>
      <c r="C171" s="22"/>
      <c r="D171" s="17"/>
      <c r="E171" s="38"/>
      <c r="F171" s="38"/>
      <c r="G171" s="38"/>
    </row>
    <row r="172" spans="2:7" ht="13" x14ac:dyDescent="0.3">
      <c r="B172" s="34" t="s">
        <v>302</v>
      </c>
      <c r="D172" s="18"/>
      <c r="E172" s="36"/>
      <c r="F172" s="36"/>
      <c r="G172" s="36"/>
    </row>
    <row r="173" spans="2:7" x14ac:dyDescent="0.25">
      <c r="B173" s="24" t="s">
        <v>296</v>
      </c>
      <c r="C173" s="12">
        <v>701</v>
      </c>
      <c r="D173" s="18"/>
      <c r="E173" s="36"/>
      <c r="F173" s="36"/>
      <c r="G173" s="36"/>
    </row>
    <row r="174" spans="2:7" x14ac:dyDescent="0.25">
      <c r="B174" s="24" t="s">
        <v>296</v>
      </c>
      <c r="C174" s="12">
        <v>702</v>
      </c>
      <c r="D174" s="18"/>
      <c r="E174" s="36"/>
      <c r="F174" s="36"/>
      <c r="G174" s="36"/>
    </row>
    <row r="175" spans="2:7" x14ac:dyDescent="0.25">
      <c r="B175" s="24" t="s">
        <v>296</v>
      </c>
      <c r="C175" s="12">
        <v>703</v>
      </c>
      <c r="D175" s="18"/>
      <c r="E175" s="36"/>
      <c r="F175" s="36"/>
      <c r="G175" s="36"/>
    </row>
    <row r="176" spans="2:7" x14ac:dyDescent="0.25">
      <c r="B176" s="24" t="s">
        <v>296</v>
      </c>
      <c r="C176" s="12">
        <v>704</v>
      </c>
      <c r="D176" s="18"/>
      <c r="E176" s="36"/>
      <c r="F176" s="36"/>
      <c r="G176" s="36"/>
    </row>
    <row r="177" spans="2:7" x14ac:dyDescent="0.25">
      <c r="B177" s="24" t="s">
        <v>296</v>
      </c>
      <c r="C177" s="12">
        <v>705</v>
      </c>
      <c r="D177" s="18"/>
      <c r="E177" s="36"/>
      <c r="F177" s="36"/>
      <c r="G177" s="36"/>
    </row>
    <row r="178" spans="2:7" x14ac:dyDescent="0.25">
      <c r="B178" s="24" t="s">
        <v>296</v>
      </c>
      <c r="C178" s="12">
        <v>706</v>
      </c>
      <c r="D178" s="18"/>
      <c r="E178" s="36"/>
      <c r="F178" s="36"/>
      <c r="G178" s="36"/>
    </row>
    <row r="179" spans="2:7" x14ac:dyDescent="0.25">
      <c r="B179" s="24" t="s">
        <v>296</v>
      </c>
      <c r="C179" s="12">
        <v>707</v>
      </c>
      <c r="D179" s="18"/>
      <c r="E179" s="36"/>
      <c r="F179" s="36"/>
      <c r="G179" s="36"/>
    </row>
    <row r="180" spans="2:7" x14ac:dyDescent="0.25">
      <c r="B180" s="24" t="s">
        <v>296</v>
      </c>
      <c r="C180" s="12">
        <v>708</v>
      </c>
      <c r="D180" s="18"/>
      <c r="E180" s="36"/>
      <c r="F180" s="36"/>
      <c r="G180" s="36"/>
    </row>
    <row r="181" spans="2:7" x14ac:dyDescent="0.25">
      <c r="B181" s="24" t="s">
        <v>296</v>
      </c>
      <c r="C181" s="12">
        <v>709</v>
      </c>
      <c r="D181" s="18"/>
      <c r="E181" s="36"/>
      <c r="F181" s="36"/>
      <c r="G181" s="36"/>
    </row>
    <row r="182" spans="2:7" x14ac:dyDescent="0.25">
      <c r="B182" s="24" t="s">
        <v>296</v>
      </c>
      <c r="C182" s="12">
        <v>710</v>
      </c>
      <c r="D182" s="18"/>
      <c r="E182" s="36"/>
      <c r="F182" s="36"/>
      <c r="G182" s="36"/>
    </row>
    <row r="183" spans="2:7" x14ac:dyDescent="0.25">
      <c r="B183" s="24" t="s">
        <v>296</v>
      </c>
      <c r="C183" s="12">
        <v>711</v>
      </c>
      <c r="D183" s="18"/>
      <c r="E183" s="36"/>
      <c r="F183" s="36"/>
      <c r="G183" s="36"/>
    </row>
    <row r="184" spans="2:7" x14ac:dyDescent="0.25">
      <c r="B184" s="24" t="s">
        <v>296</v>
      </c>
      <c r="C184" s="12">
        <v>712</v>
      </c>
      <c r="D184" s="18"/>
      <c r="E184" s="36"/>
      <c r="F184" s="36"/>
      <c r="G184" s="36"/>
    </row>
    <row r="185" spans="2:7" x14ac:dyDescent="0.25">
      <c r="B185" s="24" t="s">
        <v>296</v>
      </c>
      <c r="C185" s="12">
        <v>713</v>
      </c>
      <c r="D185" s="18"/>
      <c r="E185" s="36"/>
      <c r="F185" s="36"/>
      <c r="G185" s="36"/>
    </row>
    <row r="186" spans="2:7" x14ac:dyDescent="0.25">
      <c r="B186" s="24" t="s">
        <v>296</v>
      </c>
      <c r="C186" s="12">
        <v>714</v>
      </c>
      <c r="D186" s="18"/>
      <c r="E186" s="36"/>
      <c r="F186" s="36"/>
      <c r="G186" s="36"/>
    </row>
    <row r="187" spans="2:7" x14ac:dyDescent="0.25">
      <c r="B187" s="24" t="s">
        <v>296</v>
      </c>
      <c r="C187" s="12">
        <v>715</v>
      </c>
      <c r="D187" s="18"/>
      <c r="E187" s="36"/>
      <c r="F187" s="36"/>
      <c r="G187" s="36"/>
    </row>
    <row r="188" spans="2:7" x14ac:dyDescent="0.25">
      <c r="B188" s="24" t="s">
        <v>296</v>
      </c>
      <c r="C188" s="12">
        <v>716</v>
      </c>
      <c r="D188" s="18"/>
      <c r="E188" s="36"/>
      <c r="F188" s="36"/>
      <c r="G188" s="36"/>
    </row>
    <row r="189" spans="2:7" x14ac:dyDescent="0.25">
      <c r="B189" s="24" t="s">
        <v>296</v>
      </c>
      <c r="C189" s="12">
        <v>717</v>
      </c>
      <c r="D189" s="18"/>
      <c r="E189" s="36"/>
      <c r="F189" s="36"/>
      <c r="G189" s="36"/>
    </row>
    <row r="190" spans="2:7" x14ac:dyDescent="0.25">
      <c r="B190" s="24" t="s">
        <v>296</v>
      </c>
      <c r="C190" s="12">
        <v>718</v>
      </c>
      <c r="D190" s="18"/>
      <c r="E190" s="36"/>
      <c r="F190" s="36"/>
      <c r="G190" s="36"/>
    </row>
    <row r="191" spans="2:7" x14ac:dyDescent="0.25">
      <c r="B191" s="24" t="s">
        <v>296</v>
      </c>
      <c r="C191" s="12">
        <v>719</v>
      </c>
      <c r="D191" s="18"/>
      <c r="E191" s="36"/>
      <c r="F191" s="36"/>
      <c r="G191" s="36"/>
    </row>
    <row r="192" spans="2:7" x14ac:dyDescent="0.25">
      <c r="B192" s="24" t="s">
        <v>296</v>
      </c>
      <c r="C192" s="12">
        <v>720</v>
      </c>
      <c r="D192" s="18"/>
      <c r="E192" s="36"/>
      <c r="F192" s="36"/>
      <c r="G192" s="36"/>
    </row>
    <row r="193" spans="2:7" x14ac:dyDescent="0.25">
      <c r="B193" s="24" t="s">
        <v>296</v>
      </c>
      <c r="C193" s="12">
        <v>721</v>
      </c>
      <c r="D193" s="18"/>
      <c r="E193" s="36"/>
      <c r="F193" s="36"/>
      <c r="G193" s="36"/>
    </row>
    <row r="194" spans="2:7" x14ac:dyDescent="0.25">
      <c r="B194" s="24" t="s">
        <v>296</v>
      </c>
      <c r="C194" s="12">
        <v>722</v>
      </c>
      <c r="D194" s="18"/>
      <c r="E194" s="36"/>
      <c r="F194" s="36"/>
      <c r="G194" s="36"/>
    </row>
    <row r="195" spans="2:7" x14ac:dyDescent="0.25">
      <c r="B195" s="24" t="s">
        <v>296</v>
      </c>
      <c r="C195" s="12">
        <v>723</v>
      </c>
      <c r="D195" s="18"/>
      <c r="E195" s="36"/>
      <c r="F195" s="36"/>
      <c r="G195" s="36"/>
    </row>
    <row r="196" spans="2:7" x14ac:dyDescent="0.25">
      <c r="B196" s="24" t="s">
        <v>296</v>
      </c>
      <c r="C196" s="12">
        <v>724</v>
      </c>
      <c r="D196" s="18"/>
      <c r="E196" s="36"/>
      <c r="F196" s="36"/>
      <c r="G196" s="36"/>
    </row>
    <row r="197" spans="2:7" x14ac:dyDescent="0.25">
      <c r="B197" s="24" t="s">
        <v>296</v>
      </c>
      <c r="C197" s="12">
        <v>725</v>
      </c>
      <c r="D197" s="18"/>
      <c r="E197" s="36"/>
      <c r="F197" s="36"/>
      <c r="G197" s="36"/>
    </row>
    <row r="198" spans="2:7" x14ac:dyDescent="0.25">
      <c r="B198" s="25"/>
      <c r="C198" s="22"/>
      <c r="D198" s="17"/>
      <c r="E198" s="38"/>
      <c r="F198" s="38"/>
      <c r="G198" s="38"/>
    </row>
    <row r="199" spans="2:7" ht="13" x14ac:dyDescent="0.3">
      <c r="B199" s="34" t="s">
        <v>303</v>
      </c>
      <c r="D199" s="18"/>
      <c r="E199" s="36"/>
      <c r="F199" s="36"/>
      <c r="G199" s="36"/>
    </row>
    <row r="200" spans="2:7" x14ac:dyDescent="0.25">
      <c r="B200" s="24" t="s">
        <v>296</v>
      </c>
      <c r="C200" s="12">
        <v>801</v>
      </c>
      <c r="D200" s="18"/>
      <c r="E200" s="36"/>
      <c r="F200" s="36"/>
      <c r="G200" s="36"/>
    </row>
    <row r="201" spans="2:7" x14ac:dyDescent="0.25">
      <c r="B201" s="24" t="s">
        <v>296</v>
      </c>
      <c r="C201" s="12">
        <v>802</v>
      </c>
      <c r="D201" s="18"/>
      <c r="E201" s="36"/>
      <c r="F201" s="36"/>
      <c r="G201" s="36"/>
    </row>
    <row r="202" spans="2:7" x14ac:dyDescent="0.25">
      <c r="B202" s="24" t="s">
        <v>296</v>
      </c>
      <c r="C202" s="12">
        <v>803</v>
      </c>
      <c r="D202" s="18"/>
      <c r="E202" s="36"/>
      <c r="F202" s="36"/>
      <c r="G202" s="36"/>
    </row>
    <row r="203" spans="2:7" x14ac:dyDescent="0.25">
      <c r="B203" s="24" t="s">
        <v>296</v>
      </c>
      <c r="C203" s="12">
        <v>804</v>
      </c>
      <c r="D203" s="18"/>
      <c r="E203" s="36"/>
      <c r="F203" s="36"/>
      <c r="G203" s="36"/>
    </row>
    <row r="204" spans="2:7" x14ac:dyDescent="0.25">
      <c r="B204" s="24" t="s">
        <v>296</v>
      </c>
      <c r="C204" s="12">
        <v>805</v>
      </c>
      <c r="D204" s="18"/>
      <c r="E204" s="36"/>
      <c r="F204" s="36"/>
      <c r="G204" s="36"/>
    </row>
    <row r="205" spans="2:7" x14ac:dyDescent="0.25">
      <c r="B205" s="24" t="s">
        <v>296</v>
      </c>
      <c r="C205" s="12">
        <v>806</v>
      </c>
      <c r="D205" s="18"/>
      <c r="E205" s="36"/>
      <c r="F205" s="36"/>
      <c r="G205" s="36"/>
    </row>
    <row r="206" spans="2:7" x14ac:dyDescent="0.25">
      <c r="B206" s="24" t="s">
        <v>296</v>
      </c>
      <c r="C206" s="12">
        <v>807</v>
      </c>
      <c r="D206" s="18"/>
      <c r="E206" s="36"/>
      <c r="F206" s="36"/>
      <c r="G206" s="36"/>
    </row>
    <row r="207" spans="2:7" x14ac:dyDescent="0.25">
      <c r="B207" s="24" t="s">
        <v>296</v>
      </c>
      <c r="C207" s="12">
        <v>808</v>
      </c>
      <c r="D207" s="18"/>
      <c r="E207" s="36"/>
      <c r="F207" s="36"/>
      <c r="G207" s="36"/>
    </row>
    <row r="208" spans="2:7" x14ac:dyDescent="0.25">
      <c r="B208" s="24" t="s">
        <v>296</v>
      </c>
      <c r="C208" s="12">
        <v>809</v>
      </c>
      <c r="D208" s="18"/>
      <c r="E208" s="36"/>
      <c r="F208" s="36"/>
      <c r="G208" s="36"/>
    </row>
    <row r="209" spans="2:7" x14ac:dyDescent="0.25">
      <c r="B209" s="24" t="s">
        <v>296</v>
      </c>
      <c r="C209" s="12">
        <v>810</v>
      </c>
      <c r="D209" s="18"/>
      <c r="E209" s="36"/>
      <c r="F209" s="36"/>
      <c r="G209" s="36"/>
    </row>
    <row r="210" spans="2:7" x14ac:dyDescent="0.25">
      <c r="B210" s="24" t="s">
        <v>296</v>
      </c>
      <c r="C210" s="12">
        <v>811</v>
      </c>
      <c r="D210" s="18"/>
      <c r="E210" s="36"/>
      <c r="F210" s="36"/>
      <c r="G210" s="36"/>
    </row>
    <row r="211" spans="2:7" x14ac:dyDescent="0.25">
      <c r="B211" s="24" t="s">
        <v>296</v>
      </c>
      <c r="C211" s="12">
        <v>812</v>
      </c>
      <c r="D211" s="18"/>
      <c r="E211" s="36"/>
      <c r="F211" s="36"/>
      <c r="G211" s="36"/>
    </row>
    <row r="212" spans="2:7" x14ac:dyDescent="0.25">
      <c r="B212" s="24" t="s">
        <v>296</v>
      </c>
      <c r="C212" s="12">
        <v>813</v>
      </c>
      <c r="D212" s="18"/>
      <c r="E212" s="36"/>
      <c r="F212" s="36"/>
      <c r="G212" s="36"/>
    </row>
    <row r="213" spans="2:7" x14ac:dyDescent="0.25">
      <c r="B213" s="24" t="s">
        <v>296</v>
      </c>
      <c r="C213" s="12">
        <v>814</v>
      </c>
      <c r="D213" s="18"/>
      <c r="E213" s="36"/>
      <c r="F213" s="36"/>
      <c r="G213" s="36"/>
    </row>
    <row r="214" spans="2:7" x14ac:dyDescent="0.25">
      <c r="B214" s="24" t="s">
        <v>296</v>
      </c>
      <c r="C214" s="12">
        <v>815</v>
      </c>
      <c r="D214" s="18"/>
      <c r="E214" s="36"/>
      <c r="F214" s="36"/>
      <c r="G214" s="36"/>
    </row>
    <row r="215" spans="2:7" x14ac:dyDescent="0.25">
      <c r="B215" s="24" t="s">
        <v>296</v>
      </c>
      <c r="C215" s="12">
        <v>816</v>
      </c>
      <c r="D215" s="18"/>
      <c r="E215" s="36"/>
      <c r="F215" s="36"/>
      <c r="G215" s="36"/>
    </row>
    <row r="216" spans="2:7" x14ac:dyDescent="0.25">
      <c r="B216" s="24" t="s">
        <v>296</v>
      </c>
      <c r="C216" s="12">
        <v>817</v>
      </c>
      <c r="D216" s="18"/>
      <c r="E216" s="36"/>
      <c r="F216" s="36"/>
      <c r="G216" s="36"/>
    </row>
    <row r="217" spans="2:7" x14ac:dyDescent="0.25">
      <c r="B217" s="24" t="s">
        <v>296</v>
      </c>
      <c r="C217" s="12">
        <v>818</v>
      </c>
      <c r="D217" s="18"/>
      <c r="E217" s="36"/>
      <c r="F217" s="36"/>
      <c r="G217" s="36"/>
    </row>
    <row r="218" spans="2:7" x14ac:dyDescent="0.25">
      <c r="B218" s="24" t="s">
        <v>296</v>
      </c>
      <c r="C218" s="12">
        <v>819</v>
      </c>
      <c r="D218" s="18"/>
      <c r="E218" s="36"/>
      <c r="F218" s="36"/>
      <c r="G218" s="36"/>
    </row>
    <row r="219" spans="2:7" x14ac:dyDescent="0.25">
      <c r="B219" s="24" t="s">
        <v>296</v>
      </c>
      <c r="C219" s="12">
        <v>820</v>
      </c>
      <c r="D219" s="18"/>
      <c r="E219" s="36"/>
      <c r="F219" s="36"/>
      <c r="G219" s="36"/>
    </row>
    <row r="220" spans="2:7" x14ac:dyDescent="0.25">
      <c r="B220" s="24" t="s">
        <v>296</v>
      </c>
      <c r="C220" s="12">
        <v>821</v>
      </c>
      <c r="D220" s="18"/>
      <c r="E220" s="36"/>
      <c r="F220" s="36"/>
      <c r="G220" s="36"/>
    </row>
    <row r="221" spans="2:7" x14ac:dyDescent="0.25">
      <c r="B221" s="24" t="s">
        <v>296</v>
      </c>
      <c r="C221" s="12">
        <v>822</v>
      </c>
      <c r="D221" s="18"/>
      <c r="E221" s="36"/>
      <c r="F221" s="36"/>
      <c r="G221" s="36"/>
    </row>
    <row r="222" spans="2:7" x14ac:dyDescent="0.25">
      <c r="B222" s="24" t="s">
        <v>296</v>
      </c>
      <c r="C222" s="12">
        <v>823</v>
      </c>
      <c r="D222" s="18"/>
      <c r="E222" s="36"/>
      <c r="F222" s="36"/>
      <c r="G222" s="36"/>
    </row>
    <row r="223" spans="2:7" x14ac:dyDescent="0.25">
      <c r="B223" s="24" t="s">
        <v>296</v>
      </c>
      <c r="C223" s="12">
        <v>824</v>
      </c>
      <c r="D223" s="18"/>
      <c r="E223" s="36"/>
      <c r="F223" s="36"/>
      <c r="G223" s="36"/>
    </row>
    <row r="224" spans="2:7" x14ac:dyDescent="0.25">
      <c r="B224" s="24" t="s">
        <v>296</v>
      </c>
      <c r="C224" s="12">
        <v>825</v>
      </c>
      <c r="D224" s="19"/>
      <c r="E224" s="39"/>
      <c r="F224" s="39"/>
      <c r="G224" s="39"/>
    </row>
  </sheetData>
  <sheetProtection algorithmName="SHA-512" hashValue="o2S9YWpEkWoMAvhiLZGzHuCzEiAcBLqob8QjLU475v42Es2FA6j0jM/1b8z6XgUD+MlNpZQhvxBTQ7R3v8iTPA==" saltValue="DShRdNL4VdjajimVwiZhsg==" spinCount="100000" sheet="1" objects="1" scenarios="1"/>
  <pageMargins left="0.7" right="0.7" top="0.75" bottom="0.75" header="0.3" footer="0.3"/>
  <pageSetup paperSize="9" scale="45" orientation="portrait" horizontalDpi="1200" verticalDpi="1200" r:id="rId1"/>
  <headerFooter>
    <oddHeader>&amp;L&amp;Z&amp;F  [&amp;A]</oddHeader>
    <oddFooter>&amp;LPage &amp;P of &amp;N&amp;R&amp;T &amp;D</oddFooter>
  </headerFooter>
  <rowBreaks count="2" manualBreakCount="2">
    <brk id="89" max="7" man="1"/>
    <brk id="197" max="7" man="1"/>
  </rowBreaks>
  <colBreaks count="1" manualBreakCount="1">
    <brk id="8" max="1048575" man="1"/>
  </colBreaks>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Sheet70"/>
  <dimension ref="A1:AV46"/>
  <sheetViews>
    <sheetView showGridLines="0" zoomScale="85" zoomScaleNormal="85" workbookViewId="0">
      <selection activeCell="B18" sqref="B18"/>
    </sheetView>
  </sheetViews>
  <sheetFormatPr defaultColWidth="10" defaultRowHeight="12.5" x14ac:dyDescent="0.25"/>
  <cols>
    <col min="1" max="1" width="31.81640625" style="28" customWidth="1"/>
    <col min="2" max="48" width="22.81640625" style="28" customWidth="1"/>
    <col min="49" max="16384" width="10" style="28"/>
  </cols>
  <sheetData>
    <row r="1" spans="1:48" ht="20" x14ac:dyDescent="0.4">
      <c r="A1" s="40" t="s">
        <v>227</v>
      </c>
      <c r="B1" s="41"/>
      <c r="C1" s="41"/>
      <c r="D1" s="41"/>
      <c r="E1" s="41"/>
      <c r="F1" s="41"/>
      <c r="G1" s="41"/>
      <c r="H1" s="41"/>
      <c r="I1" s="41"/>
    </row>
    <row r="2" spans="1:48" ht="15.5" x14ac:dyDescent="0.35">
      <c r="A2" s="42" t="str">
        <f>IF(title="&gt; Enter workbook title here","Enter workbook title in Cover sheet",title)</f>
        <v>Fire Northern Ireland - Consolidated Factor Spreadsheet</v>
      </c>
      <c r="B2" s="43"/>
      <c r="C2" s="43"/>
      <c r="D2" s="43"/>
      <c r="E2" s="43"/>
      <c r="F2" s="43"/>
      <c r="G2" s="43"/>
      <c r="H2" s="43"/>
      <c r="I2" s="43"/>
    </row>
    <row r="3" spans="1:48" ht="15.5" x14ac:dyDescent="0.35">
      <c r="A3" s="44" t="str">
        <f>TABLE_FACTOR_TYPE_1&amp;" - x-"&amp;TABLE_SERIES_NUMBER_1</f>
        <v>Pension Debit - x-325</v>
      </c>
      <c r="B3" s="43"/>
      <c r="C3" s="43"/>
      <c r="D3" s="43"/>
      <c r="E3" s="43"/>
      <c r="F3" s="43"/>
      <c r="G3" s="43"/>
      <c r="H3" s="43"/>
      <c r="I3" s="43"/>
    </row>
    <row r="4" spans="1:48" x14ac:dyDescent="0.25">
      <c r="A4" s="45"/>
    </row>
    <row r="6" spans="1:48" ht="13" x14ac:dyDescent="0.3">
      <c r="A6" s="75" t="s">
        <v>562</v>
      </c>
      <c r="B6" s="159" t="s">
        <v>563</v>
      </c>
      <c r="C6" s="159"/>
      <c r="D6" s="159"/>
      <c r="E6" s="159"/>
      <c r="F6" s="159"/>
      <c r="G6" s="159"/>
      <c r="H6" s="159"/>
      <c r="I6" s="159"/>
      <c r="J6" s="159"/>
      <c r="K6" s="159"/>
      <c r="L6" s="159"/>
      <c r="M6" s="159"/>
      <c r="N6" s="159"/>
      <c r="O6" s="159"/>
      <c r="P6" s="159"/>
      <c r="Q6" s="159"/>
      <c r="R6" s="159"/>
      <c r="S6" s="159"/>
      <c r="T6" s="159"/>
      <c r="U6" s="159"/>
      <c r="V6" s="159"/>
      <c r="W6" s="159"/>
      <c r="X6" s="159"/>
      <c r="Y6" s="159"/>
      <c r="Z6" s="159"/>
      <c r="AA6" s="159"/>
      <c r="AB6" s="159"/>
      <c r="AC6" s="159"/>
      <c r="AD6" s="159"/>
      <c r="AE6" s="159"/>
      <c r="AF6" s="159"/>
      <c r="AG6" s="159"/>
      <c r="AH6" s="159"/>
      <c r="AI6" s="159"/>
      <c r="AJ6" s="159"/>
      <c r="AK6" s="159"/>
      <c r="AL6" s="159"/>
      <c r="AM6" s="159"/>
      <c r="AN6" s="159"/>
      <c r="AO6" s="159"/>
      <c r="AP6" s="159"/>
      <c r="AQ6" s="159"/>
      <c r="AR6" s="159"/>
      <c r="AS6" s="159"/>
      <c r="AT6" s="159"/>
      <c r="AU6" s="159"/>
      <c r="AV6" s="159"/>
    </row>
    <row r="7" spans="1:48" x14ac:dyDescent="0.25">
      <c r="A7" s="77" t="s">
        <v>305</v>
      </c>
      <c r="B7" s="159" t="s">
        <v>319</v>
      </c>
      <c r="C7" s="159"/>
      <c r="D7" s="159"/>
      <c r="E7" s="159"/>
      <c r="F7" s="159"/>
      <c r="G7" s="159"/>
      <c r="H7" s="159"/>
      <c r="I7" s="159"/>
      <c r="J7" s="159"/>
      <c r="K7" s="159"/>
      <c r="L7" s="159"/>
      <c r="M7" s="159"/>
      <c r="N7" s="159"/>
      <c r="O7" s="159"/>
      <c r="P7" s="159"/>
      <c r="Q7" s="159"/>
      <c r="R7" s="159"/>
      <c r="S7" s="159"/>
      <c r="T7" s="159"/>
      <c r="U7" s="159"/>
      <c r="V7" s="159"/>
      <c r="W7" s="159"/>
      <c r="X7" s="159"/>
      <c r="Y7" s="159"/>
      <c r="Z7" s="159"/>
      <c r="AA7" s="159"/>
      <c r="AB7" s="159"/>
      <c r="AC7" s="159"/>
      <c r="AD7" s="159"/>
      <c r="AE7" s="159"/>
      <c r="AF7" s="159"/>
      <c r="AG7" s="159"/>
      <c r="AH7" s="159"/>
      <c r="AI7" s="159"/>
      <c r="AJ7" s="159"/>
      <c r="AK7" s="159"/>
      <c r="AL7" s="159"/>
      <c r="AM7" s="159"/>
      <c r="AN7" s="159"/>
      <c r="AO7" s="159"/>
      <c r="AP7" s="159"/>
      <c r="AQ7" s="159"/>
      <c r="AR7" s="159"/>
      <c r="AS7" s="159"/>
      <c r="AT7" s="159"/>
      <c r="AU7" s="159"/>
      <c r="AV7" s="159"/>
    </row>
    <row r="8" spans="1:48" x14ac:dyDescent="0.25">
      <c r="A8" s="77" t="s">
        <v>306</v>
      </c>
      <c r="B8" s="159" t="s">
        <v>332</v>
      </c>
      <c r="C8" s="159"/>
      <c r="D8" s="159"/>
      <c r="E8" s="159"/>
      <c r="F8" s="159"/>
      <c r="G8" s="159"/>
      <c r="H8" s="159"/>
      <c r="I8" s="159"/>
      <c r="J8" s="159"/>
      <c r="K8" s="159"/>
      <c r="L8" s="159"/>
      <c r="M8" s="159"/>
      <c r="N8" s="159"/>
      <c r="O8" s="159"/>
      <c r="P8" s="159"/>
      <c r="Q8" s="159"/>
      <c r="R8" s="159"/>
      <c r="S8" s="159"/>
      <c r="T8" s="159"/>
      <c r="U8" s="159"/>
      <c r="V8" s="159"/>
      <c r="W8" s="159"/>
      <c r="X8" s="159"/>
      <c r="Y8" s="159"/>
      <c r="Z8" s="159"/>
      <c r="AA8" s="159"/>
      <c r="AB8" s="159"/>
      <c r="AC8" s="159"/>
      <c r="AD8" s="159"/>
      <c r="AE8" s="159"/>
      <c r="AF8" s="159"/>
      <c r="AG8" s="159"/>
      <c r="AH8" s="159"/>
      <c r="AI8" s="159"/>
      <c r="AJ8" s="159"/>
      <c r="AK8" s="159"/>
      <c r="AL8" s="159"/>
      <c r="AM8" s="159"/>
      <c r="AN8" s="159"/>
      <c r="AO8" s="159"/>
      <c r="AP8" s="159"/>
      <c r="AQ8" s="159"/>
      <c r="AR8" s="159"/>
      <c r="AS8" s="159"/>
      <c r="AT8" s="159"/>
      <c r="AU8" s="159"/>
      <c r="AV8" s="159"/>
    </row>
    <row r="9" spans="1:48" x14ac:dyDescent="0.25">
      <c r="A9" s="77" t="s">
        <v>307</v>
      </c>
      <c r="B9" s="159" t="s">
        <v>402</v>
      </c>
      <c r="C9" s="159"/>
      <c r="D9" s="159"/>
      <c r="E9" s="159"/>
      <c r="F9" s="159"/>
      <c r="G9" s="159"/>
      <c r="H9" s="159"/>
      <c r="I9" s="159"/>
      <c r="J9" s="159"/>
      <c r="K9" s="159"/>
      <c r="L9" s="159"/>
      <c r="M9" s="159"/>
      <c r="N9" s="159"/>
      <c r="O9" s="159"/>
      <c r="P9" s="159"/>
      <c r="Q9" s="159"/>
      <c r="R9" s="159"/>
      <c r="S9" s="159"/>
      <c r="T9" s="159"/>
      <c r="U9" s="159"/>
      <c r="V9" s="159"/>
      <c r="W9" s="159"/>
      <c r="X9" s="159"/>
      <c r="Y9" s="159"/>
      <c r="Z9" s="159"/>
      <c r="AA9" s="159"/>
      <c r="AB9" s="159"/>
      <c r="AC9" s="159"/>
      <c r="AD9" s="159"/>
      <c r="AE9" s="159"/>
      <c r="AF9" s="159"/>
      <c r="AG9" s="159"/>
      <c r="AH9" s="159"/>
      <c r="AI9" s="159"/>
      <c r="AJ9" s="159"/>
      <c r="AK9" s="159"/>
      <c r="AL9" s="159"/>
      <c r="AM9" s="159"/>
      <c r="AN9" s="159"/>
      <c r="AO9" s="159"/>
      <c r="AP9" s="159"/>
      <c r="AQ9" s="159"/>
      <c r="AR9" s="159"/>
      <c r="AS9" s="159"/>
      <c r="AT9" s="159"/>
      <c r="AU9" s="159"/>
      <c r="AV9" s="159"/>
    </row>
    <row r="10" spans="1:48" x14ac:dyDescent="0.25">
      <c r="A10" s="77" t="s">
        <v>233</v>
      </c>
      <c r="B10" s="159" t="s">
        <v>425</v>
      </c>
      <c r="C10" s="159"/>
      <c r="D10" s="159"/>
      <c r="E10" s="159"/>
      <c r="F10" s="159"/>
      <c r="G10" s="159"/>
      <c r="H10" s="159"/>
      <c r="I10" s="159"/>
      <c r="J10" s="159"/>
      <c r="K10" s="159"/>
      <c r="L10" s="159"/>
      <c r="M10" s="159"/>
      <c r="N10" s="159"/>
      <c r="O10" s="159"/>
      <c r="P10" s="159"/>
      <c r="Q10" s="159"/>
      <c r="R10" s="159"/>
      <c r="S10" s="159"/>
      <c r="T10" s="159"/>
      <c r="U10" s="159"/>
      <c r="V10" s="159"/>
      <c r="W10" s="159"/>
      <c r="X10" s="159"/>
      <c r="Y10" s="159"/>
      <c r="Z10" s="159"/>
      <c r="AA10" s="159"/>
      <c r="AB10" s="159"/>
      <c r="AC10" s="159"/>
      <c r="AD10" s="159"/>
      <c r="AE10" s="159"/>
      <c r="AF10" s="159"/>
      <c r="AG10" s="159"/>
      <c r="AH10" s="159"/>
      <c r="AI10" s="159"/>
      <c r="AJ10" s="159"/>
      <c r="AK10" s="159"/>
      <c r="AL10" s="159"/>
      <c r="AM10" s="159"/>
      <c r="AN10" s="159"/>
      <c r="AO10" s="159"/>
      <c r="AP10" s="159"/>
      <c r="AQ10" s="159"/>
      <c r="AR10" s="159"/>
      <c r="AS10" s="159"/>
      <c r="AT10" s="159"/>
      <c r="AU10" s="159"/>
      <c r="AV10" s="159"/>
    </row>
    <row r="11" spans="1:48" x14ac:dyDescent="0.25">
      <c r="A11" s="77" t="s">
        <v>308</v>
      </c>
      <c r="B11" s="159" t="s">
        <v>404</v>
      </c>
      <c r="C11" s="159"/>
      <c r="D11" s="159"/>
      <c r="E11" s="159"/>
      <c r="F11" s="159"/>
      <c r="G11" s="159"/>
      <c r="H11" s="159"/>
      <c r="I11" s="159"/>
      <c r="J11" s="159"/>
      <c r="K11" s="159"/>
      <c r="L11" s="159"/>
      <c r="M11" s="159"/>
      <c r="N11" s="159"/>
      <c r="O11" s="159"/>
      <c r="P11" s="159"/>
      <c r="Q11" s="159"/>
      <c r="R11" s="159"/>
      <c r="S11" s="159"/>
      <c r="T11" s="159"/>
      <c r="U11" s="159"/>
      <c r="V11" s="159"/>
      <c r="W11" s="159"/>
      <c r="X11" s="159"/>
      <c r="Y11" s="159"/>
      <c r="Z11" s="159"/>
      <c r="AA11" s="159"/>
      <c r="AB11" s="159"/>
      <c r="AC11" s="159"/>
      <c r="AD11" s="159"/>
      <c r="AE11" s="159"/>
      <c r="AF11" s="159"/>
      <c r="AG11" s="159"/>
      <c r="AH11" s="159"/>
      <c r="AI11" s="159"/>
      <c r="AJ11" s="159"/>
      <c r="AK11" s="159"/>
      <c r="AL11" s="159"/>
      <c r="AM11" s="159"/>
      <c r="AN11" s="159"/>
      <c r="AO11" s="159"/>
      <c r="AP11" s="159"/>
      <c r="AQ11" s="159"/>
      <c r="AR11" s="159"/>
      <c r="AS11" s="159"/>
      <c r="AT11" s="159"/>
      <c r="AU11" s="159"/>
      <c r="AV11" s="159"/>
    </row>
    <row r="12" spans="1:48" x14ac:dyDescent="0.25">
      <c r="A12" s="77" t="s">
        <v>309</v>
      </c>
      <c r="B12" s="159" t="s">
        <v>415</v>
      </c>
      <c r="C12" s="159"/>
      <c r="D12" s="159"/>
      <c r="E12" s="159"/>
      <c r="F12" s="159"/>
      <c r="G12" s="159"/>
      <c r="H12" s="159"/>
      <c r="I12" s="159"/>
      <c r="J12" s="159"/>
      <c r="K12" s="159"/>
      <c r="L12" s="159"/>
      <c r="M12" s="159"/>
      <c r="N12" s="159"/>
      <c r="O12" s="159"/>
      <c r="P12" s="159"/>
      <c r="Q12" s="159"/>
      <c r="R12" s="159"/>
      <c r="S12" s="159"/>
      <c r="T12" s="159"/>
      <c r="U12" s="159"/>
      <c r="V12" s="159"/>
      <c r="W12" s="159"/>
      <c r="X12" s="159"/>
      <c r="Y12" s="159"/>
      <c r="Z12" s="159"/>
      <c r="AA12" s="159"/>
      <c r="AB12" s="159"/>
      <c r="AC12" s="159"/>
      <c r="AD12" s="159"/>
      <c r="AE12" s="159"/>
      <c r="AF12" s="159"/>
      <c r="AG12" s="159"/>
      <c r="AH12" s="159"/>
      <c r="AI12" s="159"/>
      <c r="AJ12" s="159"/>
      <c r="AK12" s="159"/>
      <c r="AL12" s="159"/>
      <c r="AM12" s="159"/>
      <c r="AN12" s="159"/>
      <c r="AO12" s="159"/>
      <c r="AP12" s="159"/>
      <c r="AQ12" s="159"/>
      <c r="AR12" s="159"/>
      <c r="AS12" s="159"/>
      <c r="AT12" s="159"/>
      <c r="AU12" s="159"/>
      <c r="AV12" s="159"/>
    </row>
    <row r="13" spans="1:48" x14ac:dyDescent="0.25">
      <c r="A13" s="77" t="s">
        <v>570</v>
      </c>
      <c r="B13" s="159">
        <v>1</v>
      </c>
      <c r="C13" s="159"/>
      <c r="D13" s="159"/>
      <c r="E13" s="159"/>
      <c r="F13" s="159"/>
      <c r="G13" s="159"/>
      <c r="H13" s="159"/>
      <c r="I13" s="159"/>
      <c r="J13" s="159"/>
      <c r="K13" s="159"/>
      <c r="L13" s="159"/>
      <c r="M13" s="159"/>
      <c r="N13" s="159"/>
      <c r="O13" s="159"/>
      <c r="P13" s="159"/>
      <c r="Q13" s="159"/>
      <c r="R13" s="159"/>
      <c r="S13" s="159"/>
      <c r="T13" s="159"/>
      <c r="U13" s="159"/>
      <c r="V13" s="159"/>
      <c r="W13" s="159"/>
      <c r="X13" s="159"/>
      <c r="Y13" s="159"/>
      <c r="Z13" s="159"/>
      <c r="AA13" s="159"/>
      <c r="AB13" s="159"/>
      <c r="AC13" s="159"/>
      <c r="AD13" s="159"/>
      <c r="AE13" s="159"/>
      <c r="AF13" s="159"/>
      <c r="AG13" s="159"/>
      <c r="AH13" s="159"/>
      <c r="AI13" s="159"/>
      <c r="AJ13" s="159"/>
      <c r="AK13" s="159"/>
      <c r="AL13" s="159"/>
      <c r="AM13" s="159"/>
      <c r="AN13" s="159"/>
      <c r="AO13" s="159"/>
      <c r="AP13" s="159"/>
      <c r="AQ13" s="159"/>
      <c r="AR13" s="159"/>
      <c r="AS13" s="159"/>
      <c r="AT13" s="159"/>
      <c r="AU13" s="159"/>
      <c r="AV13" s="159"/>
    </row>
    <row r="14" spans="1:48" x14ac:dyDescent="0.25">
      <c r="A14" s="77" t="s">
        <v>311</v>
      </c>
      <c r="B14" s="159">
        <v>325</v>
      </c>
      <c r="C14" s="159"/>
      <c r="D14" s="159"/>
      <c r="E14" s="159"/>
      <c r="F14" s="159"/>
      <c r="G14" s="159"/>
      <c r="H14" s="159"/>
      <c r="I14" s="159"/>
      <c r="J14" s="159"/>
      <c r="K14" s="159"/>
      <c r="L14" s="159"/>
      <c r="M14" s="159"/>
      <c r="N14" s="159"/>
      <c r="O14" s="159"/>
      <c r="P14" s="159"/>
      <c r="Q14" s="159"/>
      <c r="R14" s="159"/>
      <c r="S14" s="159"/>
      <c r="T14" s="159"/>
      <c r="U14" s="159"/>
      <c r="V14" s="159"/>
      <c r="W14" s="159"/>
      <c r="X14" s="159"/>
      <c r="Y14" s="159"/>
      <c r="Z14" s="159"/>
      <c r="AA14" s="159"/>
      <c r="AB14" s="159"/>
      <c r="AC14" s="159"/>
      <c r="AD14" s="159"/>
      <c r="AE14" s="159"/>
      <c r="AF14" s="159"/>
      <c r="AG14" s="159"/>
      <c r="AH14" s="159"/>
      <c r="AI14" s="159"/>
      <c r="AJ14" s="159"/>
      <c r="AK14" s="159"/>
      <c r="AL14" s="159"/>
      <c r="AM14" s="159"/>
      <c r="AN14" s="159"/>
      <c r="AO14" s="159"/>
      <c r="AP14" s="159"/>
      <c r="AQ14" s="159"/>
      <c r="AR14" s="159"/>
      <c r="AS14" s="159"/>
      <c r="AT14" s="159"/>
      <c r="AU14" s="159"/>
      <c r="AV14" s="159"/>
    </row>
    <row r="15" spans="1:48" x14ac:dyDescent="0.25">
      <c r="A15" s="77" t="s">
        <v>573</v>
      </c>
      <c r="B15" s="159" t="s">
        <v>426</v>
      </c>
      <c r="C15" s="159"/>
      <c r="D15" s="159"/>
      <c r="E15" s="159"/>
      <c r="F15" s="159"/>
      <c r="G15" s="159"/>
      <c r="H15" s="159"/>
      <c r="I15" s="159"/>
      <c r="J15" s="159"/>
      <c r="K15" s="159"/>
      <c r="L15" s="159"/>
      <c r="M15" s="159"/>
      <c r="N15" s="159"/>
      <c r="O15" s="159"/>
      <c r="P15" s="159"/>
      <c r="Q15" s="159"/>
      <c r="R15" s="159"/>
      <c r="S15" s="159"/>
      <c r="T15" s="159"/>
      <c r="U15" s="159"/>
      <c r="V15" s="159"/>
      <c r="W15" s="159"/>
      <c r="X15" s="159"/>
      <c r="Y15" s="159"/>
      <c r="Z15" s="159"/>
      <c r="AA15" s="159"/>
      <c r="AB15" s="159"/>
      <c r="AC15" s="159"/>
      <c r="AD15" s="159"/>
      <c r="AE15" s="159"/>
      <c r="AF15" s="159"/>
      <c r="AG15" s="159"/>
      <c r="AH15" s="159"/>
      <c r="AI15" s="159"/>
      <c r="AJ15" s="159"/>
      <c r="AK15" s="159"/>
      <c r="AL15" s="159"/>
      <c r="AM15" s="159"/>
      <c r="AN15" s="159"/>
      <c r="AO15" s="159"/>
      <c r="AP15" s="159"/>
      <c r="AQ15" s="159"/>
      <c r="AR15" s="159"/>
      <c r="AS15" s="159"/>
      <c r="AT15" s="159"/>
      <c r="AU15" s="159"/>
      <c r="AV15" s="159"/>
    </row>
    <row r="16" spans="1:48" x14ac:dyDescent="0.25">
      <c r="A16" s="77" t="s">
        <v>313</v>
      </c>
      <c r="B16" s="159" t="s">
        <v>413</v>
      </c>
      <c r="C16" s="159"/>
      <c r="D16" s="159"/>
      <c r="E16" s="159"/>
      <c r="F16" s="159"/>
      <c r="G16" s="159"/>
      <c r="H16" s="159"/>
      <c r="I16" s="159"/>
      <c r="J16" s="159"/>
      <c r="K16" s="159"/>
      <c r="L16" s="159"/>
      <c r="M16" s="159"/>
      <c r="N16" s="159"/>
      <c r="O16" s="159"/>
      <c r="P16" s="159"/>
      <c r="Q16" s="159"/>
      <c r="R16" s="159"/>
      <c r="S16" s="159"/>
      <c r="T16" s="159"/>
      <c r="U16" s="159"/>
      <c r="V16" s="159"/>
      <c r="W16" s="159"/>
      <c r="X16" s="159"/>
      <c r="Y16" s="159"/>
      <c r="Z16" s="159"/>
      <c r="AA16" s="159"/>
      <c r="AB16" s="159"/>
      <c r="AC16" s="159"/>
      <c r="AD16" s="159"/>
      <c r="AE16" s="159"/>
      <c r="AF16" s="159"/>
      <c r="AG16" s="159"/>
      <c r="AH16" s="159"/>
      <c r="AI16" s="159"/>
      <c r="AJ16" s="159"/>
      <c r="AK16" s="159"/>
      <c r="AL16" s="159"/>
      <c r="AM16" s="159"/>
      <c r="AN16" s="159"/>
      <c r="AO16" s="159"/>
      <c r="AP16" s="159"/>
      <c r="AQ16" s="159"/>
      <c r="AR16" s="159"/>
      <c r="AS16" s="159"/>
      <c r="AT16" s="159"/>
      <c r="AU16" s="159"/>
      <c r="AV16" s="159"/>
    </row>
    <row r="17" spans="1:48" x14ac:dyDescent="0.25">
      <c r="A17" s="77" t="s">
        <v>642</v>
      </c>
      <c r="B17" s="159"/>
      <c r="C17" s="159"/>
      <c r="D17" s="159"/>
      <c r="E17" s="159"/>
      <c r="F17" s="159"/>
      <c r="G17" s="159"/>
      <c r="H17" s="159"/>
      <c r="I17" s="159"/>
      <c r="J17" s="159"/>
      <c r="K17" s="159"/>
      <c r="L17" s="159"/>
      <c r="M17" s="159"/>
      <c r="N17" s="159"/>
      <c r="O17" s="159"/>
      <c r="P17" s="159"/>
      <c r="Q17" s="159"/>
      <c r="R17" s="159"/>
      <c r="S17" s="159"/>
      <c r="T17" s="159"/>
      <c r="U17" s="159"/>
      <c r="V17" s="159"/>
      <c r="W17" s="159"/>
      <c r="X17" s="159"/>
      <c r="Y17" s="159"/>
      <c r="Z17" s="159"/>
      <c r="AA17" s="159"/>
      <c r="AB17" s="159"/>
      <c r="AC17" s="159"/>
      <c r="AD17" s="159"/>
      <c r="AE17" s="159"/>
      <c r="AF17" s="159"/>
      <c r="AG17" s="159"/>
      <c r="AH17" s="159"/>
      <c r="AI17" s="159"/>
      <c r="AJ17" s="159"/>
      <c r="AK17" s="159"/>
      <c r="AL17" s="159"/>
      <c r="AM17" s="159"/>
      <c r="AN17" s="159"/>
      <c r="AO17" s="159"/>
      <c r="AP17" s="159"/>
      <c r="AQ17" s="159"/>
      <c r="AR17" s="159"/>
      <c r="AS17" s="159"/>
      <c r="AT17" s="159"/>
      <c r="AU17" s="159"/>
      <c r="AV17" s="159"/>
    </row>
    <row r="18" spans="1:48" x14ac:dyDescent="0.25">
      <c r="A18" s="77" t="s">
        <v>315</v>
      </c>
      <c r="B18" s="161">
        <v>45070</v>
      </c>
      <c r="C18" s="159"/>
      <c r="D18" s="159"/>
      <c r="E18" s="159"/>
      <c r="F18" s="159"/>
      <c r="G18" s="159"/>
      <c r="H18" s="159"/>
      <c r="I18" s="159"/>
      <c r="J18" s="159"/>
      <c r="K18" s="159"/>
      <c r="L18" s="159"/>
      <c r="M18" s="159"/>
      <c r="N18" s="159"/>
      <c r="O18" s="159"/>
      <c r="P18" s="159"/>
      <c r="Q18" s="159"/>
      <c r="R18" s="159"/>
      <c r="S18" s="159"/>
      <c r="T18" s="159"/>
      <c r="U18" s="159"/>
      <c r="V18" s="159"/>
      <c r="W18" s="159"/>
      <c r="X18" s="159"/>
      <c r="Y18" s="159"/>
      <c r="Z18" s="159"/>
      <c r="AA18" s="159"/>
      <c r="AB18" s="159"/>
      <c r="AC18" s="159"/>
      <c r="AD18" s="159"/>
      <c r="AE18" s="159"/>
      <c r="AF18" s="159"/>
      <c r="AG18" s="159"/>
      <c r="AH18" s="159"/>
      <c r="AI18" s="159"/>
      <c r="AJ18" s="159"/>
      <c r="AK18" s="159"/>
      <c r="AL18" s="159"/>
      <c r="AM18" s="159"/>
      <c r="AN18" s="159"/>
      <c r="AO18" s="159"/>
      <c r="AP18" s="159"/>
      <c r="AQ18" s="159"/>
      <c r="AR18" s="159"/>
      <c r="AS18" s="159"/>
      <c r="AT18" s="159"/>
      <c r="AU18" s="159"/>
      <c r="AV18" s="159"/>
    </row>
    <row r="19" spans="1:48" x14ac:dyDescent="0.25">
      <c r="A19" s="77" t="s">
        <v>316</v>
      </c>
      <c r="B19" s="161">
        <v>45014</v>
      </c>
      <c r="C19" s="159"/>
      <c r="D19" s="159"/>
      <c r="E19" s="159"/>
      <c r="F19" s="159"/>
      <c r="G19" s="159"/>
      <c r="H19" s="159"/>
      <c r="I19" s="159"/>
      <c r="J19" s="159"/>
      <c r="K19" s="159"/>
      <c r="L19" s="159"/>
      <c r="M19" s="159"/>
      <c r="N19" s="159"/>
      <c r="O19" s="159"/>
      <c r="P19" s="159"/>
      <c r="Q19" s="159"/>
      <c r="R19" s="159"/>
      <c r="S19" s="159"/>
      <c r="T19" s="159"/>
      <c r="U19" s="159"/>
      <c r="V19" s="159"/>
      <c r="W19" s="159"/>
      <c r="X19" s="159"/>
      <c r="Y19" s="159"/>
      <c r="Z19" s="159"/>
      <c r="AA19" s="159"/>
      <c r="AB19" s="159"/>
      <c r="AC19" s="159"/>
      <c r="AD19" s="159"/>
      <c r="AE19" s="159"/>
      <c r="AF19" s="159"/>
      <c r="AG19" s="159"/>
      <c r="AH19" s="159"/>
      <c r="AI19" s="159"/>
      <c r="AJ19" s="159"/>
      <c r="AK19" s="159"/>
      <c r="AL19" s="159"/>
      <c r="AM19" s="159"/>
      <c r="AN19" s="159"/>
      <c r="AO19" s="159"/>
      <c r="AP19" s="159"/>
      <c r="AQ19" s="159"/>
      <c r="AR19" s="159"/>
      <c r="AS19" s="159"/>
      <c r="AT19" s="159"/>
      <c r="AU19" s="159"/>
      <c r="AV19" s="159"/>
    </row>
    <row r="20" spans="1:48" x14ac:dyDescent="0.25">
      <c r="A20" s="77" t="s">
        <v>317</v>
      </c>
      <c r="B20" s="159" t="s">
        <v>327</v>
      </c>
      <c r="C20" s="159"/>
      <c r="D20" s="159"/>
      <c r="E20" s="159"/>
      <c r="F20" s="159"/>
      <c r="G20" s="159"/>
      <c r="H20" s="159"/>
      <c r="I20" s="159"/>
      <c r="J20" s="159"/>
      <c r="K20" s="159"/>
      <c r="L20" s="159"/>
      <c r="M20" s="159"/>
      <c r="N20" s="159"/>
      <c r="O20" s="159"/>
      <c r="P20" s="159"/>
      <c r="Q20" s="159"/>
      <c r="R20" s="159"/>
      <c r="S20" s="159"/>
      <c r="T20" s="159"/>
      <c r="U20" s="159"/>
      <c r="V20" s="159"/>
      <c r="W20" s="159"/>
      <c r="X20" s="159"/>
      <c r="Y20" s="159"/>
      <c r="Z20" s="159"/>
      <c r="AA20" s="159"/>
      <c r="AB20" s="159"/>
      <c r="AC20" s="159"/>
      <c r="AD20" s="159"/>
      <c r="AE20" s="159"/>
      <c r="AF20" s="159"/>
      <c r="AG20" s="159"/>
      <c r="AH20" s="159"/>
      <c r="AI20" s="159"/>
      <c r="AJ20" s="159"/>
      <c r="AK20" s="159"/>
      <c r="AL20" s="159"/>
      <c r="AM20" s="159"/>
      <c r="AN20" s="159"/>
      <c r="AO20" s="159"/>
      <c r="AP20" s="159"/>
      <c r="AQ20" s="159"/>
      <c r="AR20" s="159"/>
      <c r="AS20" s="159"/>
      <c r="AT20" s="159"/>
      <c r="AU20" s="159"/>
      <c r="AV20" s="159"/>
    </row>
    <row r="21" spans="1:48" x14ac:dyDescent="0.25">
      <c r="A21" s="77" t="s">
        <v>318</v>
      </c>
      <c r="B21" s="159" t="s">
        <v>328</v>
      </c>
      <c r="C21" s="159"/>
      <c r="D21" s="159"/>
      <c r="E21" s="159"/>
      <c r="F21" s="159"/>
      <c r="G21" s="159"/>
      <c r="H21" s="159"/>
      <c r="I21" s="159"/>
      <c r="J21" s="159"/>
      <c r="K21" s="159"/>
      <c r="L21" s="159"/>
      <c r="M21" s="159"/>
      <c r="N21" s="159"/>
      <c r="O21" s="159"/>
      <c r="P21" s="159"/>
      <c r="Q21" s="159"/>
      <c r="R21" s="159"/>
      <c r="S21" s="159"/>
      <c r="T21" s="159"/>
      <c r="U21" s="159"/>
      <c r="V21" s="159"/>
      <c r="W21" s="159"/>
      <c r="X21" s="159"/>
      <c r="Y21" s="159"/>
      <c r="Z21" s="159"/>
      <c r="AA21" s="159"/>
      <c r="AB21" s="159"/>
      <c r="AC21" s="159"/>
      <c r="AD21" s="159"/>
      <c r="AE21" s="159"/>
      <c r="AF21" s="159"/>
      <c r="AG21" s="159"/>
      <c r="AH21" s="159"/>
      <c r="AI21" s="159"/>
      <c r="AJ21" s="159"/>
      <c r="AK21" s="159"/>
      <c r="AL21" s="159"/>
      <c r="AM21" s="159"/>
      <c r="AN21" s="159"/>
      <c r="AO21" s="159"/>
      <c r="AP21" s="159"/>
      <c r="AQ21" s="159"/>
      <c r="AR21" s="159"/>
      <c r="AS21" s="159"/>
      <c r="AT21" s="159"/>
      <c r="AU21" s="159"/>
      <c r="AV21" s="159"/>
    </row>
    <row r="23" spans="1:48" x14ac:dyDescent="0.25">
      <c r="B23" s="91" t="str">
        <f>HYPERLINK("#'Factor List'!A1","Back to Factor List")</f>
        <v>Back to Factor List</v>
      </c>
    </row>
    <row r="24" spans="1:48" x14ac:dyDescent="0.25">
      <c r="B24" s="91" t="s">
        <v>240</v>
      </c>
    </row>
    <row r="25" spans="1:48" x14ac:dyDescent="0.25">
      <c r="B25" s="91"/>
    </row>
    <row r="26" spans="1:48" ht="13" x14ac:dyDescent="0.25">
      <c r="A26" s="87" t="s">
        <v>667</v>
      </c>
      <c r="B26" s="87">
        <v>18</v>
      </c>
      <c r="C26" s="87">
        <v>19</v>
      </c>
      <c r="D26" s="87">
        <v>20</v>
      </c>
      <c r="E26" s="87">
        <v>21</v>
      </c>
      <c r="F26" s="87">
        <v>22</v>
      </c>
      <c r="G26" s="87">
        <v>23</v>
      </c>
      <c r="H26" s="87">
        <v>24</v>
      </c>
      <c r="I26" s="87">
        <v>25</v>
      </c>
      <c r="J26" s="87">
        <v>26</v>
      </c>
      <c r="K26" s="87">
        <v>27</v>
      </c>
      <c r="L26" s="87">
        <v>28</v>
      </c>
      <c r="M26" s="87">
        <v>29</v>
      </c>
      <c r="N26" s="87">
        <v>30</v>
      </c>
      <c r="O26" s="87">
        <v>31</v>
      </c>
      <c r="P26" s="87">
        <v>32</v>
      </c>
      <c r="Q26" s="87">
        <v>33</v>
      </c>
      <c r="R26" s="87">
        <v>34</v>
      </c>
      <c r="S26" s="87">
        <v>35</v>
      </c>
      <c r="T26" s="87">
        <v>36</v>
      </c>
      <c r="U26" s="87">
        <v>37</v>
      </c>
      <c r="V26" s="87">
        <v>38</v>
      </c>
      <c r="W26" s="87">
        <v>39</v>
      </c>
      <c r="X26" s="87">
        <v>40</v>
      </c>
      <c r="Y26" s="87">
        <v>41</v>
      </c>
      <c r="Z26" s="87">
        <v>42</v>
      </c>
      <c r="AA26" s="87">
        <v>43</v>
      </c>
      <c r="AB26" s="87">
        <v>44</v>
      </c>
      <c r="AC26" s="87">
        <v>45</v>
      </c>
      <c r="AD26" s="87">
        <v>46</v>
      </c>
      <c r="AE26" s="87">
        <v>47</v>
      </c>
      <c r="AF26" s="87">
        <v>48</v>
      </c>
      <c r="AG26" s="87">
        <v>49</v>
      </c>
      <c r="AH26" s="87">
        <v>50</v>
      </c>
      <c r="AI26" s="87">
        <v>51</v>
      </c>
      <c r="AJ26" s="87">
        <v>52</v>
      </c>
      <c r="AK26" s="87">
        <v>53</v>
      </c>
      <c r="AL26" s="87">
        <v>54</v>
      </c>
      <c r="AM26" s="87">
        <v>55</v>
      </c>
      <c r="AN26" s="87">
        <v>56</v>
      </c>
      <c r="AO26" s="87">
        <v>57</v>
      </c>
      <c r="AP26" s="87">
        <v>58</v>
      </c>
      <c r="AQ26" s="87">
        <v>59</v>
      </c>
      <c r="AR26" s="87">
        <v>60</v>
      </c>
      <c r="AS26" s="87">
        <v>61</v>
      </c>
      <c r="AT26" s="87">
        <v>62</v>
      </c>
      <c r="AU26" s="87">
        <v>63</v>
      </c>
      <c r="AV26" s="87">
        <v>64</v>
      </c>
    </row>
    <row r="27" spans="1:48" x14ac:dyDescent="0.25">
      <c r="A27" s="88">
        <v>0</v>
      </c>
      <c r="B27" s="90">
        <v>0.21199999999999999</v>
      </c>
      <c r="C27" s="90">
        <v>0.216</v>
      </c>
      <c r="D27" s="90">
        <v>0.221</v>
      </c>
      <c r="E27" s="90">
        <v>0.22700000000000001</v>
      </c>
      <c r="F27" s="90">
        <v>0.23200000000000001</v>
      </c>
      <c r="G27" s="90">
        <v>0.23699999999999999</v>
      </c>
      <c r="H27" s="90">
        <v>0.24299999999999999</v>
      </c>
      <c r="I27" s="90">
        <v>0.249</v>
      </c>
      <c r="J27" s="90">
        <v>0.255</v>
      </c>
      <c r="K27" s="90">
        <v>0.26100000000000001</v>
      </c>
      <c r="L27" s="90">
        <v>0.26700000000000002</v>
      </c>
      <c r="M27" s="90">
        <v>0.27400000000000002</v>
      </c>
      <c r="N27" s="90">
        <v>0.28100000000000003</v>
      </c>
      <c r="O27" s="90">
        <v>0.28799999999999998</v>
      </c>
      <c r="P27" s="90">
        <v>0.29599999999999999</v>
      </c>
      <c r="Q27" s="90">
        <v>0.30399999999999999</v>
      </c>
      <c r="R27" s="90">
        <v>0.312</v>
      </c>
      <c r="S27" s="90">
        <v>0.32100000000000001</v>
      </c>
      <c r="T27" s="90">
        <v>0.33</v>
      </c>
      <c r="U27" s="90">
        <v>0.33900000000000002</v>
      </c>
      <c r="V27" s="90">
        <v>0.34899999999999998</v>
      </c>
      <c r="W27" s="90">
        <v>0.35899999999999999</v>
      </c>
      <c r="X27" s="90">
        <v>0.36899999999999999</v>
      </c>
      <c r="Y27" s="90">
        <v>0.38100000000000001</v>
      </c>
      <c r="Z27" s="90">
        <v>0.39200000000000002</v>
      </c>
      <c r="AA27" s="90">
        <v>0.40500000000000003</v>
      </c>
      <c r="AB27" s="90">
        <v>0.41799999999999998</v>
      </c>
      <c r="AC27" s="90">
        <v>0.43099999999999999</v>
      </c>
      <c r="AD27" s="90">
        <v>0.44600000000000001</v>
      </c>
      <c r="AE27" s="90">
        <v>0.46100000000000002</v>
      </c>
      <c r="AF27" s="90">
        <v>0.47699999999999998</v>
      </c>
      <c r="AG27" s="90">
        <v>0.49399999999999999</v>
      </c>
      <c r="AH27" s="90">
        <v>0.51200000000000001</v>
      </c>
      <c r="AI27" s="90">
        <v>0.53100000000000003</v>
      </c>
      <c r="AJ27" s="90">
        <v>0.55100000000000005</v>
      </c>
      <c r="AK27" s="90">
        <v>0.57199999999999995</v>
      </c>
      <c r="AL27" s="90">
        <v>0.59499999999999997</v>
      </c>
      <c r="AM27" s="90">
        <v>0.62</v>
      </c>
      <c r="AN27" s="90">
        <v>0.64600000000000002</v>
      </c>
      <c r="AO27" s="90">
        <v>0.67400000000000004</v>
      </c>
      <c r="AP27" s="90">
        <v>0.70499999999999996</v>
      </c>
      <c r="AQ27" s="90">
        <v>0.73699999999999999</v>
      </c>
      <c r="AR27" s="90">
        <v>0.77200000000000002</v>
      </c>
      <c r="AS27" s="90">
        <v>0.81100000000000005</v>
      </c>
      <c r="AT27" s="90">
        <v>0.85199999999999998</v>
      </c>
      <c r="AU27" s="90">
        <v>0.89700000000000002</v>
      </c>
      <c r="AV27" s="90">
        <v>0.94599999999999995</v>
      </c>
    </row>
    <row r="28" spans="1:48" x14ac:dyDescent="0.25">
      <c r="A28" s="88">
        <v>1</v>
      </c>
      <c r="B28" s="90">
        <v>0.21199999999999999</v>
      </c>
      <c r="C28" s="90">
        <v>0.217</v>
      </c>
      <c r="D28" s="90">
        <v>0.222</v>
      </c>
      <c r="E28" s="90">
        <v>0.22700000000000001</v>
      </c>
      <c r="F28" s="90">
        <v>0.23200000000000001</v>
      </c>
      <c r="G28" s="90">
        <v>0.23799999999999999</v>
      </c>
      <c r="H28" s="90">
        <v>0.24299999999999999</v>
      </c>
      <c r="I28" s="90">
        <v>0.249</v>
      </c>
      <c r="J28" s="90">
        <v>0.255</v>
      </c>
      <c r="K28" s="90">
        <v>0.26200000000000001</v>
      </c>
      <c r="L28" s="90">
        <v>0.26800000000000002</v>
      </c>
      <c r="M28" s="90">
        <v>0.27500000000000002</v>
      </c>
      <c r="N28" s="90">
        <v>0.28199999999999997</v>
      </c>
      <c r="O28" s="90">
        <v>0.28899999999999998</v>
      </c>
      <c r="P28" s="90">
        <v>0.29699999999999999</v>
      </c>
      <c r="Q28" s="90">
        <v>0.30499999999999999</v>
      </c>
      <c r="R28" s="90">
        <v>0.313</v>
      </c>
      <c r="S28" s="90">
        <v>0.32100000000000001</v>
      </c>
      <c r="T28" s="90">
        <v>0.33</v>
      </c>
      <c r="U28" s="90">
        <v>0.34</v>
      </c>
      <c r="V28" s="90">
        <v>0.35</v>
      </c>
      <c r="W28" s="90">
        <v>0.36</v>
      </c>
      <c r="X28" s="90">
        <v>0.37</v>
      </c>
      <c r="Y28" s="90">
        <v>0.38200000000000001</v>
      </c>
      <c r="Z28" s="90">
        <v>0.39300000000000002</v>
      </c>
      <c r="AA28" s="90">
        <v>0.40600000000000003</v>
      </c>
      <c r="AB28" s="90">
        <v>0.41899999999999998</v>
      </c>
      <c r="AC28" s="90">
        <v>0.432</v>
      </c>
      <c r="AD28" s="90">
        <v>0.44700000000000001</v>
      </c>
      <c r="AE28" s="90">
        <v>0.46200000000000002</v>
      </c>
      <c r="AF28" s="90">
        <v>0.47799999999999998</v>
      </c>
      <c r="AG28" s="90">
        <v>0.495</v>
      </c>
      <c r="AH28" s="90">
        <v>0.51300000000000001</v>
      </c>
      <c r="AI28" s="90">
        <v>0.53200000000000003</v>
      </c>
      <c r="AJ28" s="90">
        <v>0.55300000000000005</v>
      </c>
      <c r="AK28" s="90">
        <v>0.57399999999999995</v>
      </c>
      <c r="AL28" s="90">
        <v>0.59699999999999998</v>
      </c>
      <c r="AM28" s="90">
        <v>0.622</v>
      </c>
      <c r="AN28" s="90">
        <v>0.64800000000000002</v>
      </c>
      <c r="AO28" s="90">
        <v>0.67700000000000005</v>
      </c>
      <c r="AP28" s="90">
        <v>0.70699999999999996</v>
      </c>
      <c r="AQ28" s="90">
        <v>0.74</v>
      </c>
      <c r="AR28" s="90">
        <v>0.77600000000000002</v>
      </c>
      <c r="AS28" s="90">
        <v>0.81399999999999995</v>
      </c>
      <c r="AT28" s="90">
        <v>0.85599999999999998</v>
      </c>
      <c r="AU28" s="90">
        <v>0.90100000000000002</v>
      </c>
      <c r="AV28" s="90">
        <v>0.95099999999999996</v>
      </c>
    </row>
    <row r="29" spans="1:48" x14ac:dyDescent="0.25">
      <c r="A29" s="88">
        <v>2</v>
      </c>
      <c r="B29" s="90">
        <v>0.21299999999999999</v>
      </c>
      <c r="C29" s="90">
        <v>0.217</v>
      </c>
      <c r="D29" s="90">
        <v>0.222</v>
      </c>
      <c r="E29" s="90">
        <v>0.22700000000000001</v>
      </c>
      <c r="F29" s="90">
        <v>0.23300000000000001</v>
      </c>
      <c r="G29" s="90">
        <v>0.23799999999999999</v>
      </c>
      <c r="H29" s="90">
        <v>0.24399999999999999</v>
      </c>
      <c r="I29" s="90">
        <v>0.25</v>
      </c>
      <c r="J29" s="90">
        <v>0.25600000000000001</v>
      </c>
      <c r="K29" s="90">
        <v>0.26200000000000001</v>
      </c>
      <c r="L29" s="90">
        <v>0.26900000000000002</v>
      </c>
      <c r="M29" s="90">
        <v>0.27500000000000002</v>
      </c>
      <c r="N29" s="90">
        <v>0.28199999999999997</v>
      </c>
      <c r="O29" s="90">
        <v>0.28999999999999998</v>
      </c>
      <c r="P29" s="90">
        <v>0.29699999999999999</v>
      </c>
      <c r="Q29" s="90">
        <v>0.30499999999999999</v>
      </c>
      <c r="R29" s="90">
        <v>0.314</v>
      </c>
      <c r="S29" s="90">
        <v>0.32200000000000001</v>
      </c>
      <c r="T29" s="90">
        <v>0.33100000000000002</v>
      </c>
      <c r="U29" s="90">
        <v>0.34100000000000003</v>
      </c>
      <c r="V29" s="90">
        <v>0.35</v>
      </c>
      <c r="W29" s="90">
        <v>0.36099999999999999</v>
      </c>
      <c r="X29" s="90">
        <v>0.371</v>
      </c>
      <c r="Y29" s="90">
        <v>0.38300000000000001</v>
      </c>
      <c r="Z29" s="90">
        <v>0.39400000000000002</v>
      </c>
      <c r="AA29" s="90">
        <v>0.40699999999999997</v>
      </c>
      <c r="AB29" s="90">
        <v>0.42</v>
      </c>
      <c r="AC29" s="90">
        <v>0.434</v>
      </c>
      <c r="AD29" s="90">
        <v>0.44800000000000001</v>
      </c>
      <c r="AE29" s="90">
        <v>0.46300000000000002</v>
      </c>
      <c r="AF29" s="90">
        <v>0.48</v>
      </c>
      <c r="AG29" s="90">
        <v>0.497</v>
      </c>
      <c r="AH29" s="90">
        <v>0.51500000000000001</v>
      </c>
      <c r="AI29" s="90">
        <v>0.53400000000000003</v>
      </c>
      <c r="AJ29" s="90">
        <v>0.55400000000000005</v>
      </c>
      <c r="AK29" s="90">
        <v>0.57599999999999996</v>
      </c>
      <c r="AL29" s="90">
        <v>0.59899999999999998</v>
      </c>
      <c r="AM29" s="90">
        <v>0.624</v>
      </c>
      <c r="AN29" s="90">
        <v>0.65100000000000002</v>
      </c>
      <c r="AO29" s="90">
        <v>0.67900000000000005</v>
      </c>
      <c r="AP29" s="90">
        <v>0.71</v>
      </c>
      <c r="AQ29" s="90">
        <v>0.74299999999999999</v>
      </c>
      <c r="AR29" s="90">
        <v>0.77900000000000003</v>
      </c>
      <c r="AS29" s="90">
        <v>0.81699999999999995</v>
      </c>
      <c r="AT29" s="90">
        <v>0.85899999999999999</v>
      </c>
      <c r="AU29" s="90">
        <v>0.90500000000000003</v>
      </c>
      <c r="AV29" s="90">
        <v>0.95499999999999996</v>
      </c>
    </row>
    <row r="30" spans="1:48" x14ac:dyDescent="0.25">
      <c r="A30" s="88">
        <v>3</v>
      </c>
      <c r="B30" s="90">
        <v>0.21299999999999999</v>
      </c>
      <c r="C30" s="90">
        <v>0.218</v>
      </c>
      <c r="D30" s="90">
        <v>0.223</v>
      </c>
      <c r="E30" s="90">
        <v>0.22800000000000001</v>
      </c>
      <c r="F30" s="90">
        <v>0.23300000000000001</v>
      </c>
      <c r="G30" s="90">
        <v>0.23899999999999999</v>
      </c>
      <c r="H30" s="90">
        <v>0.24399999999999999</v>
      </c>
      <c r="I30" s="90">
        <v>0.25</v>
      </c>
      <c r="J30" s="90">
        <v>0.25600000000000001</v>
      </c>
      <c r="K30" s="90">
        <v>0.26300000000000001</v>
      </c>
      <c r="L30" s="90">
        <v>0.26900000000000002</v>
      </c>
      <c r="M30" s="90">
        <v>0.27600000000000002</v>
      </c>
      <c r="N30" s="90">
        <v>0.28299999999999997</v>
      </c>
      <c r="O30" s="90">
        <v>0.28999999999999998</v>
      </c>
      <c r="P30" s="90">
        <v>0.29799999999999999</v>
      </c>
      <c r="Q30" s="90">
        <v>0.30599999999999999</v>
      </c>
      <c r="R30" s="90">
        <v>0.314</v>
      </c>
      <c r="S30" s="90">
        <v>0.32300000000000001</v>
      </c>
      <c r="T30" s="90">
        <v>0.33200000000000002</v>
      </c>
      <c r="U30" s="90">
        <v>0.34100000000000003</v>
      </c>
      <c r="V30" s="90">
        <v>0.35099999999999998</v>
      </c>
      <c r="W30" s="90">
        <v>0.36199999999999999</v>
      </c>
      <c r="X30" s="90">
        <v>0.372</v>
      </c>
      <c r="Y30" s="90">
        <v>0.38400000000000001</v>
      </c>
      <c r="Z30" s="90">
        <v>0.39500000000000002</v>
      </c>
      <c r="AA30" s="90">
        <v>0.40799999999999997</v>
      </c>
      <c r="AB30" s="90">
        <v>0.42099999999999999</v>
      </c>
      <c r="AC30" s="90">
        <v>0.435</v>
      </c>
      <c r="AD30" s="90">
        <v>0.44900000000000001</v>
      </c>
      <c r="AE30" s="90">
        <v>0.46500000000000002</v>
      </c>
      <c r="AF30" s="90">
        <v>0.48099999999999998</v>
      </c>
      <c r="AG30" s="90">
        <v>0.498</v>
      </c>
      <c r="AH30" s="90">
        <v>0.51600000000000001</v>
      </c>
      <c r="AI30" s="90">
        <v>0.53600000000000003</v>
      </c>
      <c r="AJ30" s="90">
        <v>0.55600000000000005</v>
      </c>
      <c r="AK30" s="90">
        <v>0.57799999999999996</v>
      </c>
      <c r="AL30" s="90">
        <v>0.60099999999999998</v>
      </c>
      <c r="AM30" s="90">
        <v>0.626</v>
      </c>
      <c r="AN30" s="90">
        <v>0.65300000000000002</v>
      </c>
      <c r="AO30" s="90">
        <v>0.68200000000000005</v>
      </c>
      <c r="AP30" s="90">
        <v>0.71299999999999997</v>
      </c>
      <c r="AQ30" s="90">
        <v>0.746</v>
      </c>
      <c r="AR30" s="90">
        <v>0.78200000000000003</v>
      </c>
      <c r="AS30" s="90">
        <v>0.82099999999999995</v>
      </c>
      <c r="AT30" s="90">
        <v>0.86299999999999999</v>
      </c>
      <c r="AU30" s="90">
        <v>0.90900000000000003</v>
      </c>
      <c r="AV30" s="90">
        <v>0.96</v>
      </c>
    </row>
    <row r="31" spans="1:48" x14ac:dyDescent="0.25">
      <c r="A31" s="88">
        <v>4</v>
      </c>
      <c r="B31" s="90">
        <v>0.21299999999999999</v>
      </c>
      <c r="C31" s="90">
        <v>0.218</v>
      </c>
      <c r="D31" s="90">
        <v>0.223</v>
      </c>
      <c r="E31" s="90">
        <v>0.22800000000000001</v>
      </c>
      <c r="F31" s="90">
        <v>0.23400000000000001</v>
      </c>
      <c r="G31" s="90">
        <v>0.23899999999999999</v>
      </c>
      <c r="H31" s="90">
        <v>0.245</v>
      </c>
      <c r="I31" s="90">
        <v>0.251</v>
      </c>
      <c r="J31" s="90">
        <v>0.25700000000000001</v>
      </c>
      <c r="K31" s="90">
        <v>0.26300000000000001</v>
      </c>
      <c r="L31" s="90">
        <v>0.27</v>
      </c>
      <c r="M31" s="90">
        <v>0.27700000000000002</v>
      </c>
      <c r="N31" s="90">
        <v>0.28399999999999997</v>
      </c>
      <c r="O31" s="90">
        <v>0.29099999999999998</v>
      </c>
      <c r="P31" s="90">
        <v>0.29899999999999999</v>
      </c>
      <c r="Q31" s="90">
        <v>0.307</v>
      </c>
      <c r="R31" s="90">
        <v>0.315</v>
      </c>
      <c r="S31" s="90">
        <v>0.32400000000000001</v>
      </c>
      <c r="T31" s="90">
        <v>0.33300000000000002</v>
      </c>
      <c r="U31" s="90">
        <v>0.34200000000000003</v>
      </c>
      <c r="V31" s="90">
        <v>0.35199999999999998</v>
      </c>
      <c r="W31" s="90">
        <v>0.36199999999999999</v>
      </c>
      <c r="X31" s="90">
        <v>0.373</v>
      </c>
      <c r="Y31" s="90">
        <v>0.38500000000000001</v>
      </c>
      <c r="Z31" s="90">
        <v>0.39600000000000002</v>
      </c>
      <c r="AA31" s="90">
        <v>0.40899999999999997</v>
      </c>
      <c r="AB31" s="90">
        <v>0.42199999999999999</v>
      </c>
      <c r="AC31" s="90">
        <v>0.436</v>
      </c>
      <c r="AD31" s="90">
        <v>0.45100000000000001</v>
      </c>
      <c r="AE31" s="90">
        <v>0.46600000000000003</v>
      </c>
      <c r="AF31" s="90">
        <v>0.48199999999999998</v>
      </c>
      <c r="AG31" s="90">
        <v>0.5</v>
      </c>
      <c r="AH31" s="90">
        <v>0.51800000000000002</v>
      </c>
      <c r="AI31" s="90">
        <v>0.53700000000000003</v>
      </c>
      <c r="AJ31" s="90">
        <v>0.55800000000000005</v>
      </c>
      <c r="AK31" s="90">
        <v>0.57999999999999996</v>
      </c>
      <c r="AL31" s="90">
        <v>0.60299999999999998</v>
      </c>
      <c r="AM31" s="90">
        <v>0.629</v>
      </c>
      <c r="AN31" s="90">
        <v>0.65600000000000003</v>
      </c>
      <c r="AO31" s="90">
        <v>0.68400000000000005</v>
      </c>
      <c r="AP31" s="90">
        <v>0.71499999999999997</v>
      </c>
      <c r="AQ31" s="90">
        <v>0.749</v>
      </c>
      <c r="AR31" s="90">
        <v>0.78500000000000003</v>
      </c>
      <c r="AS31" s="90">
        <v>0.82399999999999995</v>
      </c>
      <c r="AT31" s="90">
        <v>0.86699999999999999</v>
      </c>
      <c r="AU31" s="90">
        <v>0.91300000000000003</v>
      </c>
      <c r="AV31" s="90">
        <v>0.96399999999999997</v>
      </c>
    </row>
    <row r="32" spans="1:48" x14ac:dyDescent="0.25">
      <c r="A32" s="88">
        <v>5</v>
      </c>
      <c r="B32" s="90">
        <v>0.214</v>
      </c>
      <c r="C32" s="90">
        <v>0.219</v>
      </c>
      <c r="D32" s="90">
        <v>0.224</v>
      </c>
      <c r="E32" s="90">
        <v>0.22900000000000001</v>
      </c>
      <c r="F32" s="90">
        <v>0.23400000000000001</v>
      </c>
      <c r="G32" s="90">
        <v>0.24</v>
      </c>
      <c r="H32" s="90">
        <v>0.245</v>
      </c>
      <c r="I32" s="90">
        <v>0.251</v>
      </c>
      <c r="J32" s="90">
        <v>0.25700000000000001</v>
      </c>
      <c r="K32" s="90">
        <v>0.26400000000000001</v>
      </c>
      <c r="L32" s="90">
        <v>0.27</v>
      </c>
      <c r="M32" s="90">
        <v>0.27700000000000002</v>
      </c>
      <c r="N32" s="90">
        <v>0.28399999999999997</v>
      </c>
      <c r="O32" s="90">
        <v>0.29199999999999998</v>
      </c>
      <c r="P32" s="90">
        <v>0.29899999999999999</v>
      </c>
      <c r="Q32" s="90">
        <v>0.307</v>
      </c>
      <c r="R32" s="90">
        <v>0.316</v>
      </c>
      <c r="S32" s="90">
        <v>0.32400000000000001</v>
      </c>
      <c r="T32" s="90">
        <v>0.33300000000000002</v>
      </c>
      <c r="U32" s="90">
        <v>0.34300000000000003</v>
      </c>
      <c r="V32" s="90">
        <v>0.35299999999999998</v>
      </c>
      <c r="W32" s="90">
        <v>0.36299999999999999</v>
      </c>
      <c r="X32" s="90">
        <v>0.374</v>
      </c>
      <c r="Y32" s="90">
        <v>0.38600000000000001</v>
      </c>
      <c r="Z32" s="90">
        <v>0.39800000000000002</v>
      </c>
      <c r="AA32" s="90">
        <v>0.41</v>
      </c>
      <c r="AB32" s="90">
        <v>0.42299999999999999</v>
      </c>
      <c r="AC32" s="90">
        <v>0.437</v>
      </c>
      <c r="AD32" s="90">
        <v>0.45200000000000001</v>
      </c>
      <c r="AE32" s="90">
        <v>0.46700000000000003</v>
      </c>
      <c r="AF32" s="90">
        <v>0.48399999999999999</v>
      </c>
      <c r="AG32" s="90">
        <v>0.501</v>
      </c>
      <c r="AH32" s="90">
        <v>0.52</v>
      </c>
      <c r="AI32" s="90">
        <v>0.53900000000000003</v>
      </c>
      <c r="AJ32" s="90">
        <v>0.56000000000000005</v>
      </c>
      <c r="AK32" s="90">
        <v>0.58199999999999996</v>
      </c>
      <c r="AL32" s="90">
        <v>0.60599999999999998</v>
      </c>
      <c r="AM32" s="90">
        <v>0.63100000000000001</v>
      </c>
      <c r="AN32" s="90">
        <v>0.65800000000000003</v>
      </c>
      <c r="AO32" s="90">
        <v>0.68700000000000006</v>
      </c>
      <c r="AP32" s="90">
        <v>0.71799999999999997</v>
      </c>
      <c r="AQ32" s="90">
        <v>0.752</v>
      </c>
      <c r="AR32" s="90">
        <v>0.78800000000000003</v>
      </c>
      <c r="AS32" s="90">
        <v>0.82799999999999996</v>
      </c>
      <c r="AT32" s="90">
        <v>0.871</v>
      </c>
      <c r="AU32" s="90">
        <v>0.91700000000000004</v>
      </c>
      <c r="AV32" s="90">
        <v>0.96899999999999997</v>
      </c>
    </row>
    <row r="33" spans="1:48" x14ac:dyDescent="0.25">
      <c r="A33" s="88">
        <v>6</v>
      </c>
      <c r="B33" s="90">
        <v>0.214</v>
      </c>
      <c r="C33" s="90">
        <v>0.219</v>
      </c>
      <c r="D33" s="90">
        <v>0.224</v>
      </c>
      <c r="E33" s="90">
        <v>0.22900000000000001</v>
      </c>
      <c r="F33" s="90">
        <v>0.23400000000000001</v>
      </c>
      <c r="G33" s="90">
        <v>0.24</v>
      </c>
      <c r="H33" s="90">
        <v>0.246</v>
      </c>
      <c r="I33" s="90">
        <v>0.252</v>
      </c>
      <c r="J33" s="90">
        <v>0.25800000000000001</v>
      </c>
      <c r="K33" s="90">
        <v>0.26400000000000001</v>
      </c>
      <c r="L33" s="90">
        <v>0.27100000000000002</v>
      </c>
      <c r="M33" s="90">
        <v>0.27800000000000002</v>
      </c>
      <c r="N33" s="90">
        <v>0.28499999999999998</v>
      </c>
      <c r="O33" s="90">
        <v>0.29199999999999998</v>
      </c>
      <c r="P33" s="90">
        <v>0.3</v>
      </c>
      <c r="Q33" s="90">
        <v>0.308</v>
      </c>
      <c r="R33" s="90">
        <v>0.316</v>
      </c>
      <c r="S33" s="90">
        <v>0.32500000000000001</v>
      </c>
      <c r="T33" s="90">
        <v>0.33400000000000002</v>
      </c>
      <c r="U33" s="90">
        <v>0.34399999999999997</v>
      </c>
      <c r="V33" s="90">
        <v>0.35399999999999998</v>
      </c>
      <c r="W33" s="90">
        <v>0.36399999999999999</v>
      </c>
      <c r="X33" s="90">
        <v>0.375</v>
      </c>
      <c r="Y33" s="90">
        <v>0.38700000000000001</v>
      </c>
      <c r="Z33" s="90">
        <v>0.39900000000000002</v>
      </c>
      <c r="AA33" s="90">
        <v>0.41099999999999998</v>
      </c>
      <c r="AB33" s="90">
        <v>0.42399999999999999</v>
      </c>
      <c r="AC33" s="90">
        <v>0.438</v>
      </c>
      <c r="AD33" s="90">
        <v>0.45300000000000001</v>
      </c>
      <c r="AE33" s="90">
        <v>0.46899999999999997</v>
      </c>
      <c r="AF33" s="90">
        <v>0.48499999999999999</v>
      </c>
      <c r="AG33" s="90">
        <v>0.503</v>
      </c>
      <c r="AH33" s="90">
        <v>0.52100000000000002</v>
      </c>
      <c r="AI33" s="90">
        <v>0.54100000000000004</v>
      </c>
      <c r="AJ33" s="90">
        <v>0.56200000000000006</v>
      </c>
      <c r="AK33" s="90">
        <v>0.58399999999999996</v>
      </c>
      <c r="AL33" s="90">
        <v>0.60799999999999998</v>
      </c>
      <c r="AM33" s="90">
        <v>0.63300000000000001</v>
      </c>
      <c r="AN33" s="90">
        <v>0.66</v>
      </c>
      <c r="AO33" s="90">
        <v>0.68899999999999995</v>
      </c>
      <c r="AP33" s="90">
        <v>0.72099999999999997</v>
      </c>
      <c r="AQ33" s="90">
        <v>0.755</v>
      </c>
      <c r="AR33" s="90">
        <v>0.79100000000000004</v>
      </c>
      <c r="AS33" s="90">
        <v>0.83099999999999996</v>
      </c>
      <c r="AT33" s="90">
        <v>0.874</v>
      </c>
      <c r="AU33" s="90">
        <v>0.92200000000000004</v>
      </c>
      <c r="AV33" s="90">
        <v>0.97299999999999998</v>
      </c>
    </row>
    <row r="34" spans="1:48" x14ac:dyDescent="0.25">
      <c r="A34" s="88">
        <v>7</v>
      </c>
      <c r="B34" s="90">
        <v>0.215</v>
      </c>
      <c r="C34" s="90">
        <v>0.219</v>
      </c>
      <c r="D34" s="90">
        <v>0.224</v>
      </c>
      <c r="E34" s="90">
        <v>0.23</v>
      </c>
      <c r="F34" s="90">
        <v>0.23499999999999999</v>
      </c>
      <c r="G34" s="90">
        <v>0.24</v>
      </c>
      <c r="H34" s="90">
        <v>0.246</v>
      </c>
      <c r="I34" s="90">
        <v>0.252</v>
      </c>
      <c r="J34" s="90">
        <v>0.25800000000000001</v>
      </c>
      <c r="K34" s="90">
        <v>0.26500000000000001</v>
      </c>
      <c r="L34" s="90">
        <v>0.27100000000000002</v>
      </c>
      <c r="M34" s="90">
        <v>0.27800000000000002</v>
      </c>
      <c r="N34" s="90">
        <v>0.28499999999999998</v>
      </c>
      <c r="O34" s="90">
        <v>0.29299999999999998</v>
      </c>
      <c r="P34" s="90">
        <v>0.30099999999999999</v>
      </c>
      <c r="Q34" s="90">
        <v>0.309</v>
      </c>
      <c r="R34" s="90">
        <v>0.317</v>
      </c>
      <c r="S34" s="90">
        <v>0.32600000000000001</v>
      </c>
      <c r="T34" s="90">
        <v>0.33500000000000002</v>
      </c>
      <c r="U34" s="90">
        <v>0.34499999999999997</v>
      </c>
      <c r="V34" s="90">
        <v>0.35499999999999998</v>
      </c>
      <c r="W34" s="90">
        <v>0.36499999999999999</v>
      </c>
      <c r="X34" s="90">
        <v>0.376</v>
      </c>
      <c r="Y34" s="90">
        <v>0.38800000000000001</v>
      </c>
      <c r="Z34" s="90">
        <v>0.4</v>
      </c>
      <c r="AA34" s="90">
        <v>0.41199999999999998</v>
      </c>
      <c r="AB34" s="90">
        <v>0.42599999999999999</v>
      </c>
      <c r="AC34" s="90">
        <v>0.44</v>
      </c>
      <c r="AD34" s="90">
        <v>0.45400000000000001</v>
      </c>
      <c r="AE34" s="90">
        <v>0.47</v>
      </c>
      <c r="AF34" s="90">
        <v>0.48699999999999999</v>
      </c>
      <c r="AG34" s="90">
        <v>0.504</v>
      </c>
      <c r="AH34" s="90">
        <v>0.52300000000000002</v>
      </c>
      <c r="AI34" s="90">
        <v>0.54200000000000004</v>
      </c>
      <c r="AJ34" s="90">
        <v>0.56299999999999994</v>
      </c>
      <c r="AK34" s="90">
        <v>0.58599999999999997</v>
      </c>
      <c r="AL34" s="90">
        <v>0.61</v>
      </c>
      <c r="AM34" s="90">
        <v>0.63500000000000001</v>
      </c>
      <c r="AN34" s="90">
        <v>0.66300000000000003</v>
      </c>
      <c r="AO34" s="90">
        <v>0.69199999999999995</v>
      </c>
      <c r="AP34" s="90">
        <v>0.72399999999999998</v>
      </c>
      <c r="AQ34" s="90">
        <v>0.75800000000000001</v>
      </c>
      <c r="AR34" s="90">
        <v>0.79500000000000004</v>
      </c>
      <c r="AS34" s="90">
        <v>0.83499999999999996</v>
      </c>
      <c r="AT34" s="90">
        <v>0.878</v>
      </c>
      <c r="AU34" s="90">
        <v>0.92600000000000005</v>
      </c>
      <c r="AV34" s="90">
        <v>0.97799999999999998</v>
      </c>
    </row>
    <row r="35" spans="1:48" x14ac:dyDescent="0.25">
      <c r="A35" s="88">
        <v>8</v>
      </c>
      <c r="B35" s="90">
        <v>0.215</v>
      </c>
      <c r="C35" s="90">
        <v>0.22</v>
      </c>
      <c r="D35" s="90">
        <v>0.22500000000000001</v>
      </c>
      <c r="E35" s="90">
        <v>0.23</v>
      </c>
      <c r="F35" s="90">
        <v>0.23499999999999999</v>
      </c>
      <c r="G35" s="90">
        <v>0.24099999999999999</v>
      </c>
      <c r="H35" s="90">
        <v>0.247</v>
      </c>
      <c r="I35" s="90">
        <v>0.253</v>
      </c>
      <c r="J35" s="90">
        <v>0.25900000000000001</v>
      </c>
      <c r="K35" s="90">
        <v>0.26500000000000001</v>
      </c>
      <c r="L35" s="90">
        <v>0.27200000000000002</v>
      </c>
      <c r="M35" s="90">
        <v>0.27900000000000003</v>
      </c>
      <c r="N35" s="90">
        <v>0.28599999999999998</v>
      </c>
      <c r="O35" s="90">
        <v>0.29399999999999998</v>
      </c>
      <c r="P35" s="90">
        <v>0.30099999999999999</v>
      </c>
      <c r="Q35" s="90">
        <v>0.309</v>
      </c>
      <c r="R35" s="90">
        <v>0.318</v>
      </c>
      <c r="S35" s="90">
        <v>0.32700000000000001</v>
      </c>
      <c r="T35" s="90">
        <v>0.33600000000000002</v>
      </c>
      <c r="U35" s="90">
        <v>0.34499999999999997</v>
      </c>
      <c r="V35" s="90">
        <v>0.35499999999999998</v>
      </c>
      <c r="W35" s="90">
        <v>0.36599999999999999</v>
      </c>
      <c r="X35" s="90">
        <v>0.377</v>
      </c>
      <c r="Y35" s="90">
        <v>0.38800000000000001</v>
      </c>
      <c r="Z35" s="90">
        <v>0.40100000000000002</v>
      </c>
      <c r="AA35" s="90">
        <v>0.41299999999999998</v>
      </c>
      <c r="AB35" s="90">
        <v>0.42699999999999999</v>
      </c>
      <c r="AC35" s="90">
        <v>0.441</v>
      </c>
      <c r="AD35" s="90">
        <v>0.45600000000000002</v>
      </c>
      <c r="AE35" s="90">
        <v>0.47099999999999997</v>
      </c>
      <c r="AF35" s="90">
        <v>0.48799999999999999</v>
      </c>
      <c r="AG35" s="90">
        <v>0.50600000000000001</v>
      </c>
      <c r="AH35" s="90">
        <v>0.52400000000000002</v>
      </c>
      <c r="AI35" s="90">
        <v>0.54400000000000004</v>
      </c>
      <c r="AJ35" s="90">
        <v>0.56499999999999995</v>
      </c>
      <c r="AK35" s="90">
        <v>0.58799999999999997</v>
      </c>
      <c r="AL35" s="90">
        <v>0.61199999999999999</v>
      </c>
      <c r="AM35" s="90">
        <v>0.63700000000000001</v>
      </c>
      <c r="AN35" s="90">
        <v>0.66500000000000004</v>
      </c>
      <c r="AO35" s="90">
        <v>0.69399999999999995</v>
      </c>
      <c r="AP35" s="90">
        <v>0.72599999999999998</v>
      </c>
      <c r="AQ35" s="90">
        <v>0.76100000000000001</v>
      </c>
      <c r="AR35" s="90">
        <v>0.79800000000000004</v>
      </c>
      <c r="AS35" s="90">
        <v>0.83799999999999997</v>
      </c>
      <c r="AT35" s="90">
        <v>0.88200000000000001</v>
      </c>
      <c r="AU35" s="90">
        <v>0.93</v>
      </c>
      <c r="AV35" s="90">
        <v>0.98199999999999998</v>
      </c>
    </row>
    <row r="36" spans="1:48" x14ac:dyDescent="0.25">
      <c r="A36" s="88">
        <v>9</v>
      </c>
      <c r="B36" s="90">
        <v>0.215</v>
      </c>
      <c r="C36" s="90">
        <v>0.22</v>
      </c>
      <c r="D36" s="90">
        <v>0.22500000000000001</v>
      </c>
      <c r="E36" s="90">
        <v>0.23</v>
      </c>
      <c r="F36" s="90">
        <v>0.23599999999999999</v>
      </c>
      <c r="G36" s="90">
        <v>0.24099999999999999</v>
      </c>
      <c r="H36" s="90">
        <v>0.247</v>
      </c>
      <c r="I36" s="90">
        <v>0.253</v>
      </c>
      <c r="J36" s="90">
        <v>0.25900000000000001</v>
      </c>
      <c r="K36" s="90">
        <v>0.26600000000000001</v>
      </c>
      <c r="L36" s="90">
        <v>0.27300000000000002</v>
      </c>
      <c r="M36" s="90">
        <v>0.27900000000000003</v>
      </c>
      <c r="N36" s="90">
        <v>0.28699999999999998</v>
      </c>
      <c r="O36" s="90">
        <v>0.29399999999999998</v>
      </c>
      <c r="P36" s="90">
        <v>0.30199999999999999</v>
      </c>
      <c r="Q36" s="90">
        <v>0.31</v>
      </c>
      <c r="R36" s="90">
        <v>0.31900000000000001</v>
      </c>
      <c r="S36" s="90">
        <v>0.32700000000000001</v>
      </c>
      <c r="T36" s="90">
        <v>0.33700000000000002</v>
      </c>
      <c r="U36" s="90">
        <v>0.34599999999999997</v>
      </c>
      <c r="V36" s="90">
        <v>0.35599999999999998</v>
      </c>
      <c r="W36" s="90">
        <v>0.36699999999999999</v>
      </c>
      <c r="X36" s="90">
        <v>0.378</v>
      </c>
      <c r="Y36" s="90">
        <v>0.38900000000000001</v>
      </c>
      <c r="Z36" s="90">
        <v>0.40200000000000002</v>
      </c>
      <c r="AA36" s="90">
        <v>0.41399999999999998</v>
      </c>
      <c r="AB36" s="90">
        <v>0.42799999999999999</v>
      </c>
      <c r="AC36" s="90">
        <v>0.442</v>
      </c>
      <c r="AD36" s="90">
        <v>0.45700000000000002</v>
      </c>
      <c r="AE36" s="90">
        <v>0.47299999999999998</v>
      </c>
      <c r="AF36" s="90">
        <v>0.48899999999999999</v>
      </c>
      <c r="AG36" s="90">
        <v>0.50700000000000001</v>
      </c>
      <c r="AH36" s="90">
        <v>0.52600000000000002</v>
      </c>
      <c r="AI36" s="90">
        <v>0.54600000000000004</v>
      </c>
      <c r="AJ36" s="90">
        <v>0.56699999999999995</v>
      </c>
      <c r="AK36" s="90">
        <v>0.59</v>
      </c>
      <c r="AL36" s="90">
        <v>0.61399999999999999</v>
      </c>
      <c r="AM36" s="90">
        <v>0.64</v>
      </c>
      <c r="AN36" s="90">
        <v>0.66700000000000004</v>
      </c>
      <c r="AO36" s="90">
        <v>0.69699999999999995</v>
      </c>
      <c r="AP36" s="90">
        <v>0.72899999999999998</v>
      </c>
      <c r="AQ36" s="90">
        <v>0.76400000000000001</v>
      </c>
      <c r="AR36" s="90">
        <v>0.80100000000000005</v>
      </c>
      <c r="AS36" s="90">
        <v>0.84199999999999997</v>
      </c>
      <c r="AT36" s="90">
        <v>0.88600000000000001</v>
      </c>
      <c r="AU36" s="90">
        <v>0.93400000000000005</v>
      </c>
      <c r="AV36" s="90">
        <v>0.98699999999999999</v>
      </c>
    </row>
    <row r="37" spans="1:48" x14ac:dyDescent="0.25">
      <c r="A37" s="88">
        <v>10</v>
      </c>
      <c r="B37" s="90">
        <v>0.216</v>
      </c>
      <c r="C37" s="90">
        <v>0.221</v>
      </c>
      <c r="D37" s="90">
        <v>0.22600000000000001</v>
      </c>
      <c r="E37" s="90">
        <v>0.23100000000000001</v>
      </c>
      <c r="F37" s="90">
        <v>0.23599999999999999</v>
      </c>
      <c r="G37" s="90">
        <v>0.24199999999999999</v>
      </c>
      <c r="H37" s="90">
        <v>0.248</v>
      </c>
      <c r="I37" s="90">
        <v>0.254</v>
      </c>
      <c r="J37" s="90">
        <v>0.26</v>
      </c>
      <c r="K37" s="90">
        <v>0.26600000000000001</v>
      </c>
      <c r="L37" s="90">
        <v>0.27300000000000002</v>
      </c>
      <c r="M37" s="90">
        <v>0.28000000000000003</v>
      </c>
      <c r="N37" s="90">
        <v>0.28699999999999998</v>
      </c>
      <c r="O37" s="90">
        <v>0.29499999999999998</v>
      </c>
      <c r="P37" s="90">
        <v>0.30299999999999999</v>
      </c>
      <c r="Q37" s="90">
        <v>0.311</v>
      </c>
      <c r="R37" s="90">
        <v>0.31900000000000001</v>
      </c>
      <c r="S37" s="90">
        <v>0.32800000000000001</v>
      </c>
      <c r="T37" s="90">
        <v>0.33700000000000002</v>
      </c>
      <c r="U37" s="90">
        <v>0.34699999999999998</v>
      </c>
      <c r="V37" s="90">
        <v>0.35699999999999998</v>
      </c>
      <c r="W37" s="90">
        <v>0.36799999999999999</v>
      </c>
      <c r="X37" s="90">
        <v>0.379</v>
      </c>
      <c r="Y37" s="90">
        <v>0.39</v>
      </c>
      <c r="Z37" s="90">
        <v>0.40300000000000002</v>
      </c>
      <c r="AA37" s="90">
        <v>0.41499999999999998</v>
      </c>
      <c r="AB37" s="90">
        <v>0.42899999999999999</v>
      </c>
      <c r="AC37" s="90">
        <v>0.443</v>
      </c>
      <c r="AD37" s="90">
        <v>0.45800000000000002</v>
      </c>
      <c r="AE37" s="90">
        <v>0.47399999999999998</v>
      </c>
      <c r="AF37" s="90">
        <v>0.49099999999999999</v>
      </c>
      <c r="AG37" s="90">
        <v>0.50900000000000001</v>
      </c>
      <c r="AH37" s="90">
        <v>0.52700000000000002</v>
      </c>
      <c r="AI37" s="90">
        <v>0.54700000000000004</v>
      </c>
      <c r="AJ37" s="90">
        <v>0.56899999999999995</v>
      </c>
      <c r="AK37" s="90">
        <v>0.59099999999999997</v>
      </c>
      <c r="AL37" s="90">
        <v>0.61599999999999999</v>
      </c>
      <c r="AM37" s="90">
        <v>0.64200000000000002</v>
      </c>
      <c r="AN37" s="90">
        <v>0.67</v>
      </c>
      <c r="AO37" s="90">
        <v>0.7</v>
      </c>
      <c r="AP37" s="90">
        <v>0.73199999999999998</v>
      </c>
      <c r="AQ37" s="90">
        <v>0.76700000000000002</v>
      </c>
      <c r="AR37" s="90">
        <v>0.80400000000000005</v>
      </c>
      <c r="AS37" s="90">
        <v>0.84499999999999997</v>
      </c>
      <c r="AT37" s="90">
        <v>0.88900000000000001</v>
      </c>
      <c r="AU37" s="90">
        <v>0.93799999999999994</v>
      </c>
      <c r="AV37" s="90">
        <v>0.99099999999999999</v>
      </c>
    </row>
    <row r="38" spans="1:48" x14ac:dyDescent="0.25">
      <c r="A38" s="88">
        <v>11</v>
      </c>
      <c r="B38" s="90">
        <v>0.216</v>
      </c>
      <c r="C38" s="90">
        <v>0.221</v>
      </c>
      <c r="D38" s="90">
        <v>0.22600000000000001</v>
      </c>
      <c r="E38" s="90">
        <v>0.23100000000000001</v>
      </c>
      <c r="F38" s="90">
        <v>0.23699999999999999</v>
      </c>
      <c r="G38" s="90">
        <v>0.24199999999999999</v>
      </c>
      <c r="H38" s="90">
        <v>0.248</v>
      </c>
      <c r="I38" s="90">
        <v>0.254</v>
      </c>
      <c r="J38" s="90">
        <v>0.26</v>
      </c>
      <c r="K38" s="90">
        <v>0.26700000000000002</v>
      </c>
      <c r="L38" s="90">
        <v>0.27400000000000002</v>
      </c>
      <c r="M38" s="90">
        <v>0.28100000000000003</v>
      </c>
      <c r="N38" s="90">
        <v>0.28799999999999998</v>
      </c>
      <c r="O38" s="90">
        <v>0.29499999999999998</v>
      </c>
      <c r="P38" s="90">
        <v>0.30299999999999999</v>
      </c>
      <c r="Q38" s="90">
        <v>0.311</v>
      </c>
      <c r="R38" s="90">
        <v>0.32</v>
      </c>
      <c r="S38" s="90">
        <v>0.32900000000000001</v>
      </c>
      <c r="T38" s="90">
        <v>0.33800000000000002</v>
      </c>
      <c r="U38" s="90">
        <v>0.34799999999999998</v>
      </c>
      <c r="V38" s="90">
        <v>0.35799999999999998</v>
      </c>
      <c r="W38" s="90">
        <v>0.36899999999999999</v>
      </c>
      <c r="X38" s="90">
        <v>0.38</v>
      </c>
      <c r="Y38" s="90">
        <v>0.39100000000000001</v>
      </c>
      <c r="Z38" s="90">
        <v>0.40400000000000003</v>
      </c>
      <c r="AA38" s="90">
        <v>0.41699999999999998</v>
      </c>
      <c r="AB38" s="90">
        <v>0.43</v>
      </c>
      <c r="AC38" s="90">
        <v>0.44400000000000001</v>
      </c>
      <c r="AD38" s="90">
        <v>0.45900000000000002</v>
      </c>
      <c r="AE38" s="90">
        <v>0.47499999999999998</v>
      </c>
      <c r="AF38" s="90">
        <v>0.49199999999999999</v>
      </c>
      <c r="AG38" s="90">
        <v>0.51</v>
      </c>
      <c r="AH38" s="90">
        <v>0.52900000000000003</v>
      </c>
      <c r="AI38" s="90">
        <v>0.54900000000000004</v>
      </c>
      <c r="AJ38" s="90">
        <v>0.57099999999999995</v>
      </c>
      <c r="AK38" s="90">
        <v>0.59299999999999997</v>
      </c>
      <c r="AL38" s="90">
        <v>0.61799999999999999</v>
      </c>
      <c r="AM38" s="90">
        <v>0.64400000000000002</v>
      </c>
      <c r="AN38" s="90">
        <v>0.67200000000000004</v>
      </c>
      <c r="AO38" s="90">
        <v>0.70199999999999996</v>
      </c>
      <c r="AP38" s="90">
        <v>0.73399999999999999</v>
      </c>
      <c r="AQ38" s="90">
        <v>0.76900000000000002</v>
      </c>
      <c r="AR38" s="90">
        <v>0.80700000000000005</v>
      </c>
      <c r="AS38" s="90">
        <v>0.84799999999999998</v>
      </c>
      <c r="AT38" s="90">
        <v>0.89300000000000002</v>
      </c>
      <c r="AU38" s="90">
        <v>0.94199999999999995</v>
      </c>
      <c r="AV38" s="90">
        <v>0.996</v>
      </c>
    </row>
    <row r="44" spans="1:48" ht="39.65" customHeight="1" x14ac:dyDescent="0.25"/>
    <row r="46" spans="1:48" ht="27.65" customHeight="1" x14ac:dyDescent="0.25"/>
  </sheetData>
  <sheetProtection algorithmName="SHA-512" hashValue="xYVyEpa8xhcXm4gsTSAvujmMpeHGjb6I8GyM5bUmorlhO5T1Woh+L2ZKxRgUUXnj5fE+8aULHyr/g+s/l4ZYfg==" saltValue="3fr8RfzTipHUBDANiGgd0A==" spinCount="100000" sheet="1" objects="1" scenarios="1"/>
  <conditionalFormatting sqref="C17:C21">
    <cfRule type="expression" dxfId="819" priority="21" stopIfTrue="1">
      <formula>MOD(ROW(),2)=0</formula>
    </cfRule>
    <cfRule type="expression" dxfId="818" priority="22" stopIfTrue="1">
      <formula>MOD(ROW(),2)&lt;&gt;0</formula>
    </cfRule>
  </conditionalFormatting>
  <conditionalFormatting sqref="A6:A16">
    <cfRule type="expression" dxfId="817" priority="25" stopIfTrue="1">
      <formula>MOD(ROW(),2)=0</formula>
    </cfRule>
    <cfRule type="expression" dxfId="816" priority="26" stopIfTrue="1">
      <formula>MOD(ROW(),2)&lt;&gt;0</formula>
    </cfRule>
  </conditionalFormatting>
  <conditionalFormatting sqref="B6:AV21">
    <cfRule type="expression" dxfId="815" priority="27" stopIfTrue="1">
      <formula>MOD(ROW(),2)=0</formula>
    </cfRule>
    <cfRule type="expression" dxfId="814" priority="28" stopIfTrue="1">
      <formula>MOD(ROW(),2)&lt;&gt;0</formula>
    </cfRule>
  </conditionalFormatting>
  <conditionalFormatting sqref="A17:A20">
    <cfRule type="expression" dxfId="813" priority="17" stopIfTrue="1">
      <formula>MOD(ROW(),2)=0</formula>
    </cfRule>
    <cfRule type="expression" dxfId="812" priority="18" stopIfTrue="1">
      <formula>MOD(ROW(),2)&lt;&gt;0</formula>
    </cfRule>
  </conditionalFormatting>
  <conditionalFormatting sqref="B17:B18 B20:B21">
    <cfRule type="expression" dxfId="811" priority="19" stopIfTrue="1">
      <formula>MOD(ROW(),2)=0</formula>
    </cfRule>
    <cfRule type="expression" dxfId="810" priority="20" stopIfTrue="1">
      <formula>MOD(ROW(),2)&lt;&gt;0</formula>
    </cfRule>
  </conditionalFormatting>
  <conditionalFormatting sqref="A26:A38">
    <cfRule type="expression" dxfId="809" priority="7" stopIfTrue="1">
      <formula>MOD(ROW(),2)=0</formula>
    </cfRule>
    <cfRule type="expression" dxfId="808" priority="8" stopIfTrue="1">
      <formula>MOD(ROW(),2)&lt;&gt;0</formula>
    </cfRule>
  </conditionalFormatting>
  <conditionalFormatting sqref="B26:AV38">
    <cfRule type="expression" dxfId="807" priority="9" stopIfTrue="1">
      <formula>MOD(ROW(),2)=0</formula>
    </cfRule>
    <cfRule type="expression" dxfId="806" priority="10" stopIfTrue="1">
      <formula>MOD(ROW(),2)&lt;&gt;0</formula>
    </cfRule>
  </conditionalFormatting>
  <conditionalFormatting sqref="B19">
    <cfRule type="expression" dxfId="805" priority="5" stopIfTrue="1">
      <formula>MOD(ROW(),2)=0</formula>
    </cfRule>
    <cfRule type="expression" dxfId="804" priority="6" stopIfTrue="1">
      <formula>MOD(ROW(),2)&lt;&gt;0</formula>
    </cfRule>
  </conditionalFormatting>
  <conditionalFormatting sqref="A21">
    <cfRule type="expression" dxfId="803" priority="1" stopIfTrue="1">
      <formula>MOD(ROW(),2)=0</formula>
    </cfRule>
    <cfRule type="expression" dxfId="802" priority="2" stopIfTrue="1">
      <formula>MOD(ROW(),2)&lt;&gt;0</formula>
    </cfRule>
  </conditionalFormatting>
  <hyperlinks>
    <hyperlink ref="B24" location="Assumptions!A1" display="Assumptions" xr:uid="{392A1B30-CCF8-4792-82C9-B22A1DF8E97F}"/>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Sheet71"/>
  <dimension ref="A1:AQ46"/>
  <sheetViews>
    <sheetView showGridLines="0" zoomScale="85" zoomScaleNormal="85" workbookViewId="0">
      <selection activeCell="B18" sqref="B18"/>
    </sheetView>
  </sheetViews>
  <sheetFormatPr defaultColWidth="10" defaultRowHeight="12.5" x14ac:dyDescent="0.25"/>
  <cols>
    <col min="1" max="1" width="31.81640625" style="28" customWidth="1"/>
    <col min="2" max="43" width="22.81640625" style="28" customWidth="1"/>
    <col min="44" max="16384" width="10" style="28"/>
  </cols>
  <sheetData>
    <row r="1" spans="1:43" ht="20" x14ac:dyDescent="0.4">
      <c r="A1" s="40" t="s">
        <v>227</v>
      </c>
      <c r="B1" s="41"/>
      <c r="C1" s="41"/>
      <c r="D1" s="41"/>
      <c r="E1" s="41"/>
      <c r="F1" s="41"/>
      <c r="G1" s="41"/>
      <c r="H1" s="41"/>
      <c r="I1" s="41"/>
    </row>
    <row r="2" spans="1:43" ht="15.5" x14ac:dyDescent="0.35">
      <c r="A2" s="42" t="str">
        <f>IF(title="&gt; Enter workbook title here","Enter workbook title in Cover sheet",title)</f>
        <v>Fire Northern Ireland - Consolidated Factor Spreadsheet</v>
      </c>
      <c r="B2" s="43"/>
      <c r="C2" s="43"/>
      <c r="D2" s="43"/>
      <c r="E2" s="43"/>
      <c r="F2" s="43"/>
      <c r="G2" s="43"/>
      <c r="H2" s="43"/>
      <c r="I2" s="43"/>
    </row>
    <row r="3" spans="1:43" ht="15.5" x14ac:dyDescent="0.35">
      <c r="A3" s="44" t="str">
        <f>TABLE_FACTOR_TYPE_1&amp;" - x-"&amp;TABLE_SERIES_NUMBER_1</f>
        <v>Pension Debit - x-326</v>
      </c>
      <c r="B3" s="43"/>
      <c r="C3" s="43"/>
      <c r="D3" s="43"/>
      <c r="E3" s="43"/>
      <c r="F3" s="43"/>
      <c r="G3" s="43"/>
      <c r="H3" s="43"/>
      <c r="I3" s="43"/>
    </row>
    <row r="4" spans="1:43" x14ac:dyDescent="0.25">
      <c r="A4" s="45"/>
    </row>
    <row r="6" spans="1:43" ht="13" x14ac:dyDescent="0.3">
      <c r="A6" s="75" t="s">
        <v>562</v>
      </c>
      <c r="B6" s="159" t="s">
        <v>563</v>
      </c>
      <c r="C6" s="159"/>
      <c r="D6" s="159"/>
      <c r="E6" s="159"/>
      <c r="F6" s="159"/>
      <c r="G6" s="159"/>
      <c r="H6" s="159"/>
      <c r="I6" s="159"/>
      <c r="J6" s="159"/>
      <c r="K6" s="159"/>
      <c r="L6" s="159"/>
      <c r="M6" s="159"/>
      <c r="N6" s="159"/>
      <c r="O6" s="159"/>
      <c r="P6" s="159"/>
      <c r="Q6" s="159"/>
      <c r="R6" s="159"/>
      <c r="S6" s="159"/>
      <c r="T6" s="159"/>
      <c r="U6" s="159"/>
      <c r="V6" s="159"/>
      <c r="W6" s="159"/>
      <c r="X6" s="159"/>
      <c r="Y6" s="159"/>
      <c r="Z6" s="159"/>
      <c r="AA6" s="159"/>
      <c r="AB6" s="159"/>
      <c r="AC6" s="159"/>
      <c r="AD6" s="159"/>
      <c r="AE6" s="159"/>
      <c r="AF6" s="159"/>
      <c r="AG6" s="159"/>
      <c r="AH6" s="159"/>
      <c r="AI6" s="159"/>
      <c r="AJ6" s="159"/>
      <c r="AK6" s="159"/>
      <c r="AL6" s="159"/>
      <c r="AM6" s="159"/>
      <c r="AN6" s="159"/>
      <c r="AO6" s="159"/>
      <c r="AP6" s="159"/>
      <c r="AQ6" s="159"/>
    </row>
    <row r="7" spans="1:43" x14ac:dyDescent="0.25">
      <c r="A7" s="77" t="s">
        <v>305</v>
      </c>
      <c r="B7" s="159" t="s">
        <v>319</v>
      </c>
      <c r="C7" s="159"/>
      <c r="D7" s="159"/>
      <c r="E7" s="159"/>
      <c r="F7" s="159"/>
      <c r="G7" s="159"/>
      <c r="H7" s="159"/>
      <c r="I7" s="159"/>
      <c r="J7" s="159"/>
      <c r="K7" s="159"/>
      <c r="L7" s="159"/>
      <c r="M7" s="159"/>
      <c r="N7" s="159"/>
      <c r="O7" s="159"/>
      <c r="P7" s="159"/>
      <c r="Q7" s="159"/>
      <c r="R7" s="159"/>
      <c r="S7" s="159"/>
      <c r="T7" s="159"/>
      <c r="U7" s="159"/>
      <c r="V7" s="159"/>
      <c r="W7" s="159"/>
      <c r="X7" s="159"/>
      <c r="Y7" s="159"/>
      <c r="Z7" s="159"/>
      <c r="AA7" s="159"/>
      <c r="AB7" s="159"/>
      <c r="AC7" s="159"/>
      <c r="AD7" s="159"/>
      <c r="AE7" s="159"/>
      <c r="AF7" s="159"/>
      <c r="AG7" s="159"/>
      <c r="AH7" s="159"/>
      <c r="AI7" s="159"/>
      <c r="AJ7" s="159"/>
      <c r="AK7" s="159"/>
      <c r="AL7" s="159"/>
      <c r="AM7" s="159"/>
      <c r="AN7" s="159"/>
      <c r="AO7" s="159"/>
      <c r="AP7" s="159"/>
      <c r="AQ7" s="159"/>
    </row>
    <row r="8" spans="1:43" x14ac:dyDescent="0.25">
      <c r="A8" s="77" t="s">
        <v>306</v>
      </c>
      <c r="B8" s="159" t="s">
        <v>332</v>
      </c>
      <c r="C8" s="159"/>
      <c r="D8" s="159"/>
      <c r="E8" s="159"/>
      <c r="F8" s="159"/>
      <c r="G8" s="159"/>
      <c r="H8" s="159"/>
      <c r="I8" s="159"/>
      <c r="J8" s="159"/>
      <c r="K8" s="159"/>
      <c r="L8" s="159"/>
      <c r="M8" s="159"/>
      <c r="N8" s="159"/>
      <c r="O8" s="159"/>
      <c r="P8" s="159"/>
      <c r="Q8" s="159"/>
      <c r="R8" s="159"/>
      <c r="S8" s="159"/>
      <c r="T8" s="159"/>
      <c r="U8" s="159"/>
      <c r="V8" s="159"/>
      <c r="W8" s="159"/>
      <c r="X8" s="159"/>
      <c r="Y8" s="159"/>
      <c r="Z8" s="159"/>
      <c r="AA8" s="159"/>
      <c r="AB8" s="159"/>
      <c r="AC8" s="159"/>
      <c r="AD8" s="159"/>
      <c r="AE8" s="159"/>
      <c r="AF8" s="159"/>
      <c r="AG8" s="159"/>
      <c r="AH8" s="159"/>
      <c r="AI8" s="159"/>
      <c r="AJ8" s="159"/>
      <c r="AK8" s="159"/>
      <c r="AL8" s="159"/>
      <c r="AM8" s="159"/>
      <c r="AN8" s="159"/>
      <c r="AO8" s="159"/>
      <c r="AP8" s="159"/>
      <c r="AQ8" s="159"/>
    </row>
    <row r="9" spans="1:43" x14ac:dyDescent="0.25">
      <c r="A9" s="77" t="s">
        <v>307</v>
      </c>
      <c r="B9" s="159" t="s">
        <v>402</v>
      </c>
      <c r="C9" s="159"/>
      <c r="D9" s="159"/>
      <c r="E9" s="159"/>
      <c r="F9" s="159"/>
      <c r="G9" s="159"/>
      <c r="H9" s="159"/>
      <c r="I9" s="159"/>
      <c r="J9" s="159"/>
      <c r="K9" s="159"/>
      <c r="L9" s="159"/>
      <c r="M9" s="159"/>
      <c r="N9" s="159"/>
      <c r="O9" s="159"/>
      <c r="P9" s="159"/>
      <c r="Q9" s="159"/>
      <c r="R9" s="159"/>
      <c r="S9" s="159"/>
      <c r="T9" s="159"/>
      <c r="U9" s="159"/>
      <c r="V9" s="159"/>
      <c r="W9" s="159"/>
      <c r="X9" s="159"/>
      <c r="Y9" s="159"/>
      <c r="Z9" s="159"/>
      <c r="AA9" s="159"/>
      <c r="AB9" s="159"/>
      <c r="AC9" s="159"/>
      <c r="AD9" s="159"/>
      <c r="AE9" s="159"/>
      <c r="AF9" s="159"/>
      <c r="AG9" s="159"/>
      <c r="AH9" s="159"/>
      <c r="AI9" s="159"/>
      <c r="AJ9" s="159"/>
      <c r="AK9" s="159"/>
      <c r="AL9" s="159"/>
      <c r="AM9" s="159"/>
      <c r="AN9" s="159"/>
      <c r="AO9" s="159"/>
      <c r="AP9" s="159"/>
      <c r="AQ9" s="159"/>
    </row>
    <row r="10" spans="1:43" x14ac:dyDescent="0.25">
      <c r="A10" s="77" t="s">
        <v>233</v>
      </c>
      <c r="B10" s="159" t="s">
        <v>427</v>
      </c>
      <c r="C10" s="159"/>
      <c r="D10" s="159"/>
      <c r="E10" s="159"/>
      <c r="F10" s="159"/>
      <c r="G10" s="159"/>
      <c r="H10" s="159"/>
      <c r="I10" s="159"/>
      <c r="J10" s="159"/>
      <c r="K10" s="159"/>
      <c r="L10" s="159"/>
      <c r="M10" s="159"/>
      <c r="N10" s="159"/>
      <c r="O10" s="159"/>
      <c r="P10" s="159"/>
      <c r="Q10" s="159"/>
      <c r="R10" s="159"/>
      <c r="S10" s="159"/>
      <c r="T10" s="159"/>
      <c r="U10" s="159"/>
      <c r="V10" s="159"/>
      <c r="W10" s="159"/>
      <c r="X10" s="159"/>
      <c r="Y10" s="159"/>
      <c r="Z10" s="159"/>
      <c r="AA10" s="159"/>
      <c r="AB10" s="159"/>
      <c r="AC10" s="159"/>
      <c r="AD10" s="159"/>
      <c r="AE10" s="159"/>
      <c r="AF10" s="159"/>
      <c r="AG10" s="159"/>
      <c r="AH10" s="159"/>
      <c r="AI10" s="159"/>
      <c r="AJ10" s="159"/>
      <c r="AK10" s="159"/>
      <c r="AL10" s="159"/>
      <c r="AM10" s="159"/>
      <c r="AN10" s="159"/>
      <c r="AO10" s="159"/>
      <c r="AP10" s="159"/>
      <c r="AQ10" s="159"/>
    </row>
    <row r="11" spans="1:43" x14ac:dyDescent="0.25">
      <c r="A11" s="77" t="s">
        <v>308</v>
      </c>
      <c r="B11" s="159" t="s">
        <v>404</v>
      </c>
      <c r="C11" s="159"/>
      <c r="D11" s="159"/>
      <c r="E11" s="159"/>
      <c r="F11" s="159"/>
      <c r="G11" s="159"/>
      <c r="H11" s="159"/>
      <c r="I11" s="159"/>
      <c r="J11" s="159"/>
      <c r="K11" s="159"/>
      <c r="L11" s="159"/>
      <c r="M11" s="159"/>
      <c r="N11" s="159"/>
      <c r="O11" s="159"/>
      <c r="P11" s="159"/>
      <c r="Q11" s="159"/>
      <c r="R11" s="159"/>
      <c r="S11" s="159"/>
      <c r="T11" s="159"/>
      <c r="U11" s="159"/>
      <c r="V11" s="159"/>
      <c r="W11" s="159"/>
      <c r="X11" s="159"/>
      <c r="Y11" s="159"/>
      <c r="Z11" s="159"/>
      <c r="AA11" s="159"/>
      <c r="AB11" s="159"/>
      <c r="AC11" s="159"/>
      <c r="AD11" s="159"/>
      <c r="AE11" s="159"/>
      <c r="AF11" s="159"/>
      <c r="AG11" s="159"/>
      <c r="AH11" s="159"/>
      <c r="AI11" s="159"/>
      <c r="AJ11" s="159"/>
      <c r="AK11" s="159"/>
      <c r="AL11" s="159"/>
      <c r="AM11" s="159"/>
      <c r="AN11" s="159"/>
      <c r="AO11" s="159"/>
      <c r="AP11" s="159"/>
      <c r="AQ11" s="159"/>
    </row>
    <row r="12" spans="1:43" x14ac:dyDescent="0.25">
      <c r="A12" s="77" t="s">
        <v>309</v>
      </c>
      <c r="B12" s="159" t="s">
        <v>415</v>
      </c>
      <c r="C12" s="159"/>
      <c r="D12" s="159"/>
      <c r="E12" s="159"/>
      <c r="F12" s="159"/>
      <c r="G12" s="159"/>
      <c r="H12" s="159"/>
      <c r="I12" s="159"/>
      <c r="J12" s="159"/>
      <c r="K12" s="159"/>
      <c r="L12" s="159"/>
      <c r="M12" s="159"/>
      <c r="N12" s="159"/>
      <c r="O12" s="159"/>
      <c r="P12" s="159"/>
      <c r="Q12" s="159"/>
      <c r="R12" s="159"/>
      <c r="S12" s="159"/>
      <c r="T12" s="159"/>
      <c r="U12" s="159"/>
      <c r="V12" s="159"/>
      <c r="W12" s="159"/>
      <c r="X12" s="159"/>
      <c r="Y12" s="159"/>
      <c r="Z12" s="159"/>
      <c r="AA12" s="159"/>
      <c r="AB12" s="159"/>
      <c r="AC12" s="159"/>
      <c r="AD12" s="159"/>
      <c r="AE12" s="159"/>
      <c r="AF12" s="159"/>
      <c r="AG12" s="159"/>
      <c r="AH12" s="159"/>
      <c r="AI12" s="159"/>
      <c r="AJ12" s="159"/>
      <c r="AK12" s="159"/>
      <c r="AL12" s="159"/>
      <c r="AM12" s="159"/>
      <c r="AN12" s="159"/>
      <c r="AO12" s="159"/>
      <c r="AP12" s="159"/>
      <c r="AQ12" s="159"/>
    </row>
    <row r="13" spans="1:43" x14ac:dyDescent="0.25">
      <c r="A13" s="77" t="s">
        <v>570</v>
      </c>
      <c r="B13" s="159">
        <v>1</v>
      </c>
      <c r="C13" s="159"/>
      <c r="D13" s="159"/>
      <c r="E13" s="159"/>
      <c r="F13" s="159"/>
      <c r="G13" s="159"/>
      <c r="H13" s="159"/>
      <c r="I13" s="159"/>
      <c r="J13" s="159"/>
      <c r="K13" s="159"/>
      <c r="L13" s="159"/>
      <c r="M13" s="159"/>
      <c r="N13" s="159"/>
      <c r="O13" s="159"/>
      <c r="P13" s="159"/>
      <c r="Q13" s="159"/>
      <c r="R13" s="159"/>
      <c r="S13" s="159"/>
      <c r="T13" s="159"/>
      <c r="U13" s="159"/>
      <c r="V13" s="159"/>
      <c r="W13" s="159"/>
      <c r="X13" s="159"/>
      <c r="Y13" s="159"/>
      <c r="Z13" s="159"/>
      <c r="AA13" s="159"/>
      <c r="AB13" s="159"/>
      <c r="AC13" s="159"/>
      <c r="AD13" s="159"/>
      <c r="AE13" s="159"/>
      <c r="AF13" s="159"/>
      <c r="AG13" s="159"/>
      <c r="AH13" s="159"/>
      <c r="AI13" s="159"/>
      <c r="AJ13" s="159"/>
      <c r="AK13" s="159"/>
      <c r="AL13" s="159"/>
      <c r="AM13" s="159"/>
      <c r="AN13" s="159"/>
      <c r="AO13" s="159"/>
      <c r="AP13" s="159"/>
      <c r="AQ13" s="159"/>
    </row>
    <row r="14" spans="1:43" x14ac:dyDescent="0.25">
      <c r="A14" s="77" t="s">
        <v>311</v>
      </c>
      <c r="B14" s="159">
        <v>326</v>
      </c>
      <c r="C14" s="159"/>
      <c r="D14" s="159"/>
      <c r="E14" s="159"/>
      <c r="F14" s="159"/>
      <c r="G14" s="159"/>
      <c r="H14" s="159"/>
      <c r="I14" s="159"/>
      <c r="J14" s="159"/>
      <c r="K14" s="159"/>
      <c r="L14" s="159"/>
      <c r="M14" s="159"/>
      <c r="N14" s="159"/>
      <c r="O14" s="159"/>
      <c r="P14" s="159"/>
      <c r="Q14" s="159"/>
      <c r="R14" s="159"/>
      <c r="S14" s="159"/>
      <c r="T14" s="159"/>
      <c r="U14" s="159"/>
      <c r="V14" s="159"/>
      <c r="W14" s="159"/>
      <c r="X14" s="159"/>
      <c r="Y14" s="159"/>
      <c r="Z14" s="159"/>
      <c r="AA14" s="159"/>
      <c r="AB14" s="159"/>
      <c r="AC14" s="159"/>
      <c r="AD14" s="159"/>
      <c r="AE14" s="159"/>
      <c r="AF14" s="159"/>
      <c r="AG14" s="159"/>
      <c r="AH14" s="159"/>
      <c r="AI14" s="159"/>
      <c r="AJ14" s="159"/>
      <c r="AK14" s="159"/>
      <c r="AL14" s="159"/>
      <c r="AM14" s="159"/>
      <c r="AN14" s="159"/>
      <c r="AO14" s="159"/>
      <c r="AP14" s="159"/>
      <c r="AQ14" s="159"/>
    </row>
    <row r="15" spans="1:43" x14ac:dyDescent="0.25">
      <c r="A15" s="77" t="s">
        <v>573</v>
      </c>
      <c r="B15" s="159" t="s">
        <v>428</v>
      </c>
      <c r="C15" s="159"/>
      <c r="D15" s="159"/>
      <c r="E15" s="159"/>
      <c r="F15" s="159"/>
      <c r="G15" s="159"/>
      <c r="H15" s="159"/>
      <c r="I15" s="159"/>
      <c r="J15" s="159"/>
      <c r="K15" s="159"/>
      <c r="L15" s="159"/>
      <c r="M15" s="159"/>
      <c r="N15" s="159"/>
      <c r="O15" s="159"/>
      <c r="P15" s="159"/>
      <c r="Q15" s="159"/>
      <c r="R15" s="159"/>
      <c r="S15" s="159"/>
      <c r="T15" s="159"/>
      <c r="U15" s="159"/>
      <c r="V15" s="159"/>
      <c r="W15" s="159"/>
      <c r="X15" s="159"/>
      <c r="Y15" s="159"/>
      <c r="Z15" s="159"/>
      <c r="AA15" s="159"/>
      <c r="AB15" s="159"/>
      <c r="AC15" s="159"/>
      <c r="AD15" s="159"/>
      <c r="AE15" s="159"/>
      <c r="AF15" s="159"/>
      <c r="AG15" s="159"/>
      <c r="AH15" s="159"/>
      <c r="AI15" s="159"/>
      <c r="AJ15" s="159"/>
      <c r="AK15" s="159"/>
      <c r="AL15" s="159"/>
      <c r="AM15" s="159"/>
      <c r="AN15" s="159"/>
      <c r="AO15" s="159"/>
      <c r="AP15" s="159"/>
      <c r="AQ15" s="159"/>
    </row>
    <row r="16" spans="1:43" x14ac:dyDescent="0.25">
      <c r="A16" s="77" t="s">
        <v>313</v>
      </c>
      <c r="B16" s="159" t="s">
        <v>429</v>
      </c>
      <c r="C16" s="159"/>
      <c r="D16" s="159"/>
      <c r="E16" s="159"/>
      <c r="F16" s="159"/>
      <c r="G16" s="159"/>
      <c r="H16" s="159"/>
      <c r="I16" s="159"/>
      <c r="J16" s="159"/>
      <c r="K16" s="159"/>
      <c r="L16" s="159"/>
      <c r="M16" s="159"/>
      <c r="N16" s="159"/>
      <c r="O16" s="159"/>
      <c r="P16" s="159"/>
      <c r="Q16" s="159"/>
      <c r="R16" s="159"/>
      <c r="S16" s="159"/>
      <c r="T16" s="159"/>
      <c r="U16" s="159"/>
      <c r="V16" s="159"/>
      <c r="W16" s="159"/>
      <c r="X16" s="159"/>
      <c r="Y16" s="159"/>
      <c r="Z16" s="159"/>
      <c r="AA16" s="159"/>
      <c r="AB16" s="159"/>
      <c r="AC16" s="159"/>
      <c r="AD16" s="159"/>
      <c r="AE16" s="159"/>
      <c r="AF16" s="159"/>
      <c r="AG16" s="159"/>
      <c r="AH16" s="159"/>
      <c r="AI16" s="159"/>
      <c r="AJ16" s="159"/>
      <c r="AK16" s="159"/>
      <c r="AL16" s="159"/>
      <c r="AM16" s="159"/>
      <c r="AN16" s="159"/>
      <c r="AO16" s="159"/>
      <c r="AP16" s="159"/>
      <c r="AQ16" s="159"/>
    </row>
    <row r="17" spans="1:43" x14ac:dyDescent="0.25">
      <c r="A17" s="77" t="s">
        <v>642</v>
      </c>
      <c r="B17" s="159"/>
      <c r="C17" s="159"/>
      <c r="D17" s="159"/>
      <c r="E17" s="159"/>
      <c r="F17" s="159"/>
      <c r="G17" s="159"/>
      <c r="H17" s="159"/>
      <c r="I17" s="159"/>
      <c r="J17" s="159"/>
      <c r="K17" s="159"/>
      <c r="L17" s="159"/>
      <c r="M17" s="159"/>
      <c r="N17" s="159"/>
      <c r="O17" s="159"/>
      <c r="P17" s="159"/>
      <c r="Q17" s="159"/>
      <c r="R17" s="159"/>
      <c r="S17" s="159"/>
      <c r="T17" s="159"/>
      <c r="U17" s="159"/>
      <c r="V17" s="159"/>
      <c r="W17" s="159"/>
      <c r="X17" s="159"/>
      <c r="Y17" s="159"/>
      <c r="Z17" s="159"/>
      <c r="AA17" s="159"/>
      <c r="AB17" s="159"/>
      <c r="AC17" s="159"/>
      <c r="AD17" s="159"/>
      <c r="AE17" s="159"/>
      <c r="AF17" s="159"/>
      <c r="AG17" s="159"/>
      <c r="AH17" s="159"/>
      <c r="AI17" s="159"/>
      <c r="AJ17" s="159"/>
      <c r="AK17" s="159"/>
      <c r="AL17" s="159"/>
      <c r="AM17" s="159"/>
      <c r="AN17" s="159"/>
      <c r="AO17" s="159"/>
      <c r="AP17" s="159"/>
      <c r="AQ17" s="159"/>
    </row>
    <row r="18" spans="1:43" x14ac:dyDescent="0.25">
      <c r="A18" s="77" t="s">
        <v>315</v>
      </c>
      <c r="B18" s="161">
        <v>45070</v>
      </c>
      <c r="C18" s="159"/>
      <c r="D18" s="159"/>
      <c r="E18" s="159"/>
      <c r="F18" s="159"/>
      <c r="G18" s="159"/>
      <c r="H18" s="159"/>
      <c r="I18" s="159"/>
      <c r="J18" s="159"/>
      <c r="K18" s="159"/>
      <c r="L18" s="159"/>
      <c r="M18" s="159"/>
      <c r="N18" s="159"/>
      <c r="O18" s="159"/>
      <c r="P18" s="159"/>
      <c r="Q18" s="159"/>
      <c r="R18" s="159"/>
      <c r="S18" s="159"/>
      <c r="T18" s="159"/>
      <c r="U18" s="159"/>
      <c r="V18" s="159"/>
      <c r="W18" s="159"/>
      <c r="X18" s="159"/>
      <c r="Y18" s="159"/>
      <c r="Z18" s="159"/>
      <c r="AA18" s="159"/>
      <c r="AB18" s="159"/>
      <c r="AC18" s="159"/>
      <c r="AD18" s="159"/>
      <c r="AE18" s="159"/>
      <c r="AF18" s="159"/>
      <c r="AG18" s="159"/>
      <c r="AH18" s="159"/>
      <c r="AI18" s="159"/>
      <c r="AJ18" s="159"/>
      <c r="AK18" s="159"/>
      <c r="AL18" s="159"/>
      <c r="AM18" s="159"/>
      <c r="AN18" s="159"/>
      <c r="AO18" s="159"/>
      <c r="AP18" s="159"/>
      <c r="AQ18" s="159"/>
    </row>
    <row r="19" spans="1:43" x14ac:dyDescent="0.25">
      <c r="A19" s="77" t="s">
        <v>316</v>
      </c>
      <c r="B19" s="161">
        <v>45014</v>
      </c>
      <c r="C19" s="159"/>
      <c r="D19" s="159"/>
      <c r="E19" s="159"/>
      <c r="F19" s="159"/>
      <c r="G19" s="159"/>
      <c r="H19" s="159"/>
      <c r="I19" s="159"/>
      <c r="J19" s="159"/>
      <c r="K19" s="159"/>
      <c r="L19" s="159"/>
      <c r="M19" s="159"/>
      <c r="N19" s="159"/>
      <c r="O19" s="159"/>
      <c r="P19" s="159"/>
      <c r="Q19" s="159"/>
      <c r="R19" s="159"/>
      <c r="S19" s="159"/>
      <c r="T19" s="159"/>
      <c r="U19" s="159"/>
      <c r="V19" s="159"/>
      <c r="W19" s="159"/>
      <c r="X19" s="159"/>
      <c r="Y19" s="159"/>
      <c r="Z19" s="159"/>
      <c r="AA19" s="159"/>
      <c r="AB19" s="159"/>
      <c r="AC19" s="159"/>
      <c r="AD19" s="159"/>
      <c r="AE19" s="159"/>
      <c r="AF19" s="159"/>
      <c r="AG19" s="159"/>
      <c r="AH19" s="159"/>
      <c r="AI19" s="159"/>
      <c r="AJ19" s="159"/>
      <c r="AK19" s="159"/>
      <c r="AL19" s="159"/>
      <c r="AM19" s="159"/>
      <c r="AN19" s="159"/>
      <c r="AO19" s="159"/>
      <c r="AP19" s="159"/>
      <c r="AQ19" s="159"/>
    </row>
    <row r="20" spans="1:43" x14ac:dyDescent="0.25">
      <c r="A20" s="77" t="s">
        <v>317</v>
      </c>
      <c r="B20" s="159" t="s">
        <v>327</v>
      </c>
      <c r="C20" s="159"/>
      <c r="D20" s="159"/>
      <c r="E20" s="159"/>
      <c r="F20" s="159"/>
      <c r="G20" s="159"/>
      <c r="H20" s="159"/>
      <c r="I20" s="159"/>
      <c r="J20" s="159"/>
      <c r="K20" s="159"/>
      <c r="L20" s="159"/>
      <c r="M20" s="159"/>
      <c r="N20" s="159"/>
      <c r="O20" s="159"/>
      <c r="P20" s="159"/>
      <c r="Q20" s="159"/>
      <c r="R20" s="159"/>
      <c r="S20" s="159"/>
      <c r="T20" s="159"/>
      <c r="U20" s="159"/>
      <c r="V20" s="159"/>
      <c r="W20" s="159"/>
      <c r="X20" s="159"/>
      <c r="Y20" s="159"/>
      <c r="Z20" s="159"/>
      <c r="AA20" s="159"/>
      <c r="AB20" s="159"/>
      <c r="AC20" s="159"/>
      <c r="AD20" s="159"/>
      <c r="AE20" s="159"/>
      <c r="AF20" s="159"/>
      <c r="AG20" s="159"/>
      <c r="AH20" s="159"/>
      <c r="AI20" s="159"/>
      <c r="AJ20" s="159"/>
      <c r="AK20" s="159"/>
      <c r="AL20" s="159"/>
      <c r="AM20" s="159"/>
      <c r="AN20" s="159"/>
      <c r="AO20" s="159"/>
      <c r="AP20" s="159"/>
      <c r="AQ20" s="159"/>
    </row>
    <row r="21" spans="1:43" x14ac:dyDescent="0.25">
      <c r="A21" s="77" t="s">
        <v>318</v>
      </c>
      <c r="B21" s="159" t="s">
        <v>328</v>
      </c>
      <c r="C21" s="159"/>
      <c r="D21" s="159"/>
      <c r="E21" s="159"/>
      <c r="F21" s="159"/>
      <c r="G21" s="159"/>
      <c r="H21" s="159"/>
      <c r="I21" s="159"/>
      <c r="J21" s="159"/>
      <c r="K21" s="159"/>
      <c r="L21" s="159"/>
      <c r="M21" s="159"/>
      <c r="N21" s="159"/>
      <c r="O21" s="159"/>
      <c r="P21" s="159"/>
      <c r="Q21" s="159"/>
      <c r="R21" s="159"/>
      <c r="S21" s="159"/>
      <c r="T21" s="159"/>
      <c r="U21" s="159"/>
      <c r="V21" s="159"/>
      <c r="W21" s="159"/>
      <c r="X21" s="159"/>
      <c r="Y21" s="159"/>
      <c r="Z21" s="159"/>
      <c r="AA21" s="159"/>
      <c r="AB21" s="159"/>
      <c r="AC21" s="159"/>
      <c r="AD21" s="159"/>
      <c r="AE21" s="159"/>
      <c r="AF21" s="159"/>
      <c r="AG21" s="159"/>
      <c r="AH21" s="159"/>
      <c r="AI21" s="159"/>
      <c r="AJ21" s="159"/>
      <c r="AK21" s="159"/>
      <c r="AL21" s="159"/>
      <c r="AM21" s="159"/>
      <c r="AN21" s="159"/>
      <c r="AO21" s="159"/>
      <c r="AP21" s="159"/>
      <c r="AQ21" s="159"/>
    </row>
    <row r="23" spans="1:43" x14ac:dyDescent="0.25">
      <c r="B23" s="91" t="str">
        <f>HYPERLINK("#'Factor List'!A1","Back to Factor List")</f>
        <v>Back to Factor List</v>
      </c>
    </row>
    <row r="24" spans="1:43" x14ac:dyDescent="0.25">
      <c r="B24" s="91" t="s">
        <v>240</v>
      </c>
    </row>
    <row r="25" spans="1:43" x14ac:dyDescent="0.25">
      <c r="B25" s="91"/>
    </row>
    <row r="26" spans="1:43" ht="13" x14ac:dyDescent="0.25">
      <c r="A26" s="87" t="s">
        <v>667</v>
      </c>
      <c r="B26" s="87">
        <v>18</v>
      </c>
      <c r="C26" s="87">
        <v>19</v>
      </c>
      <c r="D26" s="87">
        <v>20</v>
      </c>
      <c r="E26" s="87">
        <v>21</v>
      </c>
      <c r="F26" s="87">
        <v>22</v>
      </c>
      <c r="G26" s="87">
        <v>23</v>
      </c>
      <c r="H26" s="87">
        <v>24</v>
      </c>
      <c r="I26" s="87">
        <v>25</v>
      </c>
      <c r="J26" s="87">
        <v>26</v>
      </c>
      <c r="K26" s="87">
        <v>27</v>
      </c>
      <c r="L26" s="87">
        <v>28</v>
      </c>
      <c r="M26" s="87">
        <v>29</v>
      </c>
      <c r="N26" s="87">
        <v>30</v>
      </c>
      <c r="O26" s="87">
        <v>31</v>
      </c>
      <c r="P26" s="87">
        <v>32</v>
      </c>
      <c r="Q26" s="87">
        <v>33</v>
      </c>
      <c r="R26" s="87">
        <v>34</v>
      </c>
      <c r="S26" s="87">
        <v>35</v>
      </c>
      <c r="T26" s="87">
        <v>36</v>
      </c>
      <c r="U26" s="87">
        <v>37</v>
      </c>
      <c r="V26" s="87">
        <v>38</v>
      </c>
      <c r="W26" s="87">
        <v>39</v>
      </c>
      <c r="X26" s="87">
        <v>40</v>
      </c>
      <c r="Y26" s="87">
        <v>41</v>
      </c>
      <c r="Z26" s="87">
        <v>42</v>
      </c>
      <c r="AA26" s="87">
        <v>43</v>
      </c>
      <c r="AB26" s="87">
        <v>44</v>
      </c>
      <c r="AC26" s="87">
        <v>45</v>
      </c>
      <c r="AD26" s="87">
        <v>46</v>
      </c>
      <c r="AE26" s="87">
        <v>47</v>
      </c>
      <c r="AF26" s="87">
        <v>48</v>
      </c>
      <c r="AG26" s="87">
        <v>49</v>
      </c>
      <c r="AH26" s="87">
        <v>50</v>
      </c>
      <c r="AI26" s="87">
        <v>51</v>
      </c>
      <c r="AJ26" s="87">
        <v>52</v>
      </c>
      <c r="AK26" s="87">
        <v>53</v>
      </c>
      <c r="AL26" s="87">
        <v>54</v>
      </c>
      <c r="AM26" s="87">
        <v>55</v>
      </c>
      <c r="AN26" s="87">
        <v>56</v>
      </c>
      <c r="AO26" s="87">
        <v>57</v>
      </c>
      <c r="AP26" s="87">
        <v>58</v>
      </c>
      <c r="AQ26" s="87">
        <v>59</v>
      </c>
    </row>
    <row r="27" spans="1:43" x14ac:dyDescent="0.25">
      <c r="A27" s="88">
        <v>0</v>
      </c>
      <c r="B27" s="90">
        <v>0.26700000000000002</v>
      </c>
      <c r="C27" s="90">
        <v>0.27300000000000002</v>
      </c>
      <c r="D27" s="90">
        <v>0.27900000000000003</v>
      </c>
      <c r="E27" s="90">
        <v>0.28599999999999998</v>
      </c>
      <c r="F27" s="90">
        <v>0.29299999999999998</v>
      </c>
      <c r="G27" s="90">
        <v>0.3</v>
      </c>
      <c r="H27" s="90">
        <v>0.307</v>
      </c>
      <c r="I27" s="90">
        <v>0.315</v>
      </c>
      <c r="J27" s="90">
        <v>0.32200000000000001</v>
      </c>
      <c r="K27" s="90">
        <v>0.33</v>
      </c>
      <c r="L27" s="90">
        <v>0.33900000000000002</v>
      </c>
      <c r="M27" s="90">
        <v>0.34799999999999998</v>
      </c>
      <c r="N27" s="90">
        <v>0.35699999999999998</v>
      </c>
      <c r="O27" s="90">
        <v>0.36599999999999999</v>
      </c>
      <c r="P27" s="90">
        <v>0.376</v>
      </c>
      <c r="Q27" s="90">
        <v>0.38600000000000001</v>
      </c>
      <c r="R27" s="90">
        <v>0.39700000000000002</v>
      </c>
      <c r="S27" s="90">
        <v>0.40799999999999997</v>
      </c>
      <c r="T27" s="90">
        <v>0.42</v>
      </c>
      <c r="U27" s="90">
        <v>0.432</v>
      </c>
      <c r="V27" s="90">
        <v>0.44500000000000001</v>
      </c>
      <c r="W27" s="90">
        <v>0.45800000000000002</v>
      </c>
      <c r="X27" s="90">
        <v>0.47199999999999998</v>
      </c>
      <c r="Y27" s="90">
        <v>0.48599999999999999</v>
      </c>
      <c r="Z27" s="90">
        <v>0.502</v>
      </c>
      <c r="AA27" s="90">
        <v>0.51800000000000002</v>
      </c>
      <c r="AB27" s="90">
        <v>0.53500000000000003</v>
      </c>
      <c r="AC27" s="90">
        <v>0.55200000000000005</v>
      </c>
      <c r="AD27" s="90">
        <v>0.57099999999999995</v>
      </c>
      <c r="AE27" s="90">
        <v>0.59099999999999997</v>
      </c>
      <c r="AF27" s="90">
        <v>0.61199999999999999</v>
      </c>
      <c r="AG27" s="90">
        <v>0.63400000000000001</v>
      </c>
      <c r="AH27" s="90">
        <v>0.65800000000000003</v>
      </c>
      <c r="AI27" s="90">
        <v>0.68300000000000005</v>
      </c>
      <c r="AJ27" s="90">
        <v>0.70899999999999996</v>
      </c>
      <c r="AK27" s="90">
        <v>0.73699999999999999</v>
      </c>
      <c r="AL27" s="90">
        <v>0.76700000000000002</v>
      </c>
      <c r="AM27" s="90">
        <v>0.8</v>
      </c>
      <c r="AN27" s="90">
        <v>0.83399999999999996</v>
      </c>
      <c r="AO27" s="90">
        <v>0.871</v>
      </c>
      <c r="AP27" s="90">
        <v>0.91100000000000003</v>
      </c>
      <c r="AQ27" s="90">
        <v>0.95399999999999996</v>
      </c>
    </row>
    <row r="28" spans="1:43" x14ac:dyDescent="0.25">
      <c r="A28" s="88">
        <v>1</v>
      </c>
      <c r="B28" s="90">
        <v>0.26700000000000002</v>
      </c>
      <c r="C28" s="90">
        <v>0.27300000000000002</v>
      </c>
      <c r="D28" s="90">
        <v>0.28000000000000003</v>
      </c>
      <c r="E28" s="90">
        <v>0.28599999999999998</v>
      </c>
      <c r="F28" s="90">
        <v>0.29299999999999998</v>
      </c>
      <c r="G28" s="90">
        <v>0.3</v>
      </c>
      <c r="H28" s="90">
        <v>0.308</v>
      </c>
      <c r="I28" s="90">
        <v>0.315</v>
      </c>
      <c r="J28" s="90">
        <v>0.32300000000000001</v>
      </c>
      <c r="K28" s="90">
        <v>0.33100000000000002</v>
      </c>
      <c r="L28" s="90">
        <v>0.34</v>
      </c>
      <c r="M28" s="90">
        <v>0.34799999999999998</v>
      </c>
      <c r="N28" s="90">
        <v>0.35799999999999998</v>
      </c>
      <c r="O28" s="90">
        <v>0.36699999999999999</v>
      </c>
      <c r="P28" s="90">
        <v>0.377</v>
      </c>
      <c r="Q28" s="90">
        <v>0.38700000000000001</v>
      </c>
      <c r="R28" s="90">
        <v>0.39800000000000002</v>
      </c>
      <c r="S28" s="90">
        <v>0.40899999999999997</v>
      </c>
      <c r="T28" s="90">
        <v>0.42099999999999999</v>
      </c>
      <c r="U28" s="90">
        <v>0.433</v>
      </c>
      <c r="V28" s="90">
        <v>0.44600000000000001</v>
      </c>
      <c r="W28" s="90">
        <v>0.45900000000000002</v>
      </c>
      <c r="X28" s="90">
        <v>0.47299999999999998</v>
      </c>
      <c r="Y28" s="90">
        <v>0.48799999999999999</v>
      </c>
      <c r="Z28" s="90">
        <v>0.503</v>
      </c>
      <c r="AA28" s="90">
        <v>0.51900000000000002</v>
      </c>
      <c r="AB28" s="90">
        <v>0.53600000000000003</v>
      </c>
      <c r="AC28" s="90">
        <v>0.55400000000000005</v>
      </c>
      <c r="AD28" s="90">
        <v>0.57299999999999995</v>
      </c>
      <c r="AE28" s="90">
        <v>0.59299999999999997</v>
      </c>
      <c r="AF28" s="90">
        <v>0.61399999999999999</v>
      </c>
      <c r="AG28" s="90">
        <v>0.63600000000000001</v>
      </c>
      <c r="AH28" s="90">
        <v>0.66</v>
      </c>
      <c r="AI28" s="90">
        <v>0.68500000000000005</v>
      </c>
      <c r="AJ28" s="90">
        <v>0.71099999999999997</v>
      </c>
      <c r="AK28" s="90">
        <v>0.74</v>
      </c>
      <c r="AL28" s="90">
        <v>0.77</v>
      </c>
      <c r="AM28" s="90">
        <v>0.80200000000000005</v>
      </c>
      <c r="AN28" s="90">
        <v>0.83699999999999997</v>
      </c>
      <c r="AO28" s="90">
        <v>0.874</v>
      </c>
      <c r="AP28" s="90">
        <v>0.91400000000000003</v>
      </c>
      <c r="AQ28" s="90">
        <v>0.95799999999999996</v>
      </c>
    </row>
    <row r="29" spans="1:43" x14ac:dyDescent="0.25">
      <c r="A29" s="88">
        <v>2</v>
      </c>
      <c r="B29" s="90">
        <v>0.26800000000000002</v>
      </c>
      <c r="C29" s="90">
        <v>0.27400000000000002</v>
      </c>
      <c r="D29" s="90">
        <v>0.28000000000000003</v>
      </c>
      <c r="E29" s="90">
        <v>0.28699999999999998</v>
      </c>
      <c r="F29" s="90">
        <v>0.29399999999999998</v>
      </c>
      <c r="G29" s="90">
        <v>0.30099999999999999</v>
      </c>
      <c r="H29" s="90">
        <v>0.308</v>
      </c>
      <c r="I29" s="90">
        <v>0.316</v>
      </c>
      <c r="J29" s="90">
        <v>0.32400000000000001</v>
      </c>
      <c r="K29" s="90">
        <v>0.33200000000000002</v>
      </c>
      <c r="L29" s="90">
        <v>0.34</v>
      </c>
      <c r="M29" s="90">
        <v>0.34899999999999998</v>
      </c>
      <c r="N29" s="90">
        <v>0.35799999999999998</v>
      </c>
      <c r="O29" s="90">
        <v>0.36799999999999999</v>
      </c>
      <c r="P29" s="90">
        <v>0.378</v>
      </c>
      <c r="Q29" s="90">
        <v>0.38800000000000001</v>
      </c>
      <c r="R29" s="90">
        <v>0.39900000000000002</v>
      </c>
      <c r="S29" s="90">
        <v>0.41</v>
      </c>
      <c r="T29" s="90">
        <v>0.42199999999999999</v>
      </c>
      <c r="U29" s="90">
        <v>0.434</v>
      </c>
      <c r="V29" s="90">
        <v>0.44700000000000001</v>
      </c>
      <c r="W29" s="90">
        <v>0.46</v>
      </c>
      <c r="X29" s="90">
        <v>0.47399999999999998</v>
      </c>
      <c r="Y29" s="90">
        <v>0.48899999999999999</v>
      </c>
      <c r="Z29" s="90">
        <v>0.504</v>
      </c>
      <c r="AA29" s="90">
        <v>0.52100000000000002</v>
      </c>
      <c r="AB29" s="90">
        <v>0.53800000000000003</v>
      </c>
      <c r="AC29" s="90">
        <v>0.55600000000000005</v>
      </c>
      <c r="AD29" s="90">
        <v>0.57399999999999995</v>
      </c>
      <c r="AE29" s="90">
        <v>0.59399999999999997</v>
      </c>
      <c r="AF29" s="90">
        <v>0.61599999999999999</v>
      </c>
      <c r="AG29" s="90">
        <v>0.63800000000000001</v>
      </c>
      <c r="AH29" s="90">
        <v>0.66200000000000003</v>
      </c>
      <c r="AI29" s="90">
        <v>0.68700000000000006</v>
      </c>
      <c r="AJ29" s="90">
        <v>0.71399999999999997</v>
      </c>
      <c r="AK29" s="90">
        <v>0.74199999999999999</v>
      </c>
      <c r="AL29" s="90">
        <v>0.77300000000000002</v>
      </c>
      <c r="AM29" s="90">
        <v>0.80500000000000005</v>
      </c>
      <c r="AN29" s="90">
        <v>0.84</v>
      </c>
      <c r="AO29" s="90">
        <v>0.878</v>
      </c>
      <c r="AP29" s="90">
        <v>0.91800000000000004</v>
      </c>
      <c r="AQ29" s="90">
        <v>0.96099999999999997</v>
      </c>
    </row>
    <row r="30" spans="1:43" x14ac:dyDescent="0.25">
      <c r="A30" s="88">
        <v>3</v>
      </c>
      <c r="B30" s="90">
        <v>0.26800000000000002</v>
      </c>
      <c r="C30" s="90">
        <v>0.27500000000000002</v>
      </c>
      <c r="D30" s="90">
        <v>0.28100000000000003</v>
      </c>
      <c r="E30" s="90">
        <v>0.28799999999999998</v>
      </c>
      <c r="F30" s="90">
        <v>0.29399999999999998</v>
      </c>
      <c r="G30" s="90">
        <v>0.30199999999999999</v>
      </c>
      <c r="H30" s="90">
        <v>0.309</v>
      </c>
      <c r="I30" s="90">
        <v>0.316</v>
      </c>
      <c r="J30" s="90">
        <v>0.32400000000000001</v>
      </c>
      <c r="K30" s="90">
        <v>0.33300000000000002</v>
      </c>
      <c r="L30" s="90">
        <v>0.34100000000000003</v>
      </c>
      <c r="M30" s="90">
        <v>0.35</v>
      </c>
      <c r="N30" s="90">
        <v>0.35899999999999999</v>
      </c>
      <c r="O30" s="90">
        <v>0.36899999999999999</v>
      </c>
      <c r="P30" s="90">
        <v>0.379</v>
      </c>
      <c r="Q30" s="90">
        <v>0.38900000000000001</v>
      </c>
      <c r="R30" s="90">
        <v>0.4</v>
      </c>
      <c r="S30" s="90">
        <v>0.41099999999999998</v>
      </c>
      <c r="T30" s="90">
        <v>0.42299999999999999</v>
      </c>
      <c r="U30" s="90">
        <v>0.435</v>
      </c>
      <c r="V30" s="90">
        <v>0.44800000000000001</v>
      </c>
      <c r="W30" s="90">
        <v>0.46100000000000002</v>
      </c>
      <c r="X30" s="90">
        <v>0.47499999999999998</v>
      </c>
      <c r="Y30" s="90">
        <v>0.49</v>
      </c>
      <c r="Z30" s="90">
        <v>0.50600000000000001</v>
      </c>
      <c r="AA30" s="90">
        <v>0.52200000000000002</v>
      </c>
      <c r="AB30" s="90">
        <v>0.53900000000000003</v>
      </c>
      <c r="AC30" s="90">
        <v>0.55700000000000005</v>
      </c>
      <c r="AD30" s="90">
        <v>0.57599999999999996</v>
      </c>
      <c r="AE30" s="90">
        <v>0.59599999999999997</v>
      </c>
      <c r="AF30" s="90">
        <v>0.61699999999999999</v>
      </c>
      <c r="AG30" s="90">
        <v>0.64</v>
      </c>
      <c r="AH30" s="90">
        <v>0.66400000000000003</v>
      </c>
      <c r="AI30" s="90">
        <v>0.68899999999999995</v>
      </c>
      <c r="AJ30" s="90">
        <v>0.71599999999999997</v>
      </c>
      <c r="AK30" s="90">
        <v>0.745</v>
      </c>
      <c r="AL30" s="90">
        <v>0.77500000000000002</v>
      </c>
      <c r="AM30" s="90">
        <v>0.80800000000000005</v>
      </c>
      <c r="AN30" s="90">
        <v>0.84299999999999997</v>
      </c>
      <c r="AO30" s="90">
        <v>0.88100000000000001</v>
      </c>
      <c r="AP30" s="90">
        <v>0.92200000000000004</v>
      </c>
      <c r="AQ30" s="90">
        <v>0.96499999999999997</v>
      </c>
    </row>
    <row r="31" spans="1:43" x14ac:dyDescent="0.25">
      <c r="A31" s="88">
        <v>4</v>
      </c>
      <c r="B31" s="90">
        <v>0.26900000000000002</v>
      </c>
      <c r="C31" s="90">
        <v>0.27500000000000002</v>
      </c>
      <c r="D31" s="90">
        <v>0.28100000000000003</v>
      </c>
      <c r="E31" s="90">
        <v>0.28799999999999998</v>
      </c>
      <c r="F31" s="90">
        <v>0.29499999999999998</v>
      </c>
      <c r="G31" s="90">
        <v>0.30199999999999999</v>
      </c>
      <c r="H31" s="90">
        <v>0.31</v>
      </c>
      <c r="I31" s="90">
        <v>0.317</v>
      </c>
      <c r="J31" s="90">
        <v>0.32500000000000001</v>
      </c>
      <c r="K31" s="90">
        <v>0.33300000000000002</v>
      </c>
      <c r="L31" s="90">
        <v>0.34200000000000003</v>
      </c>
      <c r="M31" s="90">
        <v>0.35099999999999998</v>
      </c>
      <c r="N31" s="90">
        <v>0.36</v>
      </c>
      <c r="O31" s="90">
        <v>0.36899999999999999</v>
      </c>
      <c r="P31" s="90">
        <v>0.379</v>
      </c>
      <c r="Q31" s="90">
        <v>0.39</v>
      </c>
      <c r="R31" s="90">
        <v>0.40100000000000002</v>
      </c>
      <c r="S31" s="90">
        <v>0.41199999999999998</v>
      </c>
      <c r="T31" s="90">
        <v>0.42399999999999999</v>
      </c>
      <c r="U31" s="90">
        <v>0.436</v>
      </c>
      <c r="V31" s="90">
        <v>0.44900000000000001</v>
      </c>
      <c r="W31" s="90">
        <v>0.46200000000000002</v>
      </c>
      <c r="X31" s="90">
        <v>0.47699999999999998</v>
      </c>
      <c r="Y31" s="90">
        <v>0.49099999999999999</v>
      </c>
      <c r="Z31" s="90">
        <v>0.50700000000000001</v>
      </c>
      <c r="AA31" s="90">
        <v>0.52300000000000002</v>
      </c>
      <c r="AB31" s="90">
        <v>0.54100000000000004</v>
      </c>
      <c r="AC31" s="90">
        <v>0.55900000000000005</v>
      </c>
      <c r="AD31" s="90">
        <v>0.57799999999999996</v>
      </c>
      <c r="AE31" s="90">
        <v>0.59799999999999998</v>
      </c>
      <c r="AF31" s="90">
        <v>0.61899999999999999</v>
      </c>
      <c r="AG31" s="90">
        <v>0.64200000000000002</v>
      </c>
      <c r="AH31" s="90">
        <v>0.66600000000000004</v>
      </c>
      <c r="AI31" s="90">
        <v>0.69099999999999995</v>
      </c>
      <c r="AJ31" s="90">
        <v>0.71799999999999997</v>
      </c>
      <c r="AK31" s="90">
        <v>0.747</v>
      </c>
      <c r="AL31" s="90">
        <v>0.77800000000000002</v>
      </c>
      <c r="AM31" s="90">
        <v>0.81100000000000005</v>
      </c>
      <c r="AN31" s="90">
        <v>0.84599999999999997</v>
      </c>
      <c r="AO31" s="90">
        <v>0.88400000000000001</v>
      </c>
      <c r="AP31" s="90">
        <v>0.92500000000000004</v>
      </c>
      <c r="AQ31" s="90">
        <v>0.96899999999999997</v>
      </c>
    </row>
    <row r="32" spans="1:43" x14ac:dyDescent="0.25">
      <c r="A32" s="88">
        <v>5</v>
      </c>
      <c r="B32" s="90">
        <v>0.26900000000000002</v>
      </c>
      <c r="C32" s="90">
        <v>0.27600000000000002</v>
      </c>
      <c r="D32" s="90">
        <v>0.28199999999999997</v>
      </c>
      <c r="E32" s="90">
        <v>0.28899999999999998</v>
      </c>
      <c r="F32" s="90">
        <v>0.29599999999999999</v>
      </c>
      <c r="G32" s="90">
        <v>0.30299999999999999</v>
      </c>
      <c r="H32" s="90">
        <v>0.31</v>
      </c>
      <c r="I32" s="90">
        <v>0.318</v>
      </c>
      <c r="J32" s="90">
        <v>0.32600000000000001</v>
      </c>
      <c r="K32" s="90">
        <v>0.33400000000000002</v>
      </c>
      <c r="L32" s="90">
        <v>0.34300000000000003</v>
      </c>
      <c r="M32" s="90">
        <v>0.35099999999999998</v>
      </c>
      <c r="N32" s="90">
        <v>0.36099999999999999</v>
      </c>
      <c r="O32" s="90">
        <v>0.37</v>
      </c>
      <c r="P32" s="90">
        <v>0.38</v>
      </c>
      <c r="Q32" s="90">
        <v>0.39100000000000001</v>
      </c>
      <c r="R32" s="90">
        <v>0.40200000000000002</v>
      </c>
      <c r="S32" s="90">
        <v>0.41299999999999998</v>
      </c>
      <c r="T32" s="90">
        <v>0.42499999999999999</v>
      </c>
      <c r="U32" s="90">
        <v>0.437</v>
      </c>
      <c r="V32" s="90">
        <v>0.45</v>
      </c>
      <c r="W32" s="90">
        <v>0.46400000000000002</v>
      </c>
      <c r="X32" s="90">
        <v>0.47799999999999998</v>
      </c>
      <c r="Y32" s="90">
        <v>0.49299999999999999</v>
      </c>
      <c r="Z32" s="90">
        <v>0.50800000000000001</v>
      </c>
      <c r="AA32" s="90">
        <v>0.52500000000000002</v>
      </c>
      <c r="AB32" s="90">
        <v>0.54200000000000004</v>
      </c>
      <c r="AC32" s="90">
        <v>0.56000000000000005</v>
      </c>
      <c r="AD32" s="90">
        <v>0.57899999999999996</v>
      </c>
      <c r="AE32" s="90">
        <v>0.6</v>
      </c>
      <c r="AF32" s="90">
        <v>0.621</v>
      </c>
      <c r="AG32" s="90">
        <v>0.64400000000000002</v>
      </c>
      <c r="AH32" s="90">
        <v>0.66800000000000004</v>
      </c>
      <c r="AI32" s="90">
        <v>0.69399999999999995</v>
      </c>
      <c r="AJ32" s="90">
        <v>0.72099999999999997</v>
      </c>
      <c r="AK32" s="90">
        <v>0.75</v>
      </c>
      <c r="AL32" s="90">
        <v>0.78100000000000003</v>
      </c>
      <c r="AM32" s="90">
        <v>0.81399999999999995</v>
      </c>
      <c r="AN32" s="90">
        <v>0.84899999999999998</v>
      </c>
      <c r="AO32" s="90">
        <v>0.88800000000000001</v>
      </c>
      <c r="AP32" s="90">
        <v>0.92900000000000005</v>
      </c>
      <c r="AQ32" s="90">
        <v>0.97299999999999998</v>
      </c>
    </row>
    <row r="33" spans="1:43" x14ac:dyDescent="0.25">
      <c r="A33" s="88">
        <v>6</v>
      </c>
      <c r="B33" s="90">
        <v>0.27</v>
      </c>
      <c r="C33" s="90">
        <v>0.27600000000000002</v>
      </c>
      <c r="D33" s="90">
        <v>0.28299999999999997</v>
      </c>
      <c r="E33" s="90">
        <v>0.28899999999999998</v>
      </c>
      <c r="F33" s="90">
        <v>0.29599999999999999</v>
      </c>
      <c r="G33" s="90">
        <v>0.30299999999999999</v>
      </c>
      <c r="H33" s="90">
        <v>0.311</v>
      </c>
      <c r="I33" s="90">
        <v>0.318</v>
      </c>
      <c r="J33" s="90">
        <v>0.32600000000000001</v>
      </c>
      <c r="K33" s="90">
        <v>0.33500000000000002</v>
      </c>
      <c r="L33" s="90">
        <v>0.34300000000000003</v>
      </c>
      <c r="M33" s="90">
        <v>0.35199999999999998</v>
      </c>
      <c r="N33" s="90">
        <v>0.36099999999999999</v>
      </c>
      <c r="O33" s="90">
        <v>0.371</v>
      </c>
      <c r="P33" s="90">
        <v>0.38100000000000001</v>
      </c>
      <c r="Q33" s="90">
        <v>0.39200000000000002</v>
      </c>
      <c r="R33" s="90">
        <v>0.40300000000000002</v>
      </c>
      <c r="S33" s="90">
        <v>0.41399999999999998</v>
      </c>
      <c r="T33" s="90">
        <v>0.42599999999999999</v>
      </c>
      <c r="U33" s="90">
        <v>0.438</v>
      </c>
      <c r="V33" s="90">
        <v>0.45100000000000001</v>
      </c>
      <c r="W33" s="90">
        <v>0.46500000000000002</v>
      </c>
      <c r="X33" s="90">
        <v>0.47899999999999998</v>
      </c>
      <c r="Y33" s="90">
        <v>0.49399999999999999</v>
      </c>
      <c r="Z33" s="90">
        <v>0.51</v>
      </c>
      <c r="AA33" s="90">
        <v>0.52600000000000002</v>
      </c>
      <c r="AB33" s="90">
        <v>0.54400000000000004</v>
      </c>
      <c r="AC33" s="90">
        <v>0.56200000000000006</v>
      </c>
      <c r="AD33" s="90">
        <v>0.58099999999999996</v>
      </c>
      <c r="AE33" s="90">
        <v>0.60099999999999998</v>
      </c>
      <c r="AF33" s="90">
        <v>0.623</v>
      </c>
      <c r="AG33" s="90">
        <v>0.64600000000000002</v>
      </c>
      <c r="AH33" s="90">
        <v>0.67</v>
      </c>
      <c r="AI33" s="90">
        <v>0.69599999999999995</v>
      </c>
      <c r="AJ33" s="90">
        <v>0.72299999999999998</v>
      </c>
      <c r="AK33" s="90">
        <v>0.752</v>
      </c>
      <c r="AL33" s="90">
        <v>0.78300000000000003</v>
      </c>
      <c r="AM33" s="90">
        <v>0.81699999999999995</v>
      </c>
      <c r="AN33" s="90">
        <v>0.85299999999999998</v>
      </c>
      <c r="AO33" s="90">
        <v>0.89100000000000001</v>
      </c>
      <c r="AP33" s="90">
        <v>0.93200000000000005</v>
      </c>
      <c r="AQ33" s="90">
        <v>0.97699999999999998</v>
      </c>
    </row>
    <row r="34" spans="1:43" x14ac:dyDescent="0.25">
      <c r="A34" s="88">
        <v>7</v>
      </c>
      <c r="B34" s="90">
        <v>0.27</v>
      </c>
      <c r="C34" s="90">
        <v>0.27700000000000002</v>
      </c>
      <c r="D34" s="90">
        <v>0.28299999999999997</v>
      </c>
      <c r="E34" s="90">
        <v>0.28999999999999998</v>
      </c>
      <c r="F34" s="90">
        <v>0.29699999999999999</v>
      </c>
      <c r="G34" s="90">
        <v>0.30399999999999999</v>
      </c>
      <c r="H34" s="90">
        <v>0.311</v>
      </c>
      <c r="I34" s="90">
        <v>0.31900000000000001</v>
      </c>
      <c r="J34" s="90">
        <v>0.32700000000000001</v>
      </c>
      <c r="K34" s="90">
        <v>0.33500000000000002</v>
      </c>
      <c r="L34" s="90">
        <v>0.34399999999999997</v>
      </c>
      <c r="M34" s="90">
        <v>0.35299999999999998</v>
      </c>
      <c r="N34" s="90">
        <v>0.36199999999999999</v>
      </c>
      <c r="O34" s="90">
        <v>0.372</v>
      </c>
      <c r="P34" s="90">
        <v>0.38200000000000001</v>
      </c>
      <c r="Q34" s="90">
        <v>0.39300000000000002</v>
      </c>
      <c r="R34" s="90">
        <v>0.40300000000000002</v>
      </c>
      <c r="S34" s="90">
        <v>0.41499999999999998</v>
      </c>
      <c r="T34" s="90">
        <v>0.42699999999999999</v>
      </c>
      <c r="U34" s="90">
        <v>0.439</v>
      </c>
      <c r="V34" s="90">
        <v>0.45200000000000001</v>
      </c>
      <c r="W34" s="90">
        <v>0.46600000000000003</v>
      </c>
      <c r="X34" s="90">
        <v>0.48</v>
      </c>
      <c r="Y34" s="90">
        <v>0.495</v>
      </c>
      <c r="Z34" s="90">
        <v>0.51100000000000001</v>
      </c>
      <c r="AA34" s="90">
        <v>0.52800000000000002</v>
      </c>
      <c r="AB34" s="90">
        <v>0.54500000000000004</v>
      </c>
      <c r="AC34" s="90">
        <v>0.56299999999999994</v>
      </c>
      <c r="AD34" s="90">
        <v>0.58299999999999996</v>
      </c>
      <c r="AE34" s="90">
        <v>0.60299999999999998</v>
      </c>
      <c r="AF34" s="90">
        <v>0.625</v>
      </c>
      <c r="AG34" s="90">
        <v>0.64800000000000002</v>
      </c>
      <c r="AH34" s="90">
        <v>0.67200000000000004</v>
      </c>
      <c r="AI34" s="90">
        <v>0.69799999999999995</v>
      </c>
      <c r="AJ34" s="90">
        <v>0.72499999999999998</v>
      </c>
      <c r="AK34" s="90">
        <v>0.755</v>
      </c>
      <c r="AL34" s="90">
        <v>0.78600000000000003</v>
      </c>
      <c r="AM34" s="90">
        <v>0.82</v>
      </c>
      <c r="AN34" s="90">
        <v>0.85599999999999998</v>
      </c>
      <c r="AO34" s="90">
        <v>0.89400000000000002</v>
      </c>
      <c r="AP34" s="90">
        <v>0.93600000000000005</v>
      </c>
      <c r="AQ34" s="90">
        <v>0.98099999999999998</v>
      </c>
    </row>
    <row r="35" spans="1:43" x14ac:dyDescent="0.25">
      <c r="A35" s="88">
        <v>8</v>
      </c>
      <c r="B35" s="90">
        <v>0.27100000000000002</v>
      </c>
      <c r="C35" s="90">
        <v>0.27700000000000002</v>
      </c>
      <c r="D35" s="90">
        <v>0.28399999999999997</v>
      </c>
      <c r="E35" s="90">
        <v>0.28999999999999998</v>
      </c>
      <c r="F35" s="90">
        <v>0.29699999999999999</v>
      </c>
      <c r="G35" s="90">
        <v>0.30499999999999999</v>
      </c>
      <c r="H35" s="90">
        <v>0.312</v>
      </c>
      <c r="I35" s="90">
        <v>0.32</v>
      </c>
      <c r="J35" s="90">
        <v>0.32800000000000001</v>
      </c>
      <c r="K35" s="90">
        <v>0.33600000000000002</v>
      </c>
      <c r="L35" s="90">
        <v>0.34499999999999997</v>
      </c>
      <c r="M35" s="90">
        <v>0.35399999999999998</v>
      </c>
      <c r="N35" s="90">
        <v>0.36299999999999999</v>
      </c>
      <c r="O35" s="90">
        <v>0.373</v>
      </c>
      <c r="P35" s="90">
        <v>0.38300000000000001</v>
      </c>
      <c r="Q35" s="90">
        <v>0.39300000000000002</v>
      </c>
      <c r="R35" s="90">
        <v>0.40400000000000003</v>
      </c>
      <c r="S35" s="90">
        <v>0.41599999999999998</v>
      </c>
      <c r="T35" s="90">
        <v>0.42799999999999999</v>
      </c>
      <c r="U35" s="90">
        <v>0.44</v>
      </c>
      <c r="V35" s="90">
        <v>0.45300000000000001</v>
      </c>
      <c r="W35" s="90">
        <v>0.46700000000000003</v>
      </c>
      <c r="X35" s="90">
        <v>0.48099999999999998</v>
      </c>
      <c r="Y35" s="90">
        <v>0.497</v>
      </c>
      <c r="Z35" s="90">
        <v>0.51200000000000001</v>
      </c>
      <c r="AA35" s="90">
        <v>0.52900000000000003</v>
      </c>
      <c r="AB35" s="90">
        <v>0.54600000000000004</v>
      </c>
      <c r="AC35" s="90">
        <v>0.56499999999999995</v>
      </c>
      <c r="AD35" s="90">
        <v>0.58399999999999996</v>
      </c>
      <c r="AE35" s="90">
        <v>0.60499999999999998</v>
      </c>
      <c r="AF35" s="90">
        <v>0.627</v>
      </c>
      <c r="AG35" s="90">
        <v>0.65</v>
      </c>
      <c r="AH35" s="90">
        <v>0.67400000000000004</v>
      </c>
      <c r="AI35" s="90">
        <v>0.7</v>
      </c>
      <c r="AJ35" s="90">
        <v>0.72799999999999998</v>
      </c>
      <c r="AK35" s="90">
        <v>0.75700000000000001</v>
      </c>
      <c r="AL35" s="90">
        <v>0.78900000000000003</v>
      </c>
      <c r="AM35" s="90">
        <v>0.82299999999999995</v>
      </c>
      <c r="AN35" s="90">
        <v>0.85899999999999999</v>
      </c>
      <c r="AO35" s="90">
        <v>0.89800000000000002</v>
      </c>
      <c r="AP35" s="90">
        <v>0.93899999999999995</v>
      </c>
      <c r="AQ35" s="90">
        <v>0.98499999999999999</v>
      </c>
    </row>
    <row r="36" spans="1:43" x14ac:dyDescent="0.25">
      <c r="A36" s="88">
        <v>9</v>
      </c>
      <c r="B36" s="90">
        <v>0.27100000000000002</v>
      </c>
      <c r="C36" s="90">
        <v>0.27800000000000002</v>
      </c>
      <c r="D36" s="90">
        <v>0.28399999999999997</v>
      </c>
      <c r="E36" s="90">
        <v>0.29099999999999998</v>
      </c>
      <c r="F36" s="90">
        <v>0.29799999999999999</v>
      </c>
      <c r="G36" s="90">
        <v>0.30499999999999999</v>
      </c>
      <c r="H36" s="90">
        <v>0.313</v>
      </c>
      <c r="I36" s="90">
        <v>0.32</v>
      </c>
      <c r="J36" s="90">
        <v>0.32800000000000001</v>
      </c>
      <c r="K36" s="90">
        <v>0.33700000000000002</v>
      </c>
      <c r="L36" s="90">
        <v>0.34499999999999997</v>
      </c>
      <c r="M36" s="90">
        <v>0.35399999999999998</v>
      </c>
      <c r="N36" s="90">
        <v>0.36399999999999999</v>
      </c>
      <c r="O36" s="90">
        <v>0.374</v>
      </c>
      <c r="P36" s="90">
        <v>0.38400000000000001</v>
      </c>
      <c r="Q36" s="90">
        <v>0.39400000000000002</v>
      </c>
      <c r="R36" s="90">
        <v>0.40500000000000003</v>
      </c>
      <c r="S36" s="90">
        <v>0.41699999999999998</v>
      </c>
      <c r="T36" s="90">
        <v>0.42899999999999999</v>
      </c>
      <c r="U36" s="90">
        <v>0.441</v>
      </c>
      <c r="V36" s="90">
        <v>0.45500000000000002</v>
      </c>
      <c r="W36" s="90">
        <v>0.46800000000000003</v>
      </c>
      <c r="X36" s="90">
        <v>0.48299999999999998</v>
      </c>
      <c r="Y36" s="90">
        <v>0.498</v>
      </c>
      <c r="Z36" s="90">
        <v>0.51400000000000001</v>
      </c>
      <c r="AA36" s="90">
        <v>0.53</v>
      </c>
      <c r="AB36" s="90">
        <v>0.54800000000000004</v>
      </c>
      <c r="AC36" s="90">
        <v>0.56599999999999995</v>
      </c>
      <c r="AD36" s="90">
        <v>0.58599999999999997</v>
      </c>
      <c r="AE36" s="90">
        <v>0.60699999999999998</v>
      </c>
      <c r="AF36" s="90">
        <v>0.629</v>
      </c>
      <c r="AG36" s="90">
        <v>0.65200000000000002</v>
      </c>
      <c r="AH36" s="90">
        <v>0.67600000000000005</v>
      </c>
      <c r="AI36" s="90">
        <v>0.70199999999999996</v>
      </c>
      <c r="AJ36" s="90">
        <v>0.73</v>
      </c>
      <c r="AK36" s="90">
        <v>0.76</v>
      </c>
      <c r="AL36" s="90">
        <v>0.79200000000000004</v>
      </c>
      <c r="AM36" s="90">
        <v>0.82499999999999996</v>
      </c>
      <c r="AN36" s="90">
        <v>0.86199999999999999</v>
      </c>
      <c r="AO36" s="90">
        <v>0.90100000000000002</v>
      </c>
      <c r="AP36" s="90">
        <v>0.94299999999999995</v>
      </c>
      <c r="AQ36" s="90">
        <v>0.98799999999999999</v>
      </c>
    </row>
    <row r="37" spans="1:43" x14ac:dyDescent="0.25">
      <c r="A37" s="88">
        <v>10</v>
      </c>
      <c r="B37" s="90">
        <v>0.27200000000000002</v>
      </c>
      <c r="C37" s="90">
        <v>0.27800000000000002</v>
      </c>
      <c r="D37" s="90">
        <v>0.28499999999999998</v>
      </c>
      <c r="E37" s="90">
        <v>0.29199999999999998</v>
      </c>
      <c r="F37" s="90">
        <v>0.29899999999999999</v>
      </c>
      <c r="G37" s="90">
        <v>0.30599999999999999</v>
      </c>
      <c r="H37" s="90">
        <v>0.313</v>
      </c>
      <c r="I37" s="90">
        <v>0.32100000000000001</v>
      </c>
      <c r="J37" s="90">
        <v>0.32900000000000001</v>
      </c>
      <c r="K37" s="90">
        <v>0.33800000000000002</v>
      </c>
      <c r="L37" s="90">
        <v>0.34599999999999997</v>
      </c>
      <c r="M37" s="90">
        <v>0.35499999999999998</v>
      </c>
      <c r="N37" s="90">
        <v>0.36499999999999999</v>
      </c>
      <c r="O37" s="90">
        <v>0.374</v>
      </c>
      <c r="P37" s="90">
        <v>0.38500000000000001</v>
      </c>
      <c r="Q37" s="90">
        <v>0.39500000000000002</v>
      </c>
      <c r="R37" s="90">
        <v>0.40600000000000003</v>
      </c>
      <c r="S37" s="90">
        <v>0.41799999999999998</v>
      </c>
      <c r="T37" s="90">
        <v>0.43</v>
      </c>
      <c r="U37" s="90">
        <v>0.442</v>
      </c>
      <c r="V37" s="90">
        <v>0.45600000000000002</v>
      </c>
      <c r="W37" s="90">
        <v>0.46899999999999997</v>
      </c>
      <c r="X37" s="90">
        <v>0.48399999999999999</v>
      </c>
      <c r="Y37" s="90">
        <v>0.499</v>
      </c>
      <c r="Z37" s="90">
        <v>0.51500000000000001</v>
      </c>
      <c r="AA37" s="90">
        <v>0.53200000000000003</v>
      </c>
      <c r="AB37" s="90">
        <v>0.54900000000000004</v>
      </c>
      <c r="AC37" s="90">
        <v>0.56799999999999995</v>
      </c>
      <c r="AD37" s="90">
        <v>0.58799999999999997</v>
      </c>
      <c r="AE37" s="90">
        <v>0.60799999999999998</v>
      </c>
      <c r="AF37" s="90">
        <v>0.63</v>
      </c>
      <c r="AG37" s="90">
        <v>0.65400000000000003</v>
      </c>
      <c r="AH37" s="90">
        <v>0.67800000000000005</v>
      </c>
      <c r="AI37" s="90">
        <v>0.70499999999999996</v>
      </c>
      <c r="AJ37" s="90">
        <v>0.73299999999999998</v>
      </c>
      <c r="AK37" s="90">
        <v>0.76200000000000001</v>
      </c>
      <c r="AL37" s="90">
        <v>0.79400000000000004</v>
      </c>
      <c r="AM37" s="90">
        <v>0.82799999999999996</v>
      </c>
      <c r="AN37" s="90">
        <v>0.86499999999999999</v>
      </c>
      <c r="AO37" s="90">
        <v>0.90400000000000003</v>
      </c>
      <c r="AP37" s="90">
        <v>0.94699999999999995</v>
      </c>
      <c r="AQ37" s="90">
        <v>0.99199999999999999</v>
      </c>
    </row>
    <row r="38" spans="1:43" x14ac:dyDescent="0.25">
      <c r="A38" s="88">
        <v>11</v>
      </c>
      <c r="B38" s="90">
        <v>0.27200000000000002</v>
      </c>
      <c r="C38" s="90">
        <v>0.27900000000000003</v>
      </c>
      <c r="D38" s="90">
        <v>0.28499999999999998</v>
      </c>
      <c r="E38" s="90">
        <v>0.29199999999999998</v>
      </c>
      <c r="F38" s="90">
        <v>0.29899999999999999</v>
      </c>
      <c r="G38" s="90">
        <v>0.30599999999999999</v>
      </c>
      <c r="H38" s="90">
        <v>0.314</v>
      </c>
      <c r="I38" s="90">
        <v>0.32200000000000001</v>
      </c>
      <c r="J38" s="90">
        <v>0.33</v>
      </c>
      <c r="K38" s="90">
        <v>0.33800000000000002</v>
      </c>
      <c r="L38" s="90">
        <v>0.34699999999999998</v>
      </c>
      <c r="M38" s="90">
        <v>0.35599999999999998</v>
      </c>
      <c r="N38" s="90">
        <v>0.36499999999999999</v>
      </c>
      <c r="O38" s="90">
        <v>0.375</v>
      </c>
      <c r="P38" s="90">
        <v>0.38500000000000001</v>
      </c>
      <c r="Q38" s="90">
        <v>0.39600000000000002</v>
      </c>
      <c r="R38" s="90">
        <v>0.40699999999999997</v>
      </c>
      <c r="S38" s="90">
        <v>0.41899999999999998</v>
      </c>
      <c r="T38" s="90">
        <v>0.43099999999999999</v>
      </c>
      <c r="U38" s="90">
        <v>0.443</v>
      </c>
      <c r="V38" s="90">
        <v>0.45700000000000002</v>
      </c>
      <c r="W38" s="90">
        <v>0.47099999999999997</v>
      </c>
      <c r="X38" s="90">
        <v>0.48499999999999999</v>
      </c>
      <c r="Y38" s="90">
        <v>0.5</v>
      </c>
      <c r="Z38" s="90">
        <v>0.51600000000000001</v>
      </c>
      <c r="AA38" s="90">
        <v>0.53300000000000003</v>
      </c>
      <c r="AB38" s="90">
        <v>0.55100000000000005</v>
      </c>
      <c r="AC38" s="90">
        <v>0.56999999999999995</v>
      </c>
      <c r="AD38" s="90">
        <v>0.58899999999999997</v>
      </c>
      <c r="AE38" s="90">
        <v>0.61</v>
      </c>
      <c r="AF38" s="90">
        <v>0.63200000000000001</v>
      </c>
      <c r="AG38" s="90">
        <v>0.65600000000000003</v>
      </c>
      <c r="AH38" s="90">
        <v>0.68</v>
      </c>
      <c r="AI38" s="90">
        <v>0.70699999999999996</v>
      </c>
      <c r="AJ38" s="90">
        <v>0.73499999999999999</v>
      </c>
      <c r="AK38" s="90">
        <v>0.76500000000000001</v>
      </c>
      <c r="AL38" s="90">
        <v>0.79700000000000004</v>
      </c>
      <c r="AM38" s="90">
        <v>0.83099999999999996</v>
      </c>
      <c r="AN38" s="90">
        <v>0.86799999999999999</v>
      </c>
      <c r="AO38" s="90">
        <v>0.90800000000000003</v>
      </c>
      <c r="AP38" s="90">
        <v>0.95</v>
      </c>
      <c r="AQ38" s="90">
        <v>0.996</v>
      </c>
    </row>
    <row r="44" spans="1:43" ht="39.65" customHeight="1" x14ac:dyDescent="0.25"/>
    <row r="46" spans="1:43" ht="27.65" customHeight="1" x14ac:dyDescent="0.25"/>
  </sheetData>
  <sheetProtection algorithmName="SHA-512" hashValue="Xo/mE4sXoPkqXgsWX4yvPI7umfhT2Mnm1Z1EbjVQtkXIo5Keouwi3rNvkfqgoyWsfGMmoB38c6bxEwinFAYCTA==" saltValue="oH1mRkr8gJqZNfbo0HW/Vw==" spinCount="100000" sheet="1" objects="1" scenarios="1"/>
  <conditionalFormatting sqref="A6:A16">
    <cfRule type="expression" dxfId="801" priority="23" stopIfTrue="1">
      <formula>MOD(ROW(),2)=0</formula>
    </cfRule>
    <cfRule type="expression" dxfId="800" priority="24" stopIfTrue="1">
      <formula>MOD(ROW(),2)&lt;&gt;0</formula>
    </cfRule>
  </conditionalFormatting>
  <conditionalFormatting sqref="B6:AQ21">
    <cfRule type="expression" dxfId="799" priority="25" stopIfTrue="1">
      <formula>MOD(ROW(),2)=0</formula>
    </cfRule>
    <cfRule type="expression" dxfId="798" priority="26" stopIfTrue="1">
      <formula>MOD(ROW(),2)&lt;&gt;0</formula>
    </cfRule>
  </conditionalFormatting>
  <conditionalFormatting sqref="C17:C21">
    <cfRule type="expression" dxfId="797" priority="17" stopIfTrue="1">
      <formula>MOD(ROW(),2)=0</formula>
    </cfRule>
    <cfRule type="expression" dxfId="796" priority="18" stopIfTrue="1">
      <formula>MOD(ROW(),2)&lt;&gt;0</formula>
    </cfRule>
  </conditionalFormatting>
  <conditionalFormatting sqref="A17:A20">
    <cfRule type="expression" dxfId="795" priority="13" stopIfTrue="1">
      <formula>MOD(ROW(),2)=0</formula>
    </cfRule>
    <cfRule type="expression" dxfId="794" priority="14" stopIfTrue="1">
      <formula>MOD(ROW(),2)&lt;&gt;0</formula>
    </cfRule>
  </conditionalFormatting>
  <conditionalFormatting sqref="B17:B18 B20:B21">
    <cfRule type="expression" dxfId="793" priority="15" stopIfTrue="1">
      <formula>MOD(ROW(),2)=0</formula>
    </cfRule>
    <cfRule type="expression" dxfId="792" priority="16" stopIfTrue="1">
      <formula>MOD(ROW(),2)&lt;&gt;0</formula>
    </cfRule>
  </conditionalFormatting>
  <conditionalFormatting sqref="A26:A38">
    <cfRule type="expression" dxfId="791" priority="7" stopIfTrue="1">
      <formula>MOD(ROW(),2)=0</formula>
    </cfRule>
    <cfRule type="expression" dxfId="790" priority="8" stopIfTrue="1">
      <formula>MOD(ROW(),2)&lt;&gt;0</formula>
    </cfRule>
  </conditionalFormatting>
  <conditionalFormatting sqref="B26:AQ38">
    <cfRule type="expression" dxfId="789" priority="9" stopIfTrue="1">
      <formula>MOD(ROW(),2)=0</formula>
    </cfRule>
    <cfRule type="expression" dxfId="788" priority="10" stopIfTrue="1">
      <formula>MOD(ROW(),2)&lt;&gt;0</formula>
    </cfRule>
  </conditionalFormatting>
  <conditionalFormatting sqref="B19">
    <cfRule type="expression" dxfId="787" priority="5" stopIfTrue="1">
      <formula>MOD(ROW(),2)=0</formula>
    </cfRule>
    <cfRule type="expression" dxfId="786" priority="6" stopIfTrue="1">
      <formula>MOD(ROW(),2)&lt;&gt;0</formula>
    </cfRule>
  </conditionalFormatting>
  <conditionalFormatting sqref="A21">
    <cfRule type="expression" dxfId="785" priority="1" stopIfTrue="1">
      <formula>MOD(ROW(),2)=0</formula>
    </cfRule>
    <cfRule type="expression" dxfId="784" priority="2" stopIfTrue="1">
      <formula>MOD(ROW(),2)&lt;&gt;0</formula>
    </cfRule>
  </conditionalFormatting>
  <hyperlinks>
    <hyperlink ref="B24" location="Assumptions!A1" display="Assumptions" xr:uid="{027F5452-AD69-4FD9-9998-85308E1E1A7C}"/>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Sheet72"/>
  <dimension ref="A1:I46"/>
  <sheetViews>
    <sheetView showGridLines="0" zoomScale="85" zoomScaleNormal="85" workbookViewId="0">
      <selection activeCell="B18" sqref="B18"/>
    </sheetView>
  </sheetViews>
  <sheetFormatPr defaultColWidth="10" defaultRowHeight="12.5" x14ac:dyDescent="0.25"/>
  <cols>
    <col min="1" max="1" width="31.81640625" style="28" customWidth="1"/>
    <col min="2" max="2" width="32.81640625" style="28" customWidth="1"/>
    <col min="3" max="3" width="10.1796875" style="28" customWidth="1"/>
    <col min="4" max="4" width="10" style="28" customWidth="1"/>
    <col min="5" max="16384" width="10" style="28"/>
  </cols>
  <sheetData>
    <row r="1" spans="1:9" ht="20" x14ac:dyDescent="0.4">
      <c r="A1" s="40" t="s">
        <v>227</v>
      </c>
      <c r="B1" s="41"/>
      <c r="C1" s="41"/>
      <c r="D1" s="41"/>
      <c r="E1" s="41"/>
      <c r="F1" s="41"/>
      <c r="G1" s="41"/>
      <c r="H1" s="41"/>
      <c r="I1" s="41"/>
    </row>
    <row r="2" spans="1:9" ht="15.5" x14ac:dyDescent="0.35">
      <c r="A2" s="42" t="str">
        <f>IF(title="&gt; Enter workbook title here","Enter workbook title in Cover sheet",title)</f>
        <v>Fire Northern Ireland - Consolidated Factor Spreadsheet</v>
      </c>
      <c r="B2" s="43"/>
      <c r="C2" s="43"/>
      <c r="D2" s="43"/>
      <c r="E2" s="43"/>
      <c r="F2" s="43"/>
      <c r="G2" s="43"/>
      <c r="H2" s="43"/>
      <c r="I2" s="43"/>
    </row>
    <row r="3" spans="1:9" ht="15.5" x14ac:dyDescent="0.35">
      <c r="A3" s="44" t="str">
        <f>TABLE_FACTOR_TYPE_1&amp;" - x-"&amp;TABLE_SERIES_NUMBER_1</f>
        <v>Pension Debit - x-327</v>
      </c>
      <c r="B3" s="43"/>
      <c r="C3" s="43"/>
      <c r="D3" s="43"/>
      <c r="E3" s="43"/>
      <c r="F3" s="43"/>
      <c r="G3" s="43"/>
      <c r="H3" s="43"/>
      <c r="I3" s="43"/>
    </row>
    <row r="4" spans="1:9" x14ac:dyDescent="0.25">
      <c r="A4" s="45"/>
    </row>
    <row r="6" spans="1:9" ht="13" x14ac:dyDescent="0.3">
      <c r="A6" s="75" t="s">
        <v>562</v>
      </c>
      <c r="B6" s="159" t="s">
        <v>563</v>
      </c>
    </row>
    <row r="7" spans="1:9" x14ac:dyDescent="0.25">
      <c r="A7" s="77" t="s">
        <v>305</v>
      </c>
      <c r="B7" s="159" t="s">
        <v>319</v>
      </c>
    </row>
    <row r="8" spans="1:9" x14ac:dyDescent="0.25">
      <c r="A8" s="77" t="s">
        <v>306</v>
      </c>
      <c r="B8" s="159">
        <v>2015</v>
      </c>
    </row>
    <row r="9" spans="1:9" x14ac:dyDescent="0.25">
      <c r="A9" s="77" t="s">
        <v>307</v>
      </c>
      <c r="B9" s="159" t="s">
        <v>402</v>
      </c>
    </row>
    <row r="10" spans="1:9" x14ac:dyDescent="0.25">
      <c r="A10" s="77" t="s">
        <v>233</v>
      </c>
      <c r="B10" s="159" t="s">
        <v>430</v>
      </c>
    </row>
    <row r="11" spans="1:9" x14ac:dyDescent="0.25">
      <c r="A11" s="77" t="s">
        <v>308</v>
      </c>
      <c r="B11" s="159" t="s">
        <v>404</v>
      </c>
    </row>
    <row r="12" spans="1:9" x14ac:dyDescent="0.25">
      <c r="A12" s="77" t="s">
        <v>309</v>
      </c>
      <c r="B12" s="159" t="s">
        <v>431</v>
      </c>
    </row>
    <row r="13" spans="1:9" x14ac:dyDescent="0.25">
      <c r="A13" s="77" t="s">
        <v>570</v>
      </c>
      <c r="B13" s="159">
        <v>0</v>
      </c>
    </row>
    <row r="14" spans="1:9" x14ac:dyDescent="0.25">
      <c r="A14" s="77" t="s">
        <v>311</v>
      </c>
      <c r="B14" s="159">
        <v>327</v>
      </c>
    </row>
    <row r="15" spans="1:9" x14ac:dyDescent="0.25">
      <c r="A15" s="77" t="s">
        <v>573</v>
      </c>
      <c r="B15" s="159" t="s">
        <v>432</v>
      </c>
    </row>
    <row r="16" spans="1:9" x14ac:dyDescent="0.25">
      <c r="A16" s="77" t="s">
        <v>313</v>
      </c>
      <c r="B16" s="159" t="s">
        <v>433</v>
      </c>
    </row>
    <row r="17" spans="1:2" x14ac:dyDescent="0.25">
      <c r="A17" s="77" t="s">
        <v>642</v>
      </c>
      <c r="B17" s="159"/>
    </row>
    <row r="18" spans="1:2" x14ac:dyDescent="0.25">
      <c r="A18" s="77" t="s">
        <v>315</v>
      </c>
      <c r="B18" s="161">
        <v>45070</v>
      </c>
    </row>
    <row r="19" spans="1:2" x14ac:dyDescent="0.25">
      <c r="A19" s="77" t="s">
        <v>316</v>
      </c>
      <c r="B19" s="161">
        <v>45014</v>
      </c>
    </row>
    <row r="20" spans="1:2" x14ac:dyDescent="0.25">
      <c r="A20" s="77" t="s">
        <v>317</v>
      </c>
      <c r="B20" s="159" t="s">
        <v>327</v>
      </c>
    </row>
    <row r="21" spans="1:2" x14ac:dyDescent="0.25">
      <c r="A21" s="77" t="s">
        <v>318</v>
      </c>
      <c r="B21" s="159" t="s">
        <v>328</v>
      </c>
    </row>
    <row r="23" spans="1:2" x14ac:dyDescent="0.25">
      <c r="B23" s="91" t="str">
        <f>HYPERLINK("#'Factor List'!A1","Back to Factor List")</f>
        <v>Back to Factor List</v>
      </c>
    </row>
    <row r="24" spans="1:2" x14ac:dyDescent="0.25">
      <c r="B24" s="91" t="s">
        <v>240</v>
      </c>
    </row>
    <row r="25" spans="1:2" x14ac:dyDescent="0.25">
      <c r="B25" s="91"/>
    </row>
    <row r="26" spans="1:2" ht="13" x14ac:dyDescent="0.25">
      <c r="A26" s="87" t="s">
        <v>668</v>
      </c>
      <c r="B26" s="87" t="s">
        <v>669</v>
      </c>
    </row>
    <row r="27" spans="1:2" x14ac:dyDescent="0.25">
      <c r="A27" s="88">
        <v>0</v>
      </c>
      <c r="B27" s="90">
        <v>1</v>
      </c>
    </row>
    <row r="28" spans="1:2" x14ac:dyDescent="0.25">
      <c r="A28" s="88">
        <v>1</v>
      </c>
      <c r="B28" s="90">
        <v>0.94199999999999995</v>
      </c>
    </row>
    <row r="29" spans="1:2" x14ac:dyDescent="0.25">
      <c r="A29" s="88">
        <v>2</v>
      </c>
      <c r="B29" s="90">
        <v>0.89</v>
      </c>
    </row>
    <row r="30" spans="1:2" x14ac:dyDescent="0.25">
      <c r="A30" s="88">
        <v>3</v>
      </c>
      <c r="B30" s="90">
        <v>0.84199999999999997</v>
      </c>
    </row>
    <row r="31" spans="1:2" x14ac:dyDescent="0.25">
      <c r="A31" s="88">
        <v>4</v>
      </c>
      <c r="B31" s="90">
        <v>0.79900000000000004</v>
      </c>
    </row>
    <row r="32" spans="1:2" x14ac:dyDescent="0.25">
      <c r="A32" s="88">
        <v>5</v>
      </c>
      <c r="B32" s="90">
        <v>0.75900000000000001</v>
      </c>
    </row>
    <row r="33" spans="1:2" x14ac:dyDescent="0.25">
      <c r="A33" s="88">
        <v>6</v>
      </c>
      <c r="B33" s="90">
        <v>0.72199999999999998</v>
      </c>
    </row>
    <row r="34" spans="1:2" x14ac:dyDescent="0.25">
      <c r="A34" s="88">
        <v>7</v>
      </c>
      <c r="B34" s="90">
        <v>0.68899999999999995</v>
      </c>
    </row>
    <row r="35" spans="1:2" x14ac:dyDescent="0.25">
      <c r="A35" s="88">
        <v>8</v>
      </c>
      <c r="B35" s="90">
        <v>0.65800000000000003</v>
      </c>
    </row>
    <row r="36" spans="1:2" x14ac:dyDescent="0.25">
      <c r="A36" s="88">
        <v>9</v>
      </c>
      <c r="B36" s="90">
        <v>0.629</v>
      </c>
    </row>
    <row r="37" spans="1:2" x14ac:dyDescent="0.25">
      <c r="A37" s="88">
        <v>10</v>
      </c>
      <c r="B37" s="90">
        <v>0.60199999999999998</v>
      </c>
    </row>
    <row r="38" spans="1:2" x14ac:dyDescent="0.25">
      <c r="A38" s="88">
        <v>11</v>
      </c>
      <c r="B38" s="90">
        <v>0.57699999999999996</v>
      </c>
    </row>
    <row r="39" spans="1:2" x14ac:dyDescent="0.25">
      <c r="A39" s="88">
        <v>12</v>
      </c>
      <c r="B39" s="90">
        <v>0.55400000000000005</v>
      </c>
    </row>
    <row r="44" spans="1:2" ht="39.65" customHeight="1" x14ac:dyDescent="0.25"/>
    <row r="46" spans="1:2" ht="27.65" customHeight="1" x14ac:dyDescent="0.25"/>
  </sheetData>
  <sheetProtection algorithmName="SHA-512" hashValue="4Lg4xT8f58+StgLCx5RWKDfckf6JWgo4n7xajbDziJrIAtEXpWSsg51/GzZmLsyIUq2iL0P34UVz0Fe4oX5jyQ==" saltValue="APWMdTz7ZpvNIlds+uBD5A==" spinCount="100000" sheet="1" objects="1" scenarios="1"/>
  <conditionalFormatting sqref="A6:A16">
    <cfRule type="expression" dxfId="783" priority="23" stopIfTrue="1">
      <formula>MOD(ROW(),2)=0</formula>
    </cfRule>
    <cfRule type="expression" dxfId="782" priority="24" stopIfTrue="1">
      <formula>MOD(ROW(),2)&lt;&gt;0</formula>
    </cfRule>
  </conditionalFormatting>
  <conditionalFormatting sqref="B6:B21">
    <cfRule type="expression" dxfId="781" priority="25" stopIfTrue="1">
      <formula>MOD(ROW(),2)=0</formula>
    </cfRule>
    <cfRule type="expression" dxfId="780" priority="26" stopIfTrue="1">
      <formula>MOD(ROW(),2)&lt;&gt;0</formula>
    </cfRule>
  </conditionalFormatting>
  <conditionalFormatting sqref="A17:A20">
    <cfRule type="expression" dxfId="779" priority="17" stopIfTrue="1">
      <formula>MOD(ROW(),2)=0</formula>
    </cfRule>
    <cfRule type="expression" dxfId="778" priority="18" stopIfTrue="1">
      <formula>MOD(ROW(),2)&lt;&gt;0</formula>
    </cfRule>
  </conditionalFormatting>
  <conditionalFormatting sqref="B18 B20">
    <cfRule type="expression" dxfId="777" priority="15" stopIfTrue="1">
      <formula>MOD(ROW(),2)=0</formula>
    </cfRule>
    <cfRule type="expression" dxfId="776" priority="16" stopIfTrue="1">
      <formula>MOD(ROW(),2)&lt;&gt;0</formula>
    </cfRule>
  </conditionalFormatting>
  <conditionalFormatting sqref="B17">
    <cfRule type="expression" dxfId="775" priority="13" stopIfTrue="1">
      <formula>MOD(ROW(),2)=0</formula>
    </cfRule>
    <cfRule type="expression" dxfId="774" priority="14" stopIfTrue="1">
      <formula>MOD(ROW(),2)&lt;&gt;0</formula>
    </cfRule>
  </conditionalFormatting>
  <conditionalFormatting sqref="A26:A39">
    <cfRule type="expression" dxfId="773" priority="7" stopIfTrue="1">
      <formula>MOD(ROW(),2)=0</formula>
    </cfRule>
    <cfRule type="expression" dxfId="772" priority="8" stopIfTrue="1">
      <formula>MOD(ROW(),2)&lt;&gt;0</formula>
    </cfRule>
  </conditionalFormatting>
  <conditionalFormatting sqref="B26:B39">
    <cfRule type="expression" dxfId="771" priority="9" stopIfTrue="1">
      <formula>MOD(ROW(),2)=0</formula>
    </cfRule>
    <cfRule type="expression" dxfId="770" priority="10" stopIfTrue="1">
      <formula>MOD(ROW(),2)&lt;&gt;0</formula>
    </cfRule>
  </conditionalFormatting>
  <conditionalFormatting sqref="B19">
    <cfRule type="expression" dxfId="769" priority="5" stopIfTrue="1">
      <formula>MOD(ROW(),2)=0</formula>
    </cfRule>
    <cfRule type="expression" dxfId="768" priority="6" stopIfTrue="1">
      <formula>MOD(ROW(),2)&lt;&gt;0</formula>
    </cfRule>
  </conditionalFormatting>
  <conditionalFormatting sqref="A21">
    <cfRule type="expression" dxfId="767" priority="1" stopIfTrue="1">
      <formula>MOD(ROW(),2)=0</formula>
    </cfRule>
    <cfRule type="expression" dxfId="766" priority="2" stopIfTrue="1">
      <formula>MOD(ROW(),2)&lt;&gt;0</formula>
    </cfRule>
  </conditionalFormatting>
  <conditionalFormatting sqref="B21">
    <cfRule type="expression" dxfId="765" priority="3" stopIfTrue="1">
      <formula>MOD(ROW(),2)=0</formula>
    </cfRule>
    <cfRule type="expression" dxfId="764" priority="4" stopIfTrue="1">
      <formula>MOD(ROW(),2)&lt;&gt;0</formula>
    </cfRule>
  </conditionalFormatting>
  <hyperlinks>
    <hyperlink ref="B24" location="Assumptions!A1" display="Assumptions" xr:uid="{4AD53940-8D91-4728-9C40-2854DA217853}"/>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Sheet73"/>
  <dimension ref="A1:I77"/>
  <sheetViews>
    <sheetView showGridLines="0" zoomScale="85" zoomScaleNormal="85" workbookViewId="0">
      <selection activeCell="B18" sqref="B18"/>
    </sheetView>
  </sheetViews>
  <sheetFormatPr defaultColWidth="10" defaultRowHeight="12.5" x14ac:dyDescent="0.25"/>
  <cols>
    <col min="1" max="1" width="31.81640625" style="28" customWidth="1"/>
    <col min="2" max="2" width="32.453125" style="28" customWidth="1"/>
    <col min="3" max="3" width="10.1796875" style="28" customWidth="1"/>
    <col min="4" max="4" width="10" style="28" customWidth="1"/>
    <col min="5" max="16384" width="10" style="28"/>
  </cols>
  <sheetData>
    <row r="1" spans="1:9" ht="20" x14ac:dyDescent="0.4">
      <c r="A1" s="40" t="s">
        <v>227</v>
      </c>
      <c r="B1" s="41"/>
      <c r="C1" s="41"/>
      <c r="D1" s="41"/>
      <c r="E1" s="41"/>
      <c r="F1" s="41"/>
      <c r="G1" s="41"/>
      <c r="H1" s="41"/>
      <c r="I1" s="41"/>
    </row>
    <row r="2" spans="1:9" ht="15.5" x14ac:dyDescent="0.35">
      <c r="A2" s="42" t="str">
        <f>IF(title="&gt; Enter workbook title here","Enter workbook title in Cover sheet",title)</f>
        <v>Fire Northern Ireland - Consolidated Factor Spreadsheet</v>
      </c>
      <c r="B2" s="43"/>
      <c r="C2" s="43"/>
      <c r="D2" s="43"/>
      <c r="E2" s="43"/>
      <c r="F2" s="43"/>
      <c r="G2" s="43"/>
      <c r="H2" s="43"/>
      <c r="I2" s="43"/>
    </row>
    <row r="3" spans="1:9" ht="15.5" x14ac:dyDescent="0.35">
      <c r="A3" s="44" t="str">
        <f>TABLE_FACTOR_TYPE_1&amp;" - x-"&amp;TABLE_SERIES_NUMBER_1</f>
        <v>Pension Debit - x-328</v>
      </c>
      <c r="B3" s="43"/>
      <c r="C3" s="43"/>
      <c r="D3" s="43"/>
      <c r="E3" s="43"/>
      <c r="F3" s="43"/>
      <c r="G3" s="43"/>
      <c r="H3" s="43"/>
      <c r="I3" s="43"/>
    </row>
    <row r="4" spans="1:9" x14ac:dyDescent="0.25">
      <c r="A4" s="45"/>
    </row>
    <row r="6" spans="1:9" ht="13" x14ac:dyDescent="0.3">
      <c r="A6" s="75" t="s">
        <v>562</v>
      </c>
      <c r="B6" s="159" t="s">
        <v>563</v>
      </c>
    </row>
    <row r="7" spans="1:9" x14ac:dyDescent="0.25">
      <c r="A7" s="77" t="s">
        <v>305</v>
      </c>
      <c r="B7" s="159" t="s">
        <v>319</v>
      </c>
    </row>
    <row r="8" spans="1:9" x14ac:dyDescent="0.25">
      <c r="A8" s="77" t="s">
        <v>306</v>
      </c>
      <c r="B8" s="159">
        <v>2015</v>
      </c>
    </row>
    <row r="9" spans="1:9" x14ac:dyDescent="0.25">
      <c r="A9" s="77" t="s">
        <v>307</v>
      </c>
      <c r="B9" s="159" t="s">
        <v>402</v>
      </c>
    </row>
    <row r="10" spans="1:9" x14ac:dyDescent="0.25">
      <c r="A10" s="77" t="s">
        <v>233</v>
      </c>
      <c r="B10" s="159" t="s">
        <v>434</v>
      </c>
    </row>
    <row r="11" spans="1:9" x14ac:dyDescent="0.25">
      <c r="A11" s="77" t="s">
        <v>308</v>
      </c>
      <c r="B11" s="159" t="s">
        <v>404</v>
      </c>
    </row>
    <row r="12" spans="1:9" x14ac:dyDescent="0.25">
      <c r="A12" s="77" t="s">
        <v>309</v>
      </c>
      <c r="B12" s="159" t="s">
        <v>431</v>
      </c>
    </row>
    <row r="13" spans="1:9" x14ac:dyDescent="0.25">
      <c r="A13" s="77" t="s">
        <v>570</v>
      </c>
      <c r="B13" s="159">
        <v>0</v>
      </c>
    </row>
    <row r="14" spans="1:9" x14ac:dyDescent="0.25">
      <c r="A14" s="77" t="s">
        <v>311</v>
      </c>
      <c r="B14" s="159">
        <v>328</v>
      </c>
    </row>
    <row r="15" spans="1:9" x14ac:dyDescent="0.25">
      <c r="A15" s="77" t="s">
        <v>573</v>
      </c>
      <c r="B15" s="159" t="s">
        <v>435</v>
      </c>
    </row>
    <row r="16" spans="1:9" x14ac:dyDescent="0.25">
      <c r="A16" s="77" t="s">
        <v>313</v>
      </c>
      <c r="B16" s="159" t="s">
        <v>436</v>
      </c>
    </row>
    <row r="17" spans="1:2" ht="54" customHeight="1" x14ac:dyDescent="0.25">
      <c r="A17" s="77" t="s">
        <v>642</v>
      </c>
      <c r="B17" s="159"/>
    </row>
    <row r="18" spans="1:2" x14ac:dyDescent="0.25">
      <c r="A18" s="77" t="s">
        <v>315</v>
      </c>
      <c r="B18" s="161">
        <v>45070</v>
      </c>
    </row>
    <row r="19" spans="1:2" x14ac:dyDescent="0.25">
      <c r="A19" s="77" t="s">
        <v>316</v>
      </c>
      <c r="B19" s="161">
        <v>45014</v>
      </c>
    </row>
    <row r="20" spans="1:2" x14ac:dyDescent="0.25">
      <c r="A20" s="77" t="s">
        <v>317</v>
      </c>
      <c r="B20" s="159" t="s">
        <v>327</v>
      </c>
    </row>
    <row r="21" spans="1:2" x14ac:dyDescent="0.25">
      <c r="A21" s="77" t="s">
        <v>318</v>
      </c>
      <c r="B21" s="159" t="s">
        <v>328</v>
      </c>
    </row>
    <row r="23" spans="1:2" x14ac:dyDescent="0.25">
      <c r="B23" s="91" t="str">
        <f>HYPERLINK("#'Factor List'!A1","Back to Factor List")</f>
        <v>Back to Factor List</v>
      </c>
    </row>
    <row r="24" spans="1:2" x14ac:dyDescent="0.25">
      <c r="B24" s="91" t="s">
        <v>240</v>
      </c>
    </row>
    <row r="25" spans="1:2" x14ac:dyDescent="0.25">
      <c r="B25" s="91"/>
    </row>
    <row r="26" spans="1:2" ht="13" x14ac:dyDescent="0.25">
      <c r="A26" s="87" t="s">
        <v>668</v>
      </c>
      <c r="B26" s="87" t="s">
        <v>669</v>
      </c>
    </row>
    <row r="27" spans="1:2" x14ac:dyDescent="0.25">
      <c r="A27" s="88">
        <v>0</v>
      </c>
      <c r="B27" s="90">
        <v>1</v>
      </c>
    </row>
    <row r="28" spans="1:2" x14ac:dyDescent="0.25">
      <c r="A28" s="88">
        <v>1</v>
      </c>
      <c r="B28" s="90">
        <v>0.94199999999999995</v>
      </c>
    </row>
    <row r="29" spans="1:2" x14ac:dyDescent="0.25">
      <c r="A29" s="88">
        <v>2</v>
      </c>
      <c r="B29" s="90">
        <v>0.89</v>
      </c>
    </row>
    <row r="30" spans="1:2" x14ac:dyDescent="0.25">
      <c r="A30" s="88">
        <v>3</v>
      </c>
      <c r="B30" s="90">
        <v>0.84199999999999997</v>
      </c>
    </row>
    <row r="31" spans="1:2" x14ac:dyDescent="0.25">
      <c r="A31" s="88">
        <v>4</v>
      </c>
      <c r="B31" s="90">
        <v>0.79900000000000004</v>
      </c>
    </row>
    <row r="32" spans="1:2" x14ac:dyDescent="0.25">
      <c r="A32" s="88">
        <v>5</v>
      </c>
      <c r="B32" s="90">
        <v>0.75900000000000001</v>
      </c>
    </row>
    <row r="33" spans="1:2" x14ac:dyDescent="0.25">
      <c r="A33" s="88">
        <v>6</v>
      </c>
      <c r="B33" s="90">
        <v>0.72199999999999998</v>
      </c>
    </row>
    <row r="34" spans="1:2" x14ac:dyDescent="0.25">
      <c r="A34" s="88">
        <v>7</v>
      </c>
      <c r="B34" s="90">
        <v>0.68899999999999995</v>
      </c>
    </row>
    <row r="35" spans="1:2" x14ac:dyDescent="0.25">
      <c r="A35" s="88">
        <v>8</v>
      </c>
      <c r="B35" s="90">
        <v>0.65800000000000003</v>
      </c>
    </row>
    <row r="36" spans="1:2" x14ac:dyDescent="0.25">
      <c r="A36" s="88">
        <v>9</v>
      </c>
      <c r="B36" s="90">
        <v>0.629</v>
      </c>
    </row>
    <row r="37" spans="1:2" x14ac:dyDescent="0.25">
      <c r="A37" s="88">
        <v>10</v>
      </c>
      <c r="B37" s="90">
        <v>0.60199999999999998</v>
      </c>
    </row>
    <row r="38" spans="1:2" x14ac:dyDescent="0.25">
      <c r="A38" s="88">
        <v>11</v>
      </c>
      <c r="B38" s="90">
        <v>0.57699999999999996</v>
      </c>
    </row>
    <row r="39" spans="1:2" x14ac:dyDescent="0.25">
      <c r="A39" s="88">
        <v>12</v>
      </c>
      <c r="B39" s="90">
        <v>0.55400000000000005</v>
      </c>
    </row>
    <row r="40" spans="1:2" x14ac:dyDescent="0.25">
      <c r="A40" s="88">
        <v>13</v>
      </c>
      <c r="B40" s="90">
        <v>0.53200000000000003</v>
      </c>
    </row>
    <row r="41" spans="1:2" x14ac:dyDescent="0.25">
      <c r="A41" s="88">
        <v>14</v>
      </c>
      <c r="B41" s="90">
        <v>0.51200000000000001</v>
      </c>
    </row>
    <row r="42" spans="1:2" x14ac:dyDescent="0.25">
      <c r="A42" s="88">
        <v>15</v>
      </c>
      <c r="B42" s="90">
        <v>0.49299999999999999</v>
      </c>
    </row>
    <row r="43" spans="1:2" x14ac:dyDescent="0.25">
      <c r="A43" s="88">
        <v>16</v>
      </c>
      <c r="B43" s="90">
        <v>0.47499999999999998</v>
      </c>
    </row>
    <row r="44" spans="1:2" x14ac:dyDescent="0.25">
      <c r="A44" s="88">
        <v>17</v>
      </c>
      <c r="B44" s="90">
        <v>0.45800000000000002</v>
      </c>
    </row>
    <row r="45" spans="1:2" x14ac:dyDescent="0.25">
      <c r="A45" s="88">
        <v>18</v>
      </c>
      <c r="B45" s="90">
        <v>0.442</v>
      </c>
    </row>
    <row r="46" spans="1:2" x14ac:dyDescent="0.25">
      <c r="A46" s="88">
        <v>19</v>
      </c>
      <c r="B46" s="90">
        <v>0.42699999999999999</v>
      </c>
    </row>
    <row r="47" spans="1:2" x14ac:dyDescent="0.25">
      <c r="A47" s="88">
        <v>20</v>
      </c>
      <c r="B47" s="90">
        <v>0.41299999999999998</v>
      </c>
    </row>
    <row r="48" spans="1:2" x14ac:dyDescent="0.25">
      <c r="A48" s="88">
        <v>21</v>
      </c>
      <c r="B48" s="90">
        <v>0.39900000000000002</v>
      </c>
    </row>
    <row r="49" spans="1:2" x14ac:dyDescent="0.25">
      <c r="A49" s="88">
        <v>22</v>
      </c>
      <c r="B49" s="90">
        <v>0.38700000000000001</v>
      </c>
    </row>
    <row r="50" spans="1:2" x14ac:dyDescent="0.25">
      <c r="A50" s="88">
        <v>23</v>
      </c>
      <c r="B50" s="90">
        <v>0.374</v>
      </c>
    </row>
    <row r="51" spans="1:2" x14ac:dyDescent="0.25">
      <c r="A51" s="88">
        <v>24</v>
      </c>
      <c r="B51" s="90">
        <v>0.36299999999999999</v>
      </c>
    </row>
    <row r="52" spans="1:2" x14ac:dyDescent="0.25">
      <c r="A52" s="88">
        <v>25</v>
      </c>
      <c r="B52" s="90">
        <v>0.35199999999999998</v>
      </c>
    </row>
    <row r="53" spans="1:2" x14ac:dyDescent="0.25">
      <c r="A53" s="88">
        <v>26</v>
      </c>
      <c r="B53" s="90">
        <v>0.34200000000000003</v>
      </c>
    </row>
    <row r="54" spans="1:2" x14ac:dyDescent="0.25">
      <c r="A54" s="88">
        <v>27</v>
      </c>
      <c r="B54" s="90">
        <v>0.33200000000000002</v>
      </c>
    </row>
    <row r="55" spans="1:2" x14ac:dyDescent="0.25">
      <c r="A55" s="88">
        <v>28</v>
      </c>
      <c r="B55" s="90">
        <v>0.32200000000000001</v>
      </c>
    </row>
    <row r="56" spans="1:2" x14ac:dyDescent="0.25">
      <c r="A56" s="88">
        <v>29</v>
      </c>
      <c r="B56" s="90">
        <v>0.313</v>
      </c>
    </row>
    <row r="57" spans="1:2" x14ac:dyDescent="0.25">
      <c r="A57" s="88">
        <v>30</v>
      </c>
      <c r="B57" s="90">
        <v>0.30499999999999999</v>
      </c>
    </row>
    <row r="58" spans="1:2" x14ac:dyDescent="0.25">
      <c r="A58" s="88">
        <v>31</v>
      </c>
      <c r="B58" s="90">
        <v>0.29599999999999999</v>
      </c>
    </row>
    <row r="59" spans="1:2" x14ac:dyDescent="0.25">
      <c r="A59" s="88">
        <v>32</v>
      </c>
      <c r="B59" s="90">
        <v>0.28799999999999998</v>
      </c>
    </row>
    <row r="60" spans="1:2" x14ac:dyDescent="0.25">
      <c r="A60" s="88">
        <v>33</v>
      </c>
      <c r="B60" s="90">
        <v>0.28100000000000003</v>
      </c>
    </row>
    <row r="61" spans="1:2" x14ac:dyDescent="0.25">
      <c r="A61" s="88">
        <v>34</v>
      </c>
      <c r="B61" s="90">
        <v>0.27300000000000002</v>
      </c>
    </row>
    <row r="62" spans="1:2" x14ac:dyDescent="0.25">
      <c r="A62" s="88">
        <v>35</v>
      </c>
      <c r="B62" s="90">
        <v>0.26600000000000001</v>
      </c>
    </row>
    <row r="63" spans="1:2" x14ac:dyDescent="0.25">
      <c r="A63" s="88">
        <v>36</v>
      </c>
      <c r="B63" s="90">
        <v>0.26</v>
      </c>
    </row>
    <row r="64" spans="1:2" x14ac:dyDescent="0.25">
      <c r="A64" s="88">
        <v>37</v>
      </c>
      <c r="B64" s="90">
        <v>0.253</v>
      </c>
    </row>
    <row r="65" spans="1:2" x14ac:dyDescent="0.25">
      <c r="A65" s="88">
        <v>38</v>
      </c>
      <c r="B65" s="90">
        <v>0.247</v>
      </c>
    </row>
    <row r="66" spans="1:2" x14ac:dyDescent="0.25">
      <c r="A66" s="88">
        <v>39</v>
      </c>
      <c r="B66" s="90">
        <v>0.24099999999999999</v>
      </c>
    </row>
    <row r="67" spans="1:2" x14ac:dyDescent="0.25">
      <c r="A67" s="88">
        <v>40</v>
      </c>
      <c r="B67" s="90">
        <v>0.23499999999999999</v>
      </c>
    </row>
    <row r="68" spans="1:2" x14ac:dyDescent="0.25">
      <c r="A68" s="88">
        <v>41</v>
      </c>
      <c r="B68" s="90">
        <v>0.23</v>
      </c>
    </row>
    <row r="69" spans="1:2" x14ac:dyDescent="0.25">
      <c r="A69" s="88">
        <v>42</v>
      </c>
      <c r="B69" s="90">
        <v>0.224</v>
      </c>
    </row>
    <row r="70" spans="1:2" x14ac:dyDescent="0.25">
      <c r="A70" s="88">
        <v>43</v>
      </c>
      <c r="B70" s="90">
        <v>0.219</v>
      </c>
    </row>
    <row r="71" spans="1:2" x14ac:dyDescent="0.25">
      <c r="A71" s="88">
        <v>44</v>
      </c>
      <c r="B71" s="90">
        <v>0.214</v>
      </c>
    </row>
    <row r="72" spans="1:2" x14ac:dyDescent="0.25">
      <c r="A72" s="88">
        <v>45</v>
      </c>
      <c r="B72" s="90">
        <v>0.20899999999999999</v>
      </c>
    </row>
    <row r="73" spans="1:2" x14ac:dyDescent="0.25">
      <c r="A73" s="88">
        <v>46</v>
      </c>
      <c r="B73" s="90">
        <v>0.20399999999999999</v>
      </c>
    </row>
    <row r="74" spans="1:2" x14ac:dyDescent="0.25">
      <c r="A74" s="88">
        <v>47</v>
      </c>
      <c r="B74" s="90">
        <v>0.2</v>
      </c>
    </row>
    <row r="75" spans="1:2" x14ac:dyDescent="0.25">
      <c r="A75" s="88">
        <v>48</v>
      </c>
      <c r="B75" s="90">
        <v>0.19600000000000001</v>
      </c>
    </row>
    <row r="76" spans="1:2" x14ac:dyDescent="0.25">
      <c r="A76" s="88">
        <v>49</v>
      </c>
      <c r="B76" s="90">
        <v>0.191</v>
      </c>
    </row>
    <row r="77" spans="1:2" x14ac:dyDescent="0.25">
      <c r="A77" s="88">
        <v>50</v>
      </c>
      <c r="B77" s="90">
        <v>0.187</v>
      </c>
    </row>
  </sheetData>
  <sheetProtection algorithmName="SHA-512" hashValue="HdwD3pgMzM4DMW4FoMF4ylY7jtTU4Tsh+yG+EX1vIoKP59DISTaWpMjmzssR4YEz6ZRfJaU2YxhHN1EKKDX/7w==" saltValue="RqvesHQe2HFVkxdKz6nT7g==" spinCount="100000" sheet="1" objects="1" scenarios="1"/>
  <conditionalFormatting sqref="A6:A16 A18:A20">
    <cfRule type="expression" dxfId="763" priority="25" stopIfTrue="1">
      <formula>MOD(ROW(),2)=0</formula>
    </cfRule>
    <cfRule type="expression" dxfId="762" priority="26" stopIfTrue="1">
      <formula>MOD(ROW(),2)&lt;&gt;0</formula>
    </cfRule>
  </conditionalFormatting>
  <conditionalFormatting sqref="B6:B21">
    <cfRule type="expression" dxfId="761" priority="27" stopIfTrue="1">
      <formula>MOD(ROW(),2)=0</formula>
    </cfRule>
    <cfRule type="expression" dxfId="760" priority="28" stopIfTrue="1">
      <formula>MOD(ROW(),2)&lt;&gt;0</formula>
    </cfRule>
  </conditionalFormatting>
  <conditionalFormatting sqref="B18 B20">
    <cfRule type="expression" dxfId="759" priority="19" stopIfTrue="1">
      <formula>MOD(ROW(),2)=0</formula>
    </cfRule>
    <cfRule type="expression" dxfId="758" priority="20" stopIfTrue="1">
      <formula>MOD(ROW(),2)&lt;&gt;0</formula>
    </cfRule>
  </conditionalFormatting>
  <conditionalFormatting sqref="B17">
    <cfRule type="expression" dxfId="757" priority="13" stopIfTrue="1">
      <formula>MOD(ROW(),2)=0</formula>
    </cfRule>
    <cfRule type="expression" dxfId="756" priority="14" stopIfTrue="1">
      <formula>MOD(ROW(),2)&lt;&gt;0</formula>
    </cfRule>
  </conditionalFormatting>
  <conditionalFormatting sqref="A26:A77">
    <cfRule type="expression" dxfId="755" priority="9" stopIfTrue="1">
      <formula>MOD(ROW(),2)=0</formula>
    </cfRule>
    <cfRule type="expression" dxfId="754" priority="10" stopIfTrue="1">
      <formula>MOD(ROW(),2)&lt;&gt;0</formula>
    </cfRule>
  </conditionalFormatting>
  <conditionalFormatting sqref="B26:B77">
    <cfRule type="expression" dxfId="753" priority="11" stopIfTrue="1">
      <formula>MOD(ROW(),2)=0</formula>
    </cfRule>
    <cfRule type="expression" dxfId="752" priority="12" stopIfTrue="1">
      <formula>MOD(ROW(),2)&lt;&gt;0</formula>
    </cfRule>
  </conditionalFormatting>
  <conditionalFormatting sqref="A17">
    <cfRule type="expression" dxfId="751" priority="7" stopIfTrue="1">
      <formula>MOD(ROW(),2)=0</formula>
    </cfRule>
    <cfRule type="expression" dxfId="750" priority="8" stopIfTrue="1">
      <formula>MOD(ROW(),2)&lt;&gt;0</formula>
    </cfRule>
  </conditionalFormatting>
  <conditionalFormatting sqref="B19">
    <cfRule type="expression" dxfId="749" priority="5" stopIfTrue="1">
      <formula>MOD(ROW(),2)=0</formula>
    </cfRule>
    <cfRule type="expression" dxfId="748" priority="6" stopIfTrue="1">
      <formula>MOD(ROW(),2)&lt;&gt;0</formula>
    </cfRule>
  </conditionalFormatting>
  <conditionalFormatting sqref="A21">
    <cfRule type="expression" dxfId="747" priority="1" stopIfTrue="1">
      <formula>MOD(ROW(),2)=0</formula>
    </cfRule>
    <cfRule type="expression" dxfId="746" priority="2" stopIfTrue="1">
      <formula>MOD(ROW(),2)&lt;&gt;0</formula>
    </cfRule>
  </conditionalFormatting>
  <conditionalFormatting sqref="B21">
    <cfRule type="expression" dxfId="745" priority="3" stopIfTrue="1">
      <formula>MOD(ROW(),2)=0</formula>
    </cfRule>
    <cfRule type="expression" dxfId="744" priority="4" stopIfTrue="1">
      <formula>MOD(ROW(),2)&lt;&gt;0</formula>
    </cfRule>
  </conditionalFormatting>
  <hyperlinks>
    <hyperlink ref="B24" location="Assumptions!A1" display="Assumptions" xr:uid="{1261BB6D-E5AB-4F42-A4D3-D24518A7B362}"/>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codeName="Sheet74"/>
  <dimension ref="A1:M46"/>
  <sheetViews>
    <sheetView showGridLines="0" zoomScale="85" zoomScaleNormal="85" workbookViewId="0">
      <selection activeCell="B18" sqref="B18"/>
    </sheetView>
  </sheetViews>
  <sheetFormatPr defaultColWidth="10" defaultRowHeight="12.5" x14ac:dyDescent="0.25"/>
  <cols>
    <col min="1" max="1" width="31.81640625" style="28" customWidth="1"/>
    <col min="2" max="13" width="22.81640625" style="28" customWidth="1"/>
    <col min="14" max="16384" width="10" style="28"/>
  </cols>
  <sheetData>
    <row r="1" spans="1:13" ht="20" x14ac:dyDescent="0.4">
      <c r="A1" s="40" t="s">
        <v>227</v>
      </c>
      <c r="B1" s="41"/>
      <c r="C1" s="41"/>
      <c r="D1" s="41"/>
      <c r="E1" s="41"/>
      <c r="F1" s="41"/>
      <c r="G1" s="41"/>
      <c r="H1" s="41"/>
      <c r="I1" s="41"/>
    </row>
    <row r="2" spans="1:13" ht="15.5" x14ac:dyDescent="0.35">
      <c r="A2" s="42" t="str">
        <f>IF(title="&gt; Enter workbook title here","Enter workbook title in Cover sheet",title)</f>
        <v>Fire Northern Ireland - Consolidated Factor Spreadsheet</v>
      </c>
      <c r="B2" s="43"/>
      <c r="C2" s="43"/>
      <c r="D2" s="43"/>
      <c r="E2" s="43"/>
      <c r="F2" s="43"/>
      <c r="G2" s="43"/>
      <c r="H2" s="43"/>
      <c r="I2" s="43"/>
    </row>
    <row r="3" spans="1:13" ht="15.5" x14ac:dyDescent="0.35">
      <c r="A3" s="44" t="str">
        <f>TABLE_FACTOR_TYPE_1&amp;" - x-"&amp;TABLE_SERIES_NUMBER_1</f>
        <v>ERF - x-401</v>
      </c>
      <c r="B3" s="43"/>
      <c r="C3" s="43"/>
      <c r="D3" s="43"/>
      <c r="E3" s="43"/>
      <c r="F3" s="43"/>
      <c r="G3" s="43"/>
      <c r="H3" s="43"/>
      <c r="I3" s="43"/>
    </row>
    <row r="4" spans="1:13" x14ac:dyDescent="0.25">
      <c r="A4" s="45"/>
    </row>
    <row r="6" spans="1:13" ht="13" x14ac:dyDescent="0.3">
      <c r="A6" s="75" t="s">
        <v>562</v>
      </c>
      <c r="B6" s="159" t="s">
        <v>563</v>
      </c>
      <c r="C6" s="159"/>
      <c r="D6" s="159"/>
      <c r="E6" s="159"/>
      <c r="F6" s="159"/>
      <c r="G6" s="159"/>
      <c r="H6" s="159"/>
      <c r="I6" s="159"/>
      <c r="J6" s="159"/>
      <c r="K6" s="159"/>
      <c r="L6" s="159"/>
      <c r="M6" s="159"/>
    </row>
    <row r="7" spans="1:13" x14ac:dyDescent="0.25">
      <c r="A7" s="77" t="s">
        <v>305</v>
      </c>
      <c r="B7" s="159" t="s">
        <v>319</v>
      </c>
      <c r="C7" s="159"/>
      <c r="D7" s="159"/>
      <c r="E7" s="159"/>
      <c r="F7" s="159"/>
      <c r="G7" s="159"/>
      <c r="H7" s="159"/>
      <c r="I7" s="159"/>
      <c r="J7" s="159"/>
      <c r="K7" s="159"/>
      <c r="L7" s="159"/>
      <c r="M7" s="159"/>
    </row>
    <row r="8" spans="1:13" x14ac:dyDescent="0.25">
      <c r="A8" s="77" t="s">
        <v>306</v>
      </c>
      <c r="B8" s="159" t="s">
        <v>332</v>
      </c>
      <c r="C8" s="159"/>
      <c r="D8" s="159"/>
      <c r="E8" s="159"/>
      <c r="F8" s="159"/>
      <c r="G8" s="159"/>
      <c r="H8" s="159"/>
      <c r="I8" s="159"/>
      <c r="J8" s="159"/>
      <c r="K8" s="159"/>
      <c r="L8" s="159"/>
      <c r="M8" s="159"/>
    </row>
    <row r="9" spans="1:13" x14ac:dyDescent="0.25">
      <c r="A9" s="77" t="s">
        <v>307</v>
      </c>
      <c r="B9" s="159" t="s">
        <v>437</v>
      </c>
      <c r="C9" s="159"/>
      <c r="D9" s="159"/>
      <c r="E9" s="159"/>
      <c r="F9" s="159"/>
      <c r="G9" s="159"/>
      <c r="H9" s="159"/>
      <c r="I9" s="159"/>
      <c r="J9" s="159"/>
      <c r="K9" s="159"/>
      <c r="L9" s="159"/>
      <c r="M9" s="159"/>
    </row>
    <row r="10" spans="1:13" x14ac:dyDescent="0.25">
      <c r="A10" s="77" t="s">
        <v>233</v>
      </c>
      <c r="B10" s="159" t="s">
        <v>438</v>
      </c>
      <c r="C10" s="159"/>
      <c r="D10" s="159"/>
      <c r="E10" s="159"/>
      <c r="F10" s="159"/>
      <c r="G10" s="159"/>
      <c r="H10" s="159"/>
      <c r="I10" s="159"/>
      <c r="J10" s="159"/>
      <c r="K10" s="159"/>
      <c r="L10" s="159"/>
      <c r="M10" s="159"/>
    </row>
    <row r="11" spans="1:13" x14ac:dyDescent="0.25">
      <c r="A11" s="77" t="s">
        <v>308</v>
      </c>
      <c r="B11" s="159" t="s">
        <v>404</v>
      </c>
      <c r="C11" s="159"/>
      <c r="D11" s="159"/>
      <c r="E11" s="159"/>
      <c r="F11" s="159"/>
      <c r="G11" s="159"/>
      <c r="H11" s="159"/>
      <c r="I11" s="159"/>
      <c r="J11" s="159"/>
      <c r="K11" s="159"/>
      <c r="L11" s="159"/>
      <c r="M11" s="159"/>
    </row>
    <row r="12" spans="1:13" x14ac:dyDescent="0.25">
      <c r="A12" s="77" t="s">
        <v>309</v>
      </c>
      <c r="B12" s="159" t="s">
        <v>415</v>
      </c>
      <c r="C12" s="159"/>
      <c r="D12" s="159"/>
      <c r="E12" s="159"/>
      <c r="F12" s="159"/>
      <c r="G12" s="159"/>
      <c r="H12" s="159"/>
      <c r="I12" s="159"/>
      <c r="J12" s="159"/>
      <c r="K12" s="159"/>
      <c r="L12" s="159"/>
      <c r="M12" s="159"/>
    </row>
    <row r="13" spans="1:13" x14ac:dyDescent="0.25">
      <c r="A13" s="77" t="s">
        <v>570</v>
      </c>
      <c r="B13" s="159">
        <v>1</v>
      </c>
      <c r="C13" s="159"/>
      <c r="D13" s="159"/>
      <c r="E13" s="159"/>
      <c r="F13" s="159"/>
      <c r="G13" s="159"/>
      <c r="H13" s="159"/>
      <c r="I13" s="159"/>
      <c r="J13" s="159"/>
      <c r="K13" s="159"/>
      <c r="L13" s="159"/>
      <c r="M13" s="159"/>
    </row>
    <row r="14" spans="1:13" x14ac:dyDescent="0.25">
      <c r="A14" s="77" t="s">
        <v>311</v>
      </c>
      <c r="B14" s="159">
        <v>401</v>
      </c>
      <c r="C14" s="159"/>
      <c r="D14" s="159"/>
      <c r="E14" s="159"/>
      <c r="F14" s="159"/>
      <c r="G14" s="159"/>
      <c r="H14" s="159"/>
      <c r="I14" s="159"/>
      <c r="J14" s="159"/>
      <c r="K14" s="159"/>
      <c r="L14" s="159"/>
      <c r="M14" s="159"/>
    </row>
    <row r="15" spans="1:13" x14ac:dyDescent="0.25">
      <c r="A15" s="77" t="s">
        <v>573</v>
      </c>
      <c r="B15" s="159" t="s">
        <v>439</v>
      </c>
      <c r="C15" s="159"/>
      <c r="D15" s="159"/>
      <c r="E15" s="159"/>
      <c r="F15" s="159"/>
      <c r="G15" s="159"/>
      <c r="H15" s="159"/>
      <c r="I15" s="159"/>
      <c r="J15" s="159"/>
      <c r="K15" s="159"/>
      <c r="L15" s="159"/>
      <c r="M15" s="159"/>
    </row>
    <row r="16" spans="1:13" x14ac:dyDescent="0.25">
      <c r="A16" s="77" t="s">
        <v>313</v>
      </c>
      <c r="B16" s="159" t="s">
        <v>440</v>
      </c>
      <c r="C16" s="159"/>
      <c r="D16" s="159"/>
      <c r="E16" s="159"/>
      <c r="F16" s="159"/>
      <c r="G16" s="159"/>
      <c r="H16" s="159"/>
      <c r="I16" s="159"/>
      <c r="J16" s="159"/>
      <c r="K16" s="159"/>
      <c r="L16" s="159"/>
      <c r="M16" s="159"/>
    </row>
    <row r="17" spans="1:13" x14ac:dyDescent="0.25">
      <c r="A17" s="77" t="s">
        <v>642</v>
      </c>
      <c r="B17" s="159"/>
      <c r="C17" s="159"/>
      <c r="D17" s="159"/>
      <c r="E17" s="159"/>
      <c r="F17" s="159"/>
      <c r="G17" s="159"/>
      <c r="H17" s="159"/>
      <c r="I17" s="159"/>
      <c r="J17" s="159"/>
      <c r="K17" s="159"/>
      <c r="L17" s="159"/>
      <c r="M17" s="159"/>
    </row>
    <row r="18" spans="1:13" x14ac:dyDescent="0.25">
      <c r="A18" s="77" t="s">
        <v>315</v>
      </c>
      <c r="B18" s="161">
        <v>45106</v>
      </c>
      <c r="C18" s="159"/>
      <c r="D18" s="159"/>
      <c r="E18" s="159"/>
      <c r="F18" s="159"/>
      <c r="G18" s="159"/>
      <c r="H18" s="159"/>
      <c r="I18" s="159"/>
      <c r="J18" s="159"/>
      <c r="K18" s="159"/>
      <c r="L18" s="159"/>
      <c r="M18" s="159"/>
    </row>
    <row r="19" spans="1:13" x14ac:dyDescent="0.25">
      <c r="A19" s="77" t="s">
        <v>316</v>
      </c>
      <c r="B19" s="161">
        <v>45106</v>
      </c>
      <c r="C19" s="159"/>
      <c r="D19" s="159"/>
      <c r="E19" s="159"/>
      <c r="F19" s="159"/>
      <c r="G19" s="159"/>
      <c r="H19" s="159"/>
      <c r="I19" s="159"/>
      <c r="J19" s="159"/>
      <c r="K19" s="159"/>
      <c r="L19" s="159"/>
      <c r="M19" s="159"/>
    </row>
    <row r="20" spans="1:13" x14ac:dyDescent="0.25">
      <c r="A20" s="77" t="s">
        <v>317</v>
      </c>
      <c r="B20" s="159" t="s">
        <v>327</v>
      </c>
      <c r="C20" s="159"/>
      <c r="D20" s="159"/>
      <c r="E20" s="159"/>
      <c r="F20" s="159"/>
      <c r="G20" s="159"/>
      <c r="H20" s="159"/>
      <c r="I20" s="159"/>
      <c r="J20" s="159"/>
      <c r="K20" s="159"/>
      <c r="L20" s="159"/>
      <c r="M20" s="159"/>
    </row>
    <row r="21" spans="1:13" x14ac:dyDescent="0.25">
      <c r="A21" s="77" t="s">
        <v>318</v>
      </c>
      <c r="B21" s="159" t="s">
        <v>328</v>
      </c>
      <c r="C21" s="159"/>
      <c r="D21" s="159"/>
      <c r="E21" s="159"/>
      <c r="F21" s="159"/>
      <c r="G21" s="159"/>
      <c r="H21" s="159"/>
      <c r="I21" s="159"/>
      <c r="J21" s="159"/>
      <c r="K21" s="159"/>
      <c r="L21" s="159"/>
      <c r="M21" s="159"/>
    </row>
    <row r="23" spans="1:13" x14ac:dyDescent="0.25">
      <c r="B23" s="91" t="str">
        <f>HYPERLINK("#'Factor List'!A1","Back to Factor List")</f>
        <v>Back to Factor List</v>
      </c>
    </row>
    <row r="24" spans="1:13" x14ac:dyDescent="0.25">
      <c r="B24" s="91" t="s">
        <v>240</v>
      </c>
    </row>
    <row r="25" spans="1:13" x14ac:dyDescent="0.25">
      <c r="B25" s="91"/>
    </row>
    <row r="26" spans="1:13" ht="13" x14ac:dyDescent="0.25">
      <c r="A26" s="87" t="s">
        <v>670</v>
      </c>
      <c r="B26" s="87">
        <v>0</v>
      </c>
      <c r="C26" s="87">
        <v>1</v>
      </c>
      <c r="D26" s="87">
        <v>2</v>
      </c>
      <c r="E26" s="87">
        <v>3</v>
      </c>
      <c r="F26" s="87">
        <v>4</v>
      </c>
      <c r="G26" s="87">
        <v>5</v>
      </c>
      <c r="H26" s="87">
        <v>6</v>
      </c>
      <c r="I26" s="87">
        <v>7</v>
      </c>
      <c r="J26" s="87">
        <v>8</v>
      </c>
      <c r="K26" s="87">
        <v>9</v>
      </c>
      <c r="L26" s="87">
        <v>10</v>
      </c>
      <c r="M26" s="87">
        <v>11</v>
      </c>
    </row>
    <row r="27" spans="1:13" x14ac:dyDescent="0.25">
      <c r="A27" s="88">
        <v>55</v>
      </c>
      <c r="B27" s="90">
        <v>0.62</v>
      </c>
      <c r="C27" s="90">
        <v>0.622</v>
      </c>
      <c r="D27" s="90">
        <v>0.624</v>
      </c>
      <c r="E27" s="90">
        <v>0.626</v>
      </c>
      <c r="F27" s="90">
        <v>0.629</v>
      </c>
      <c r="G27" s="90">
        <v>0.63100000000000001</v>
      </c>
      <c r="H27" s="90">
        <v>0.63300000000000001</v>
      </c>
      <c r="I27" s="90">
        <v>0.63500000000000001</v>
      </c>
      <c r="J27" s="90">
        <v>0.63700000000000001</v>
      </c>
      <c r="K27" s="90">
        <v>0.64</v>
      </c>
      <c r="L27" s="90">
        <v>0.64200000000000002</v>
      </c>
      <c r="M27" s="90">
        <v>0.64400000000000002</v>
      </c>
    </row>
    <row r="28" spans="1:13" x14ac:dyDescent="0.25">
      <c r="A28" s="88">
        <v>56</v>
      </c>
      <c r="B28" s="90">
        <v>0.64600000000000002</v>
      </c>
      <c r="C28" s="90">
        <v>0.64800000000000002</v>
      </c>
      <c r="D28" s="90">
        <v>0.65100000000000002</v>
      </c>
      <c r="E28" s="90">
        <v>0.65300000000000002</v>
      </c>
      <c r="F28" s="90">
        <v>0.65600000000000003</v>
      </c>
      <c r="G28" s="90">
        <v>0.65800000000000003</v>
      </c>
      <c r="H28" s="90">
        <v>0.66</v>
      </c>
      <c r="I28" s="90">
        <v>0.66300000000000003</v>
      </c>
      <c r="J28" s="90">
        <v>0.66500000000000004</v>
      </c>
      <c r="K28" s="90">
        <v>0.66700000000000004</v>
      </c>
      <c r="L28" s="90">
        <v>0.67</v>
      </c>
      <c r="M28" s="90">
        <v>0.67200000000000004</v>
      </c>
    </row>
    <row r="29" spans="1:13" x14ac:dyDescent="0.25">
      <c r="A29" s="88">
        <v>57</v>
      </c>
      <c r="B29" s="90">
        <v>0.67400000000000004</v>
      </c>
      <c r="C29" s="90">
        <v>0.67700000000000005</v>
      </c>
      <c r="D29" s="90">
        <v>0.67900000000000005</v>
      </c>
      <c r="E29" s="90">
        <v>0.68200000000000005</v>
      </c>
      <c r="F29" s="90">
        <v>0.68400000000000005</v>
      </c>
      <c r="G29" s="90">
        <v>0.68700000000000006</v>
      </c>
      <c r="H29" s="90">
        <v>0.68899999999999995</v>
      </c>
      <c r="I29" s="90">
        <v>0.69199999999999995</v>
      </c>
      <c r="J29" s="90">
        <v>0.69399999999999995</v>
      </c>
      <c r="K29" s="90">
        <v>0.69699999999999995</v>
      </c>
      <c r="L29" s="90">
        <v>0.7</v>
      </c>
      <c r="M29" s="90">
        <v>0.70199999999999996</v>
      </c>
    </row>
    <row r="30" spans="1:13" x14ac:dyDescent="0.25">
      <c r="A30" s="88">
        <v>58</v>
      </c>
      <c r="B30" s="90">
        <v>0.70499999999999996</v>
      </c>
      <c r="C30" s="90">
        <v>0.70699999999999996</v>
      </c>
      <c r="D30" s="90">
        <v>0.71</v>
      </c>
      <c r="E30" s="90">
        <v>0.71299999999999997</v>
      </c>
      <c r="F30" s="90">
        <v>0.71499999999999997</v>
      </c>
      <c r="G30" s="90">
        <v>0.71799999999999997</v>
      </c>
      <c r="H30" s="90">
        <v>0.72099999999999997</v>
      </c>
      <c r="I30" s="90">
        <v>0.72399999999999998</v>
      </c>
      <c r="J30" s="90">
        <v>0.72599999999999998</v>
      </c>
      <c r="K30" s="90">
        <v>0.72899999999999998</v>
      </c>
      <c r="L30" s="90">
        <v>0.73199999999999998</v>
      </c>
      <c r="M30" s="90">
        <v>0.73399999999999999</v>
      </c>
    </row>
    <row r="31" spans="1:13" x14ac:dyDescent="0.25">
      <c r="A31" s="88">
        <v>59</v>
      </c>
      <c r="B31" s="90">
        <v>0.73699999999999999</v>
      </c>
      <c r="C31" s="90">
        <v>0.74</v>
      </c>
      <c r="D31" s="90">
        <v>0.74299999999999999</v>
      </c>
      <c r="E31" s="90">
        <v>0.746</v>
      </c>
      <c r="F31" s="90">
        <v>0.749</v>
      </c>
      <c r="G31" s="90">
        <v>0.752</v>
      </c>
      <c r="H31" s="90">
        <v>0.755</v>
      </c>
      <c r="I31" s="90">
        <v>0.75800000000000001</v>
      </c>
      <c r="J31" s="90">
        <v>0.76100000000000001</v>
      </c>
      <c r="K31" s="90">
        <v>0.76400000000000001</v>
      </c>
      <c r="L31" s="90">
        <v>0.76700000000000002</v>
      </c>
      <c r="M31" s="90">
        <v>0.76900000000000002</v>
      </c>
    </row>
    <row r="32" spans="1:13" x14ac:dyDescent="0.25">
      <c r="A32" s="88">
        <v>60</v>
      </c>
      <c r="B32" s="90">
        <v>0.77200000000000002</v>
      </c>
      <c r="C32" s="90">
        <v>0.77600000000000002</v>
      </c>
      <c r="D32" s="90">
        <v>0.77900000000000003</v>
      </c>
      <c r="E32" s="90">
        <v>0.78200000000000003</v>
      </c>
      <c r="F32" s="90">
        <v>0.78500000000000003</v>
      </c>
      <c r="G32" s="90">
        <v>0.78800000000000003</v>
      </c>
      <c r="H32" s="90">
        <v>0.79100000000000004</v>
      </c>
      <c r="I32" s="90">
        <v>0.79500000000000004</v>
      </c>
      <c r="J32" s="90">
        <v>0.79800000000000004</v>
      </c>
      <c r="K32" s="90">
        <v>0.80100000000000005</v>
      </c>
      <c r="L32" s="90">
        <v>0.80400000000000005</v>
      </c>
      <c r="M32" s="90">
        <v>0.80700000000000005</v>
      </c>
    </row>
    <row r="33" spans="1:13" x14ac:dyDescent="0.25">
      <c r="A33" s="88">
        <v>61</v>
      </c>
      <c r="B33" s="90">
        <v>0.81100000000000005</v>
      </c>
      <c r="C33" s="90">
        <v>0.81399999999999995</v>
      </c>
      <c r="D33" s="90">
        <v>0.81699999999999995</v>
      </c>
      <c r="E33" s="90">
        <v>0.82099999999999995</v>
      </c>
      <c r="F33" s="90">
        <v>0.82399999999999995</v>
      </c>
      <c r="G33" s="90">
        <v>0.82799999999999996</v>
      </c>
      <c r="H33" s="90">
        <v>0.83099999999999996</v>
      </c>
      <c r="I33" s="90">
        <v>0.83499999999999996</v>
      </c>
      <c r="J33" s="90">
        <v>0.83799999999999997</v>
      </c>
      <c r="K33" s="90">
        <v>0.84199999999999997</v>
      </c>
      <c r="L33" s="90">
        <v>0.84499999999999997</v>
      </c>
      <c r="M33" s="90">
        <v>0.84799999999999998</v>
      </c>
    </row>
    <row r="34" spans="1:13" x14ac:dyDescent="0.25">
      <c r="A34" s="88">
        <v>62</v>
      </c>
      <c r="B34" s="90">
        <v>0.85199999999999998</v>
      </c>
      <c r="C34" s="90">
        <v>0.85599999999999998</v>
      </c>
      <c r="D34" s="90">
        <v>0.85899999999999999</v>
      </c>
      <c r="E34" s="90">
        <v>0.86299999999999999</v>
      </c>
      <c r="F34" s="90">
        <v>0.86699999999999999</v>
      </c>
      <c r="G34" s="90">
        <v>0.871</v>
      </c>
      <c r="H34" s="90">
        <v>0.874</v>
      </c>
      <c r="I34" s="90">
        <v>0.878</v>
      </c>
      <c r="J34" s="90">
        <v>0.88200000000000001</v>
      </c>
      <c r="K34" s="90">
        <v>0.88600000000000001</v>
      </c>
      <c r="L34" s="90">
        <v>0.88900000000000001</v>
      </c>
      <c r="M34" s="90">
        <v>0.89300000000000002</v>
      </c>
    </row>
    <row r="35" spans="1:13" x14ac:dyDescent="0.25">
      <c r="A35" s="88">
        <v>63</v>
      </c>
      <c r="B35" s="90">
        <v>0.89700000000000002</v>
      </c>
      <c r="C35" s="90">
        <v>0.90100000000000002</v>
      </c>
      <c r="D35" s="90">
        <v>0.90500000000000003</v>
      </c>
      <c r="E35" s="90">
        <v>0.90900000000000003</v>
      </c>
      <c r="F35" s="90">
        <v>0.91300000000000003</v>
      </c>
      <c r="G35" s="90">
        <v>0.91700000000000004</v>
      </c>
      <c r="H35" s="90">
        <v>0.92200000000000004</v>
      </c>
      <c r="I35" s="90">
        <v>0.92600000000000005</v>
      </c>
      <c r="J35" s="90">
        <v>0.93</v>
      </c>
      <c r="K35" s="90">
        <v>0.93400000000000005</v>
      </c>
      <c r="L35" s="90">
        <v>0.93799999999999994</v>
      </c>
      <c r="M35" s="90">
        <v>0.94199999999999995</v>
      </c>
    </row>
    <row r="36" spans="1:13" x14ac:dyDescent="0.25">
      <c r="A36" s="88">
        <v>64</v>
      </c>
      <c r="B36" s="90">
        <v>0.94599999999999995</v>
      </c>
      <c r="C36" s="90">
        <v>0.95099999999999996</v>
      </c>
      <c r="D36" s="90">
        <v>0.95499999999999996</v>
      </c>
      <c r="E36" s="90">
        <v>0.96</v>
      </c>
      <c r="F36" s="90">
        <v>0.96399999999999997</v>
      </c>
      <c r="G36" s="90">
        <v>0.96899999999999997</v>
      </c>
      <c r="H36" s="90">
        <v>0.97299999999999998</v>
      </c>
      <c r="I36" s="90">
        <v>0.97799999999999998</v>
      </c>
      <c r="J36" s="90">
        <v>0.98199999999999998</v>
      </c>
      <c r="K36" s="90">
        <v>0.98699999999999999</v>
      </c>
      <c r="L36" s="90">
        <v>0.99099999999999999</v>
      </c>
      <c r="M36" s="90">
        <v>0.996</v>
      </c>
    </row>
    <row r="37" spans="1:13" x14ac:dyDescent="0.25">
      <c r="A37" s="88">
        <v>65</v>
      </c>
      <c r="B37" s="90">
        <v>1</v>
      </c>
      <c r="C37" s="90"/>
      <c r="D37" s="90"/>
      <c r="E37" s="90"/>
      <c r="F37" s="90"/>
      <c r="G37" s="90"/>
      <c r="H37" s="90"/>
      <c r="I37" s="90"/>
      <c r="J37" s="90"/>
      <c r="K37" s="90"/>
      <c r="L37" s="90"/>
      <c r="M37" s="90"/>
    </row>
    <row r="44" spans="1:13" ht="39.65" customHeight="1" x14ac:dyDescent="0.25"/>
    <row r="46" spans="1:13" ht="27.65" customHeight="1" x14ac:dyDescent="0.25"/>
  </sheetData>
  <sheetProtection algorithmName="SHA-512" hashValue="vWGFMahX8EYBp1RpyEyTGESn1mXffVWGUW2LjFww0wht5skPJcIHTCARbjgY8g6ekkRe32hRPoY208ub2/91AA==" saltValue="uLeggnKoj9QkRZdLngrYGA==" spinCount="100000" sheet="1" objects="1" scenarios="1"/>
  <conditionalFormatting sqref="A6:A16">
    <cfRule type="expression" dxfId="743" priority="23" stopIfTrue="1">
      <formula>MOD(ROW(),2)=0</formula>
    </cfRule>
    <cfRule type="expression" dxfId="742" priority="24" stopIfTrue="1">
      <formula>MOD(ROW(),2)&lt;&gt;0</formula>
    </cfRule>
  </conditionalFormatting>
  <conditionalFormatting sqref="B6:M21">
    <cfRule type="expression" dxfId="741" priority="25" stopIfTrue="1">
      <formula>MOD(ROW(),2)=0</formula>
    </cfRule>
    <cfRule type="expression" dxfId="740" priority="26" stopIfTrue="1">
      <formula>MOD(ROW(),2)&lt;&gt;0</formula>
    </cfRule>
  </conditionalFormatting>
  <conditionalFormatting sqref="A17:A20">
    <cfRule type="expression" dxfId="739" priority="15" stopIfTrue="1">
      <formula>MOD(ROW(),2)=0</formula>
    </cfRule>
    <cfRule type="expression" dxfId="738" priority="16" stopIfTrue="1">
      <formula>MOD(ROW(),2)&lt;&gt;0</formula>
    </cfRule>
  </conditionalFormatting>
  <conditionalFormatting sqref="B17:B18 B20:B21">
    <cfRule type="expression" dxfId="737" priority="17" stopIfTrue="1">
      <formula>MOD(ROW(),2)=0</formula>
    </cfRule>
    <cfRule type="expression" dxfId="736" priority="18" stopIfTrue="1">
      <formula>MOD(ROW(),2)&lt;&gt;0</formula>
    </cfRule>
  </conditionalFormatting>
  <conditionalFormatting sqref="A26:A37">
    <cfRule type="expression" dxfId="735" priority="7" stopIfTrue="1">
      <formula>MOD(ROW(),2)=0</formula>
    </cfRule>
    <cfRule type="expression" dxfId="734" priority="8" stopIfTrue="1">
      <formula>MOD(ROW(),2)&lt;&gt;0</formula>
    </cfRule>
  </conditionalFormatting>
  <conditionalFormatting sqref="B26:M37">
    <cfRule type="expression" dxfId="733" priority="9" stopIfTrue="1">
      <formula>MOD(ROW(),2)=0</formula>
    </cfRule>
    <cfRule type="expression" dxfId="732" priority="10" stopIfTrue="1">
      <formula>MOD(ROW(),2)&lt;&gt;0</formula>
    </cfRule>
  </conditionalFormatting>
  <conditionalFormatting sqref="B19">
    <cfRule type="expression" dxfId="731" priority="5" stopIfTrue="1">
      <formula>MOD(ROW(),2)=0</formula>
    </cfRule>
    <cfRule type="expression" dxfId="730" priority="6" stopIfTrue="1">
      <formula>MOD(ROW(),2)&lt;&gt;0</formula>
    </cfRule>
  </conditionalFormatting>
  <conditionalFormatting sqref="A21">
    <cfRule type="expression" dxfId="729" priority="1" stopIfTrue="1">
      <formula>MOD(ROW(),2)=0</formula>
    </cfRule>
    <cfRule type="expression" dxfId="728" priority="2" stopIfTrue="1">
      <formula>MOD(ROW(),2)&lt;&gt;0</formula>
    </cfRule>
  </conditionalFormatting>
  <hyperlinks>
    <hyperlink ref="B24" location="Assumptions!A1" display="Assumptions" xr:uid="{03C516A0-C448-440D-B0C4-640E55B2147F}"/>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E06791-2672-44A4-87B9-A84C014D3ECF}">
  <sheetPr codeName="Sheet111"/>
  <dimension ref="A1:M46"/>
  <sheetViews>
    <sheetView showGridLines="0" zoomScale="84" zoomScaleNormal="84" workbookViewId="0">
      <selection activeCell="B18" sqref="B18"/>
    </sheetView>
  </sheetViews>
  <sheetFormatPr defaultColWidth="10" defaultRowHeight="12.5" x14ac:dyDescent="0.25"/>
  <cols>
    <col min="1" max="1" width="31.54296875" style="28" customWidth="1"/>
    <col min="2" max="13" width="22.54296875" style="28" customWidth="1"/>
    <col min="14" max="16384" width="10" style="28"/>
  </cols>
  <sheetData>
    <row r="1" spans="1:13" ht="20" x14ac:dyDescent="0.4">
      <c r="A1" s="40" t="s">
        <v>227</v>
      </c>
      <c r="B1" s="41"/>
      <c r="C1" s="41"/>
      <c r="D1" s="41"/>
      <c r="E1" s="41"/>
      <c r="F1" s="41"/>
      <c r="G1" s="41"/>
      <c r="H1" s="41"/>
      <c r="I1" s="41"/>
    </row>
    <row r="2" spans="1:13" ht="15.5" x14ac:dyDescent="0.35">
      <c r="A2" s="42" t="str">
        <f>IF(title="&gt; Enter workbook title here","Enter workbook title in Cover sheet",title)</f>
        <v>Fire England - Consolidated Factor Spreadsheet</v>
      </c>
      <c r="B2" s="43"/>
      <c r="C2" s="43"/>
      <c r="D2" s="43"/>
      <c r="E2" s="43"/>
      <c r="F2" s="43"/>
      <c r="G2" s="43"/>
      <c r="H2" s="43"/>
      <c r="I2" s="43"/>
    </row>
    <row r="3" spans="1:13" ht="15.5" x14ac:dyDescent="0.35">
      <c r="A3" s="44" t="str">
        <f>TABLE_FACTOR_TYPE_1&amp;" - x-"&amp;TABLE_SERIES_NUMBER_1</f>
        <v>ERF - x-403</v>
      </c>
      <c r="B3" s="43"/>
      <c r="C3" s="43"/>
      <c r="D3" s="43"/>
      <c r="E3" s="43"/>
      <c r="F3" s="43"/>
      <c r="G3" s="43"/>
      <c r="H3" s="43"/>
      <c r="I3" s="43"/>
    </row>
    <row r="4" spans="1:13" x14ac:dyDescent="0.25">
      <c r="A4" s="45"/>
    </row>
    <row r="6" spans="1:13" ht="13" x14ac:dyDescent="0.3">
      <c r="A6" s="75" t="s">
        <v>562</v>
      </c>
      <c r="B6" s="159" t="s">
        <v>563</v>
      </c>
      <c r="C6" s="159"/>
      <c r="D6" s="159"/>
      <c r="E6" s="159"/>
      <c r="F6" s="159"/>
      <c r="G6" s="159"/>
      <c r="H6" s="159"/>
      <c r="I6" s="159"/>
      <c r="J6" s="159"/>
      <c r="K6" s="159"/>
      <c r="L6" s="159"/>
      <c r="M6" s="159"/>
    </row>
    <row r="7" spans="1:13" x14ac:dyDescent="0.25">
      <c r="A7" s="77" t="s">
        <v>305</v>
      </c>
      <c r="B7" s="159" t="s">
        <v>319</v>
      </c>
      <c r="C7" s="159"/>
      <c r="D7" s="159"/>
      <c r="E7" s="159"/>
      <c r="F7" s="159"/>
      <c r="G7" s="159"/>
      <c r="H7" s="159"/>
      <c r="I7" s="159"/>
      <c r="J7" s="159"/>
      <c r="K7" s="159"/>
      <c r="L7" s="159"/>
      <c r="M7" s="159"/>
    </row>
    <row r="8" spans="1:13" x14ac:dyDescent="0.25">
      <c r="A8" s="77" t="s">
        <v>306</v>
      </c>
      <c r="B8" s="159">
        <v>2015</v>
      </c>
      <c r="C8" s="159"/>
      <c r="D8" s="159"/>
      <c r="E8" s="159"/>
      <c r="F8" s="159"/>
      <c r="G8" s="159"/>
      <c r="H8" s="159"/>
      <c r="I8" s="159"/>
      <c r="J8" s="159"/>
      <c r="K8" s="159"/>
      <c r="L8" s="159"/>
      <c r="M8" s="159"/>
    </row>
    <row r="9" spans="1:13" x14ac:dyDescent="0.25">
      <c r="A9" s="77" t="s">
        <v>307</v>
      </c>
      <c r="B9" s="159" t="s">
        <v>437</v>
      </c>
      <c r="C9" s="159"/>
      <c r="D9" s="159"/>
      <c r="E9" s="159"/>
      <c r="F9" s="159"/>
      <c r="G9" s="159"/>
      <c r="H9" s="159"/>
      <c r="I9" s="159"/>
      <c r="J9" s="159"/>
      <c r="K9" s="159"/>
      <c r="L9" s="159"/>
      <c r="M9" s="159"/>
    </row>
    <row r="10" spans="1:13" x14ac:dyDescent="0.25">
      <c r="A10" s="77" t="s">
        <v>233</v>
      </c>
      <c r="B10" s="159" t="s">
        <v>441</v>
      </c>
      <c r="C10" s="159"/>
      <c r="D10" s="159"/>
      <c r="E10" s="159"/>
      <c r="F10" s="159"/>
      <c r="G10" s="159"/>
      <c r="H10" s="159"/>
      <c r="I10" s="159"/>
      <c r="J10" s="159"/>
      <c r="K10" s="159"/>
      <c r="L10" s="159"/>
      <c r="M10" s="159"/>
    </row>
    <row r="11" spans="1:13" x14ac:dyDescent="0.25">
      <c r="A11" s="77" t="s">
        <v>308</v>
      </c>
      <c r="B11" s="159" t="s">
        <v>404</v>
      </c>
      <c r="C11" s="159"/>
      <c r="D11" s="159"/>
      <c r="E11" s="159"/>
      <c r="F11" s="159"/>
      <c r="G11" s="159"/>
      <c r="H11" s="159"/>
      <c r="I11" s="159"/>
      <c r="J11" s="159"/>
      <c r="K11" s="159"/>
      <c r="L11" s="159"/>
      <c r="M11" s="159"/>
    </row>
    <row r="12" spans="1:13" x14ac:dyDescent="0.25">
      <c r="A12" s="77" t="s">
        <v>309</v>
      </c>
      <c r="B12" s="159" t="s">
        <v>442</v>
      </c>
      <c r="C12" s="159"/>
      <c r="D12" s="159"/>
      <c r="E12" s="159"/>
      <c r="F12" s="159"/>
      <c r="G12" s="159"/>
      <c r="H12" s="159"/>
      <c r="I12" s="159"/>
      <c r="J12" s="159"/>
      <c r="K12" s="159"/>
      <c r="L12" s="159"/>
      <c r="M12" s="159"/>
    </row>
    <row r="13" spans="1:13" x14ac:dyDescent="0.25">
      <c r="A13" s="77" t="s">
        <v>570</v>
      </c>
      <c r="B13" s="159">
        <v>0</v>
      </c>
      <c r="C13" s="159"/>
      <c r="D13" s="159"/>
      <c r="E13" s="159"/>
      <c r="F13" s="159"/>
      <c r="G13" s="159"/>
      <c r="H13" s="159"/>
      <c r="I13" s="159"/>
      <c r="J13" s="159"/>
      <c r="K13" s="159"/>
      <c r="L13" s="159"/>
      <c r="M13" s="159"/>
    </row>
    <row r="14" spans="1:13" x14ac:dyDescent="0.25">
      <c r="A14" s="77" t="s">
        <v>311</v>
      </c>
      <c r="B14" s="159">
        <v>403</v>
      </c>
      <c r="C14" s="159"/>
      <c r="D14" s="159"/>
      <c r="E14" s="159"/>
      <c r="F14" s="159"/>
      <c r="G14" s="159"/>
      <c r="H14" s="159"/>
      <c r="I14" s="159"/>
      <c r="J14" s="159"/>
      <c r="K14" s="159"/>
      <c r="L14" s="159"/>
      <c r="M14" s="159"/>
    </row>
    <row r="15" spans="1:13" x14ac:dyDescent="0.25">
      <c r="A15" s="77" t="s">
        <v>573</v>
      </c>
      <c r="B15" s="159" t="s">
        <v>443</v>
      </c>
      <c r="C15" s="159"/>
      <c r="D15" s="159"/>
      <c r="E15" s="159"/>
      <c r="F15" s="159"/>
      <c r="G15" s="159"/>
      <c r="H15" s="159"/>
      <c r="I15" s="159"/>
      <c r="J15" s="159"/>
      <c r="K15" s="159"/>
      <c r="L15" s="159"/>
      <c r="M15" s="159"/>
    </row>
    <row r="16" spans="1:13" x14ac:dyDescent="0.25">
      <c r="A16" s="77" t="s">
        <v>313</v>
      </c>
      <c r="B16" s="159" t="s">
        <v>444</v>
      </c>
      <c r="C16" s="159"/>
      <c r="D16" s="159"/>
      <c r="E16" s="159"/>
      <c r="F16" s="159"/>
      <c r="G16" s="159"/>
      <c r="H16" s="159"/>
      <c r="I16" s="159"/>
      <c r="J16" s="159"/>
      <c r="K16" s="159"/>
      <c r="L16" s="159"/>
      <c r="M16" s="159"/>
    </row>
    <row r="17" spans="1:13" x14ac:dyDescent="0.25">
      <c r="A17" s="160" t="s">
        <v>642</v>
      </c>
      <c r="B17" s="159"/>
      <c r="C17" s="159"/>
      <c r="D17" s="159"/>
      <c r="E17" s="159"/>
      <c r="F17" s="159"/>
      <c r="G17" s="159"/>
      <c r="H17" s="159"/>
      <c r="I17" s="159"/>
      <c r="J17" s="159"/>
      <c r="K17" s="159"/>
      <c r="L17" s="159"/>
      <c r="M17" s="159"/>
    </row>
    <row r="18" spans="1:13" x14ac:dyDescent="0.25">
      <c r="A18" s="160" t="s">
        <v>315</v>
      </c>
      <c r="B18" s="161">
        <v>45106</v>
      </c>
      <c r="C18" s="159"/>
      <c r="D18" s="159"/>
      <c r="E18" s="159"/>
      <c r="F18" s="159"/>
      <c r="G18" s="159"/>
      <c r="H18" s="159"/>
      <c r="I18" s="159"/>
      <c r="J18" s="159"/>
      <c r="K18" s="159"/>
      <c r="L18" s="159"/>
      <c r="M18" s="159"/>
    </row>
    <row r="19" spans="1:13" x14ac:dyDescent="0.25">
      <c r="A19" s="160" t="s">
        <v>316</v>
      </c>
      <c r="B19" s="161">
        <v>45110</v>
      </c>
      <c r="C19" s="159"/>
      <c r="D19" s="159"/>
      <c r="E19" s="159"/>
      <c r="F19" s="159"/>
      <c r="G19" s="159"/>
      <c r="H19" s="159"/>
      <c r="I19" s="159"/>
      <c r="J19" s="159"/>
      <c r="K19" s="159"/>
      <c r="L19" s="159"/>
      <c r="M19" s="159"/>
    </row>
    <row r="20" spans="1:13" x14ac:dyDescent="0.25">
      <c r="A20" s="160" t="s">
        <v>317</v>
      </c>
      <c r="B20" s="159" t="s">
        <v>327</v>
      </c>
      <c r="C20" s="159"/>
      <c r="D20" s="159"/>
      <c r="E20" s="159"/>
      <c r="F20" s="159"/>
      <c r="G20" s="159"/>
      <c r="H20" s="159"/>
      <c r="I20" s="159"/>
      <c r="J20" s="159"/>
      <c r="K20" s="159"/>
      <c r="L20" s="159"/>
      <c r="M20" s="159"/>
    </row>
    <row r="21" spans="1:13" x14ac:dyDescent="0.25">
      <c r="A21" s="77" t="s">
        <v>318</v>
      </c>
      <c r="B21" s="159" t="s">
        <v>328</v>
      </c>
      <c r="C21" s="159"/>
      <c r="D21" s="159"/>
      <c r="E21" s="159"/>
      <c r="F21" s="159"/>
      <c r="G21" s="159"/>
      <c r="H21" s="159"/>
      <c r="I21" s="159"/>
      <c r="J21" s="159"/>
      <c r="K21" s="159"/>
      <c r="L21" s="159"/>
      <c r="M21" s="159"/>
    </row>
    <row r="23" spans="1:13" x14ac:dyDescent="0.25">
      <c r="B23" s="91" t="str">
        <f>HYPERLINK("#'Factor List'!A1","Back to Factor List")</f>
        <v>Back to Factor List</v>
      </c>
    </row>
    <row r="24" spans="1:13" x14ac:dyDescent="0.25">
      <c r="B24" s="91" t="s">
        <v>240</v>
      </c>
    </row>
    <row r="26" spans="1:13" ht="13" x14ac:dyDescent="0.25">
      <c r="A26" s="103" t="s">
        <v>671</v>
      </c>
      <c r="B26" s="103">
        <v>0</v>
      </c>
      <c r="C26" s="103">
        <v>1</v>
      </c>
      <c r="D26" s="103">
        <v>2</v>
      </c>
      <c r="E26" s="103">
        <v>3</v>
      </c>
      <c r="F26" s="103">
        <v>4</v>
      </c>
      <c r="G26" s="103">
        <v>5</v>
      </c>
      <c r="H26" s="103">
        <v>6</v>
      </c>
      <c r="I26" s="103">
        <v>7</v>
      </c>
      <c r="J26" s="103">
        <v>8</v>
      </c>
      <c r="K26" s="103">
        <v>9</v>
      </c>
      <c r="L26" s="103">
        <v>10</v>
      </c>
      <c r="M26" s="103">
        <v>11</v>
      </c>
    </row>
    <row r="27" spans="1:13" x14ac:dyDescent="0.25">
      <c r="A27" s="104">
        <v>13</v>
      </c>
      <c r="B27" s="153">
        <v>0.53200000000000003</v>
      </c>
      <c r="C27" s="153"/>
      <c r="D27" s="153"/>
      <c r="E27" s="153"/>
      <c r="F27" s="153"/>
      <c r="G27" s="153"/>
      <c r="H27" s="153"/>
      <c r="I27" s="153"/>
      <c r="J27" s="153"/>
      <c r="K27" s="153"/>
      <c r="L27" s="153"/>
      <c r="M27" s="153"/>
    </row>
    <row r="28" spans="1:13" x14ac:dyDescent="0.25">
      <c r="A28" s="104">
        <v>12</v>
      </c>
      <c r="B28" s="153">
        <v>0.55400000000000005</v>
      </c>
      <c r="C28" s="153">
        <v>0.55200000000000005</v>
      </c>
      <c r="D28" s="153">
        <v>0.55000000000000004</v>
      </c>
      <c r="E28" s="153">
        <v>0.54800000000000004</v>
      </c>
      <c r="F28" s="153">
        <v>0.54600000000000004</v>
      </c>
      <c r="G28" s="153">
        <v>0.54500000000000004</v>
      </c>
      <c r="H28" s="153">
        <v>0.54300000000000004</v>
      </c>
      <c r="I28" s="153">
        <v>0.54100000000000004</v>
      </c>
      <c r="J28" s="153">
        <v>0.53900000000000003</v>
      </c>
      <c r="K28" s="153">
        <v>0.53700000000000003</v>
      </c>
      <c r="L28" s="153">
        <v>0.53600000000000003</v>
      </c>
      <c r="M28" s="153">
        <v>0.53400000000000003</v>
      </c>
    </row>
    <row r="29" spans="1:13" x14ac:dyDescent="0.25">
      <c r="A29" s="104">
        <v>11</v>
      </c>
      <c r="B29" s="153">
        <v>0.57699999999999996</v>
      </c>
      <c r="C29" s="153">
        <v>0.57499999999999996</v>
      </c>
      <c r="D29" s="153">
        <v>0.57299999999999995</v>
      </c>
      <c r="E29" s="153">
        <v>0.57099999999999995</v>
      </c>
      <c r="F29" s="153">
        <v>0.56899999999999995</v>
      </c>
      <c r="G29" s="153">
        <v>0.56699999999999995</v>
      </c>
      <c r="H29" s="153">
        <v>0.56499999999999995</v>
      </c>
      <c r="I29" s="153">
        <v>0.56299999999999994</v>
      </c>
      <c r="J29" s="153">
        <v>0.56100000000000005</v>
      </c>
      <c r="K29" s="153">
        <v>0.55900000000000005</v>
      </c>
      <c r="L29" s="153">
        <v>0.55800000000000005</v>
      </c>
      <c r="M29" s="153">
        <v>0.55600000000000005</v>
      </c>
    </row>
    <row r="30" spans="1:13" x14ac:dyDescent="0.25">
      <c r="A30" s="104">
        <v>10</v>
      </c>
      <c r="B30" s="153">
        <v>0.60199999999999998</v>
      </c>
      <c r="C30" s="153">
        <v>0.6</v>
      </c>
      <c r="D30" s="153">
        <v>0.59799999999999998</v>
      </c>
      <c r="E30" s="153">
        <v>0.59599999999999997</v>
      </c>
      <c r="F30" s="153">
        <v>0.59399999999999997</v>
      </c>
      <c r="G30" s="153">
        <v>0.59099999999999997</v>
      </c>
      <c r="H30" s="153">
        <v>0.58899999999999997</v>
      </c>
      <c r="I30" s="153">
        <v>0.58699999999999997</v>
      </c>
      <c r="J30" s="153">
        <v>0.58499999999999996</v>
      </c>
      <c r="K30" s="153">
        <v>0.58299999999999996</v>
      </c>
      <c r="L30" s="153">
        <v>0.58099999999999996</v>
      </c>
      <c r="M30" s="153">
        <v>0.57899999999999996</v>
      </c>
    </row>
    <row r="31" spans="1:13" x14ac:dyDescent="0.25">
      <c r="A31" s="104">
        <v>9</v>
      </c>
      <c r="B31" s="153">
        <v>0.629</v>
      </c>
      <c r="C31" s="153">
        <v>0.626</v>
      </c>
      <c r="D31" s="153">
        <v>0.624</v>
      </c>
      <c r="E31" s="153">
        <v>0.622</v>
      </c>
      <c r="F31" s="153">
        <v>0.62</v>
      </c>
      <c r="G31" s="153">
        <v>0.61699999999999999</v>
      </c>
      <c r="H31" s="153">
        <v>0.61499999999999999</v>
      </c>
      <c r="I31" s="153">
        <v>0.61299999999999999</v>
      </c>
      <c r="J31" s="153">
        <v>0.61099999999999999</v>
      </c>
      <c r="K31" s="153">
        <v>0.60899999999999999</v>
      </c>
      <c r="L31" s="153">
        <v>0.60599999999999998</v>
      </c>
      <c r="M31" s="153">
        <v>0.60399999999999998</v>
      </c>
    </row>
    <row r="32" spans="1:13" x14ac:dyDescent="0.25">
      <c r="A32" s="104">
        <v>8</v>
      </c>
      <c r="B32" s="153">
        <v>0.65800000000000003</v>
      </c>
      <c r="C32" s="153">
        <v>0.65500000000000003</v>
      </c>
      <c r="D32" s="153">
        <v>0.65300000000000002</v>
      </c>
      <c r="E32" s="153">
        <v>0.65</v>
      </c>
      <c r="F32" s="153">
        <v>0.64800000000000002</v>
      </c>
      <c r="G32" s="153">
        <v>0.64600000000000002</v>
      </c>
      <c r="H32" s="153">
        <v>0.64300000000000002</v>
      </c>
      <c r="I32" s="153">
        <v>0.64100000000000001</v>
      </c>
      <c r="J32" s="153">
        <v>0.63800000000000001</v>
      </c>
      <c r="K32" s="153">
        <v>0.63600000000000001</v>
      </c>
      <c r="L32" s="153">
        <v>0.63300000000000001</v>
      </c>
      <c r="M32" s="153">
        <v>0.63100000000000001</v>
      </c>
    </row>
    <row r="33" spans="1:13" x14ac:dyDescent="0.25">
      <c r="A33" s="104">
        <v>7</v>
      </c>
      <c r="B33" s="153">
        <v>0.68899999999999995</v>
      </c>
      <c r="C33" s="153">
        <v>0.68600000000000005</v>
      </c>
      <c r="D33" s="153">
        <v>0.68400000000000005</v>
      </c>
      <c r="E33" s="153">
        <v>0.68100000000000005</v>
      </c>
      <c r="F33" s="153">
        <v>0.67800000000000005</v>
      </c>
      <c r="G33" s="153">
        <v>0.67600000000000005</v>
      </c>
      <c r="H33" s="153">
        <v>0.67300000000000004</v>
      </c>
      <c r="I33" s="153">
        <v>0.67100000000000004</v>
      </c>
      <c r="J33" s="153">
        <v>0.66800000000000004</v>
      </c>
      <c r="K33" s="153">
        <v>0.66500000000000004</v>
      </c>
      <c r="L33" s="153">
        <v>0.66300000000000003</v>
      </c>
      <c r="M33" s="153">
        <v>0.66</v>
      </c>
    </row>
    <row r="34" spans="1:13" x14ac:dyDescent="0.25">
      <c r="A34" s="104">
        <v>6</v>
      </c>
      <c r="B34" s="153">
        <v>0.72199999999999998</v>
      </c>
      <c r="C34" s="153">
        <v>0.72</v>
      </c>
      <c r="D34" s="153">
        <v>0.71699999999999997</v>
      </c>
      <c r="E34" s="153">
        <v>0.71399999999999997</v>
      </c>
      <c r="F34" s="153">
        <v>0.71099999999999997</v>
      </c>
      <c r="G34" s="153">
        <v>0.70799999999999996</v>
      </c>
      <c r="H34" s="153">
        <v>0.70599999999999996</v>
      </c>
      <c r="I34" s="153">
        <v>0.70299999999999996</v>
      </c>
      <c r="J34" s="153">
        <v>0.7</v>
      </c>
      <c r="K34" s="153">
        <v>0.69699999999999995</v>
      </c>
      <c r="L34" s="153">
        <v>0.69399999999999995</v>
      </c>
      <c r="M34" s="153">
        <v>0.69199999999999995</v>
      </c>
    </row>
    <row r="35" spans="1:13" x14ac:dyDescent="0.25">
      <c r="A35" s="104">
        <v>5</v>
      </c>
      <c r="B35" s="153">
        <v>0.75900000000000001</v>
      </c>
      <c r="C35" s="153">
        <v>0.75600000000000001</v>
      </c>
      <c r="D35" s="153">
        <v>0.753</v>
      </c>
      <c r="E35" s="153">
        <v>0.75</v>
      </c>
      <c r="F35" s="153">
        <v>0.747</v>
      </c>
      <c r="G35" s="153">
        <v>0.74399999999999999</v>
      </c>
      <c r="H35" s="153">
        <v>0.74099999999999999</v>
      </c>
      <c r="I35" s="153">
        <v>0.73799999999999999</v>
      </c>
      <c r="J35" s="153">
        <v>0.73499999999999999</v>
      </c>
      <c r="K35" s="153">
        <v>0.73199999999999998</v>
      </c>
      <c r="L35" s="153">
        <v>0.72899999999999998</v>
      </c>
      <c r="M35" s="153">
        <v>0.72499999999999998</v>
      </c>
    </row>
    <row r="36" spans="1:13" x14ac:dyDescent="0.25">
      <c r="A36" s="104">
        <v>4</v>
      </c>
      <c r="B36" s="153">
        <v>0.79900000000000004</v>
      </c>
      <c r="C36" s="153">
        <v>0.79600000000000004</v>
      </c>
      <c r="D36" s="153">
        <v>0.79200000000000004</v>
      </c>
      <c r="E36" s="153">
        <v>0.78900000000000003</v>
      </c>
      <c r="F36" s="153">
        <v>0.78600000000000003</v>
      </c>
      <c r="G36" s="153">
        <v>0.78200000000000003</v>
      </c>
      <c r="H36" s="153">
        <v>0.77900000000000003</v>
      </c>
      <c r="I36" s="153">
        <v>0.77600000000000002</v>
      </c>
      <c r="J36" s="153">
        <v>0.77200000000000002</v>
      </c>
      <c r="K36" s="153">
        <v>0.76900000000000002</v>
      </c>
      <c r="L36" s="153">
        <v>0.76600000000000001</v>
      </c>
      <c r="M36" s="153">
        <v>0.76200000000000001</v>
      </c>
    </row>
    <row r="37" spans="1:13" x14ac:dyDescent="0.25">
      <c r="A37" s="104">
        <v>3</v>
      </c>
      <c r="B37" s="153">
        <v>0.84199999999999997</v>
      </c>
      <c r="C37" s="153">
        <v>0.83899999999999997</v>
      </c>
      <c r="D37" s="153">
        <v>0.83499999999999996</v>
      </c>
      <c r="E37" s="153">
        <v>0.83199999999999996</v>
      </c>
      <c r="F37" s="153">
        <v>0.82799999999999996</v>
      </c>
      <c r="G37" s="153">
        <v>0.82399999999999995</v>
      </c>
      <c r="H37" s="153">
        <v>0.82099999999999995</v>
      </c>
      <c r="I37" s="153">
        <v>0.81699999999999995</v>
      </c>
      <c r="J37" s="153">
        <v>0.81299999999999994</v>
      </c>
      <c r="K37" s="153">
        <v>0.81</v>
      </c>
      <c r="L37" s="153">
        <v>0.80600000000000005</v>
      </c>
      <c r="M37" s="153">
        <v>0.80300000000000005</v>
      </c>
    </row>
    <row r="38" spans="1:13" x14ac:dyDescent="0.25">
      <c r="A38" s="104">
        <v>2</v>
      </c>
      <c r="B38" s="153">
        <v>0.89</v>
      </c>
      <c r="C38" s="153">
        <v>0.88600000000000001</v>
      </c>
      <c r="D38" s="153">
        <v>0.88200000000000001</v>
      </c>
      <c r="E38" s="153">
        <v>0.878</v>
      </c>
      <c r="F38" s="153">
        <v>0.874</v>
      </c>
      <c r="G38" s="153">
        <v>0.87</v>
      </c>
      <c r="H38" s="153">
        <v>0.86599999999999999</v>
      </c>
      <c r="I38" s="153">
        <v>0.86199999999999999</v>
      </c>
      <c r="J38" s="153">
        <v>0.85799999999999998</v>
      </c>
      <c r="K38" s="153">
        <v>0.85399999999999998</v>
      </c>
      <c r="L38" s="153">
        <v>0.85</v>
      </c>
      <c r="M38" s="153">
        <v>0.84599999999999997</v>
      </c>
    </row>
    <row r="39" spans="1:13" x14ac:dyDescent="0.25">
      <c r="A39" s="104">
        <v>1</v>
      </c>
      <c r="B39" s="153">
        <v>0.94199999999999995</v>
      </c>
      <c r="C39" s="153">
        <v>0.93799999999999994</v>
      </c>
      <c r="D39" s="153">
        <v>0.93400000000000005</v>
      </c>
      <c r="E39" s="153">
        <v>0.92900000000000005</v>
      </c>
      <c r="F39" s="153">
        <v>0.92500000000000004</v>
      </c>
      <c r="G39" s="153">
        <v>0.92100000000000004</v>
      </c>
      <c r="H39" s="153">
        <v>0.91600000000000004</v>
      </c>
      <c r="I39" s="153">
        <v>0.91200000000000003</v>
      </c>
      <c r="J39" s="153">
        <v>0.90700000000000003</v>
      </c>
      <c r="K39" s="153">
        <v>0.90300000000000002</v>
      </c>
      <c r="L39" s="153">
        <v>0.89900000000000002</v>
      </c>
      <c r="M39" s="153">
        <v>0.89400000000000002</v>
      </c>
    </row>
    <row r="40" spans="1:13" x14ac:dyDescent="0.25">
      <c r="A40" s="104">
        <v>0</v>
      </c>
      <c r="B40" s="153">
        <v>1</v>
      </c>
      <c r="C40" s="153">
        <v>0.995</v>
      </c>
      <c r="D40" s="153">
        <v>0.99</v>
      </c>
      <c r="E40" s="153">
        <v>0.98599999999999999</v>
      </c>
      <c r="F40" s="153">
        <v>0.98099999999999998</v>
      </c>
      <c r="G40" s="153">
        <v>0.97599999999999998</v>
      </c>
      <c r="H40" s="153">
        <v>0.97099999999999997</v>
      </c>
      <c r="I40" s="153">
        <v>0.96599999999999997</v>
      </c>
      <c r="J40" s="153">
        <v>0.96199999999999997</v>
      </c>
      <c r="K40" s="153">
        <v>0.95699999999999996</v>
      </c>
      <c r="L40" s="153">
        <v>0.95199999999999996</v>
      </c>
      <c r="M40" s="153">
        <v>0.94699999999999995</v>
      </c>
    </row>
    <row r="44" spans="1:13" ht="39.65" customHeight="1" x14ac:dyDescent="0.25"/>
    <row r="46" spans="1:13" ht="27.65" customHeight="1" x14ac:dyDescent="0.25"/>
  </sheetData>
  <sheetProtection algorithmName="SHA-512" hashValue="FHSeNYYq5nAbKqWcxCZKWg9lnx1tKFF8p8QfNR6w5Iv8UZGl0Q0ovqVrrIueXJVtrcNdYNtalo8ns29/YIe0Dg==" saltValue="DNG/K/e9UB2ybMa0nU+BMQ==" spinCount="100000" sheet="1" objects="1" scenarios="1"/>
  <conditionalFormatting sqref="B17">
    <cfRule type="expression" dxfId="727" priority="21" stopIfTrue="1">
      <formula>MOD(ROW(),2)=0</formula>
    </cfRule>
    <cfRule type="expression" dxfId="726" priority="22" stopIfTrue="1">
      <formula>MOD(ROW(),2)&lt;&gt;0</formula>
    </cfRule>
  </conditionalFormatting>
  <conditionalFormatting sqref="A6:A16">
    <cfRule type="expression" dxfId="725" priority="23" stopIfTrue="1">
      <formula>MOD(ROW(),2)=0</formula>
    </cfRule>
    <cfRule type="expression" dxfId="724" priority="24" stopIfTrue="1">
      <formula>MOD(ROW(),2)&lt;&gt;0</formula>
    </cfRule>
  </conditionalFormatting>
  <conditionalFormatting sqref="B6:M21">
    <cfRule type="expression" dxfId="723" priority="25" stopIfTrue="1">
      <formula>MOD(ROW(),2)=0</formula>
    </cfRule>
    <cfRule type="expression" dxfId="722" priority="26" stopIfTrue="1">
      <formula>MOD(ROW(),2)&lt;&gt;0</formula>
    </cfRule>
  </conditionalFormatting>
  <conditionalFormatting sqref="B20:B21">
    <cfRule type="expression" dxfId="721" priority="19" stopIfTrue="1">
      <formula>MOD(ROW(),2)=0</formula>
    </cfRule>
    <cfRule type="expression" dxfId="720" priority="20" stopIfTrue="1">
      <formula>MOD(ROW(),2)&lt;&gt;0</formula>
    </cfRule>
  </conditionalFormatting>
  <conditionalFormatting sqref="A17:A20">
    <cfRule type="expression" dxfId="719" priority="17" stopIfTrue="1">
      <formula>MOD(ROW(),2)=0</formula>
    </cfRule>
    <cfRule type="expression" dxfId="718" priority="18" stopIfTrue="1">
      <formula>MOD(ROW(),2)&lt;&gt;0</formula>
    </cfRule>
  </conditionalFormatting>
  <conditionalFormatting sqref="B16">
    <cfRule type="expression" dxfId="717" priority="15" stopIfTrue="1">
      <formula>MOD(ROW(),2)=0</formula>
    </cfRule>
    <cfRule type="expression" dxfId="716" priority="16" stopIfTrue="1">
      <formula>MOD(ROW(),2)&lt;&gt;0</formula>
    </cfRule>
  </conditionalFormatting>
  <conditionalFormatting sqref="B19">
    <cfRule type="expression" dxfId="715" priority="13" stopIfTrue="1">
      <formula>MOD(ROW(),2)=0</formula>
    </cfRule>
    <cfRule type="expression" dxfId="714" priority="14" stopIfTrue="1">
      <formula>MOD(ROW(),2)&lt;&gt;0</formula>
    </cfRule>
  </conditionalFormatting>
  <conditionalFormatting sqref="B18">
    <cfRule type="expression" dxfId="713" priority="11" stopIfTrue="1">
      <formula>MOD(ROW(),2)=0</formula>
    </cfRule>
    <cfRule type="expression" dxfId="712" priority="12" stopIfTrue="1">
      <formula>MOD(ROW(),2)&lt;&gt;0</formula>
    </cfRule>
  </conditionalFormatting>
  <conditionalFormatting sqref="A26:A39">
    <cfRule type="expression" dxfId="711" priority="7" stopIfTrue="1">
      <formula>MOD(ROW(),2)=0</formula>
    </cfRule>
    <cfRule type="expression" dxfId="710" priority="8" stopIfTrue="1">
      <formula>MOD(ROW(),2)&lt;&gt;0</formula>
    </cfRule>
  </conditionalFormatting>
  <conditionalFormatting sqref="B26:M39">
    <cfRule type="expression" dxfId="709" priority="9" stopIfTrue="1">
      <formula>MOD(ROW(),2)=0</formula>
    </cfRule>
    <cfRule type="expression" dxfId="708" priority="10" stopIfTrue="1">
      <formula>MOD(ROW(),2)&lt;&gt;0</formula>
    </cfRule>
  </conditionalFormatting>
  <conditionalFormatting sqref="A40">
    <cfRule type="expression" dxfId="707" priority="3" stopIfTrue="1">
      <formula>MOD(ROW(),2)=0</formula>
    </cfRule>
    <cfRule type="expression" dxfId="706" priority="4" stopIfTrue="1">
      <formula>MOD(ROW(),2)&lt;&gt;0</formula>
    </cfRule>
  </conditionalFormatting>
  <conditionalFormatting sqref="B40:M40">
    <cfRule type="expression" dxfId="705" priority="5" stopIfTrue="1">
      <formula>MOD(ROW(),2)=0</formula>
    </cfRule>
    <cfRule type="expression" dxfId="704" priority="6" stopIfTrue="1">
      <formula>MOD(ROW(),2)&lt;&gt;0</formula>
    </cfRule>
  </conditionalFormatting>
  <conditionalFormatting sqref="A21">
    <cfRule type="expression" dxfId="703" priority="1" stopIfTrue="1">
      <formula>MOD(ROW(),2)=0</formula>
    </cfRule>
    <cfRule type="expression" dxfId="702" priority="2" stopIfTrue="1">
      <formula>MOD(ROW(),2)&lt;&gt;0</formula>
    </cfRule>
  </conditionalFormatting>
  <hyperlinks>
    <hyperlink ref="B24" location="Assumptions!A1" display="Assumptions" xr:uid="{780DAFDB-F558-483A-9F12-508314BF243B}"/>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Sheet77"/>
  <dimension ref="A1:P46"/>
  <sheetViews>
    <sheetView showGridLines="0" zoomScale="85" zoomScaleNormal="85" workbookViewId="0">
      <selection activeCell="B18" sqref="B18"/>
    </sheetView>
  </sheetViews>
  <sheetFormatPr defaultColWidth="10" defaultRowHeight="12.5" x14ac:dyDescent="0.25"/>
  <cols>
    <col min="1" max="1" width="31.81640625" style="28" customWidth="1"/>
    <col min="2" max="16" width="22.81640625" style="28" customWidth="1"/>
    <col min="17" max="16384" width="10" style="28"/>
  </cols>
  <sheetData>
    <row r="1" spans="1:16" ht="20" x14ac:dyDescent="0.4">
      <c r="A1" s="40" t="s">
        <v>227</v>
      </c>
      <c r="B1" s="41"/>
      <c r="C1" s="41"/>
      <c r="D1" s="41"/>
      <c r="E1" s="41"/>
      <c r="F1" s="41"/>
      <c r="G1" s="41"/>
      <c r="H1" s="41"/>
      <c r="I1" s="41"/>
    </row>
    <row r="2" spans="1:16" ht="15.5" x14ac:dyDescent="0.35">
      <c r="A2" s="42" t="str">
        <f>IF(title="&gt; Enter workbook title here","Enter workbook title in Cover sheet",title)</f>
        <v>Fire Northern Ireland - Consolidated Factor Spreadsheet</v>
      </c>
      <c r="B2" s="43"/>
      <c r="C2" s="43"/>
      <c r="D2" s="43"/>
      <c r="E2" s="43"/>
      <c r="F2" s="43"/>
      <c r="G2" s="43"/>
      <c r="H2" s="43"/>
      <c r="I2" s="43"/>
    </row>
    <row r="3" spans="1:16" ht="15.5" x14ac:dyDescent="0.35">
      <c r="A3" s="44" t="str">
        <f>TABLE_FACTOR_TYPE_1&amp;" - x-"&amp;TABLE_SERIES_NUMBER_1</f>
        <v>LRF - x-404</v>
      </c>
      <c r="B3" s="43"/>
      <c r="C3" s="43"/>
      <c r="D3" s="43"/>
      <c r="E3" s="43"/>
      <c r="F3" s="43"/>
      <c r="G3" s="43"/>
      <c r="H3" s="43"/>
      <c r="I3" s="43"/>
    </row>
    <row r="4" spans="1:16" x14ac:dyDescent="0.25">
      <c r="A4" s="45"/>
    </row>
    <row r="6" spans="1:16" ht="13" x14ac:dyDescent="0.3">
      <c r="A6" s="75" t="s">
        <v>562</v>
      </c>
      <c r="B6" s="159" t="s">
        <v>563</v>
      </c>
      <c r="C6" s="159"/>
      <c r="D6" s="159"/>
      <c r="E6" s="159"/>
      <c r="F6" s="159"/>
      <c r="G6" s="159"/>
      <c r="H6" s="159"/>
      <c r="I6" s="159"/>
      <c r="J6" s="159"/>
      <c r="K6" s="159"/>
      <c r="L6" s="159"/>
      <c r="M6" s="159"/>
      <c r="N6" s="159"/>
      <c r="O6" s="159"/>
      <c r="P6" s="159"/>
    </row>
    <row r="7" spans="1:16" x14ac:dyDescent="0.25">
      <c r="A7" s="77" t="s">
        <v>305</v>
      </c>
      <c r="B7" s="159" t="s">
        <v>319</v>
      </c>
      <c r="C7" s="159"/>
      <c r="D7" s="159"/>
      <c r="E7" s="159"/>
      <c r="F7" s="159"/>
      <c r="G7" s="159"/>
      <c r="H7" s="159"/>
      <c r="I7" s="159"/>
      <c r="J7" s="159"/>
      <c r="K7" s="159"/>
      <c r="L7" s="159"/>
      <c r="M7" s="159"/>
      <c r="N7" s="159"/>
      <c r="O7" s="159"/>
      <c r="P7" s="159"/>
    </row>
    <row r="8" spans="1:16" x14ac:dyDescent="0.25">
      <c r="A8" s="77" t="s">
        <v>306</v>
      </c>
      <c r="B8" s="159">
        <v>2015</v>
      </c>
      <c r="C8" s="159"/>
      <c r="D8" s="159"/>
      <c r="E8" s="159"/>
      <c r="F8" s="159"/>
      <c r="G8" s="159"/>
      <c r="H8" s="159"/>
      <c r="I8" s="159"/>
      <c r="J8" s="159"/>
      <c r="K8" s="159"/>
      <c r="L8" s="159"/>
      <c r="M8" s="159"/>
      <c r="N8" s="159"/>
      <c r="O8" s="159"/>
      <c r="P8" s="159"/>
    </row>
    <row r="9" spans="1:16" x14ac:dyDescent="0.25">
      <c r="A9" s="77" t="s">
        <v>307</v>
      </c>
      <c r="B9" s="159" t="s">
        <v>445</v>
      </c>
      <c r="C9" s="159"/>
      <c r="D9" s="159"/>
      <c r="E9" s="159"/>
      <c r="F9" s="159"/>
      <c r="G9" s="159"/>
      <c r="H9" s="159"/>
      <c r="I9" s="159"/>
      <c r="J9" s="159"/>
      <c r="K9" s="159"/>
      <c r="L9" s="159"/>
      <c r="M9" s="159"/>
      <c r="N9" s="159"/>
      <c r="O9" s="159"/>
      <c r="P9" s="159"/>
    </row>
    <row r="10" spans="1:16" x14ac:dyDescent="0.25">
      <c r="A10" s="77" t="s">
        <v>233</v>
      </c>
      <c r="B10" s="159" t="s">
        <v>446</v>
      </c>
      <c r="C10" s="159"/>
      <c r="D10" s="159"/>
      <c r="E10" s="159"/>
      <c r="F10" s="159"/>
      <c r="G10" s="159"/>
      <c r="H10" s="159"/>
      <c r="I10" s="159"/>
      <c r="J10" s="159"/>
      <c r="K10" s="159"/>
      <c r="L10" s="159"/>
      <c r="M10" s="159"/>
      <c r="N10" s="159"/>
      <c r="O10" s="159"/>
      <c r="P10" s="159"/>
    </row>
    <row r="11" spans="1:16" x14ac:dyDescent="0.25">
      <c r="A11" s="77" t="s">
        <v>308</v>
      </c>
      <c r="B11" s="159" t="s">
        <v>404</v>
      </c>
      <c r="C11" s="159"/>
      <c r="D11" s="159"/>
      <c r="E11" s="159"/>
      <c r="F11" s="159"/>
      <c r="G11" s="159"/>
      <c r="H11" s="159"/>
      <c r="I11" s="159"/>
      <c r="J11" s="159"/>
      <c r="K11" s="159"/>
      <c r="L11" s="159"/>
      <c r="M11" s="159"/>
      <c r="N11" s="159"/>
      <c r="O11" s="159"/>
      <c r="P11" s="159"/>
    </row>
    <row r="12" spans="1:16" x14ac:dyDescent="0.25">
      <c r="A12" s="77" t="s">
        <v>309</v>
      </c>
      <c r="B12" s="159" t="s">
        <v>447</v>
      </c>
      <c r="C12" s="159"/>
      <c r="D12" s="159"/>
      <c r="E12" s="159"/>
      <c r="F12" s="159"/>
      <c r="G12" s="159"/>
      <c r="H12" s="159"/>
      <c r="I12" s="159"/>
      <c r="J12" s="159"/>
      <c r="K12" s="159"/>
      <c r="L12" s="159"/>
      <c r="M12" s="159"/>
      <c r="N12" s="159"/>
      <c r="O12" s="159"/>
      <c r="P12" s="159"/>
    </row>
    <row r="13" spans="1:16" x14ac:dyDescent="0.25">
      <c r="A13" s="77" t="s">
        <v>570</v>
      </c>
      <c r="B13" s="159">
        <v>0</v>
      </c>
      <c r="C13" s="159"/>
      <c r="D13" s="159"/>
      <c r="E13" s="159"/>
      <c r="F13" s="159"/>
      <c r="G13" s="159"/>
      <c r="H13" s="159"/>
      <c r="I13" s="159"/>
      <c r="J13" s="159"/>
      <c r="K13" s="159"/>
      <c r="L13" s="159"/>
      <c r="M13" s="159"/>
      <c r="N13" s="159"/>
      <c r="O13" s="159"/>
      <c r="P13" s="159"/>
    </row>
    <row r="14" spans="1:16" x14ac:dyDescent="0.25">
      <c r="A14" s="77" t="s">
        <v>311</v>
      </c>
      <c r="B14" s="159">
        <v>404</v>
      </c>
      <c r="C14" s="159"/>
      <c r="D14" s="159"/>
      <c r="E14" s="159"/>
      <c r="F14" s="159"/>
      <c r="G14" s="159"/>
      <c r="H14" s="159"/>
      <c r="I14" s="159"/>
      <c r="J14" s="159"/>
      <c r="K14" s="159"/>
      <c r="L14" s="159"/>
      <c r="M14" s="159"/>
      <c r="N14" s="159"/>
      <c r="O14" s="159"/>
      <c r="P14" s="159"/>
    </row>
    <row r="15" spans="1:16" x14ac:dyDescent="0.25">
      <c r="A15" s="77" t="s">
        <v>573</v>
      </c>
      <c r="B15" s="159" t="s">
        <v>448</v>
      </c>
      <c r="C15" s="159"/>
      <c r="D15" s="159"/>
      <c r="E15" s="159"/>
      <c r="F15" s="159"/>
      <c r="G15" s="159"/>
      <c r="H15" s="159"/>
      <c r="I15" s="159"/>
      <c r="J15" s="159"/>
      <c r="K15" s="159"/>
      <c r="L15" s="159"/>
      <c r="M15" s="159"/>
      <c r="N15" s="159"/>
      <c r="O15" s="159"/>
      <c r="P15" s="159"/>
    </row>
    <row r="16" spans="1:16" x14ac:dyDescent="0.25">
      <c r="A16" s="77" t="s">
        <v>313</v>
      </c>
      <c r="B16" s="159" t="s">
        <v>449</v>
      </c>
      <c r="C16" s="159"/>
      <c r="D16" s="159"/>
      <c r="E16" s="159"/>
      <c r="F16" s="159"/>
      <c r="G16" s="159"/>
      <c r="H16" s="159"/>
      <c r="I16" s="159"/>
      <c r="J16" s="159"/>
      <c r="K16" s="159"/>
      <c r="L16" s="159"/>
      <c r="M16" s="159"/>
      <c r="N16" s="159"/>
      <c r="O16" s="159"/>
      <c r="P16" s="159"/>
    </row>
    <row r="17" spans="1:16" x14ac:dyDescent="0.25">
      <c r="A17" s="77" t="s">
        <v>642</v>
      </c>
      <c r="B17" s="159"/>
      <c r="C17" s="159"/>
      <c r="D17" s="159"/>
      <c r="E17" s="159"/>
      <c r="F17" s="159"/>
      <c r="G17" s="159"/>
      <c r="H17" s="159"/>
      <c r="I17" s="159"/>
      <c r="J17" s="159"/>
      <c r="K17" s="159"/>
      <c r="L17" s="159"/>
      <c r="M17" s="159"/>
      <c r="N17" s="159"/>
      <c r="O17" s="159"/>
      <c r="P17" s="159"/>
    </row>
    <row r="18" spans="1:16" x14ac:dyDescent="0.25">
      <c r="A18" s="77" t="s">
        <v>315</v>
      </c>
      <c r="B18" s="161">
        <v>45106</v>
      </c>
      <c r="C18" s="159"/>
      <c r="D18" s="159"/>
      <c r="E18" s="159"/>
      <c r="F18" s="159"/>
      <c r="G18" s="159"/>
      <c r="H18" s="159"/>
      <c r="I18" s="159"/>
      <c r="J18" s="159"/>
      <c r="K18" s="159"/>
      <c r="L18" s="159"/>
      <c r="M18" s="159"/>
      <c r="N18" s="159"/>
      <c r="O18" s="159"/>
      <c r="P18" s="159"/>
    </row>
    <row r="19" spans="1:16" x14ac:dyDescent="0.25">
      <c r="A19" s="77" t="s">
        <v>316</v>
      </c>
      <c r="B19" s="161">
        <v>45106</v>
      </c>
      <c r="C19" s="159"/>
      <c r="D19" s="159"/>
      <c r="E19" s="159"/>
      <c r="F19" s="159"/>
      <c r="G19" s="159"/>
      <c r="H19" s="159"/>
      <c r="I19" s="159"/>
      <c r="J19" s="159"/>
      <c r="K19" s="159"/>
      <c r="L19" s="159"/>
      <c r="M19" s="159"/>
      <c r="N19" s="159"/>
      <c r="O19" s="159"/>
      <c r="P19" s="159"/>
    </row>
    <row r="20" spans="1:16" x14ac:dyDescent="0.25">
      <c r="A20" s="77" t="s">
        <v>317</v>
      </c>
      <c r="B20" s="159" t="s">
        <v>327</v>
      </c>
      <c r="C20" s="159"/>
      <c r="D20" s="159"/>
      <c r="E20" s="159"/>
      <c r="F20" s="159"/>
      <c r="G20" s="159"/>
      <c r="H20" s="159"/>
      <c r="I20" s="159"/>
      <c r="J20" s="159"/>
      <c r="K20" s="159"/>
      <c r="L20" s="159"/>
      <c r="M20" s="159"/>
      <c r="N20" s="159"/>
      <c r="O20" s="159"/>
      <c r="P20" s="159"/>
    </row>
    <row r="21" spans="1:16" x14ac:dyDescent="0.25">
      <c r="A21" s="77" t="s">
        <v>318</v>
      </c>
      <c r="B21" s="159" t="s">
        <v>328</v>
      </c>
      <c r="C21" s="159"/>
      <c r="D21" s="159"/>
      <c r="E21" s="159"/>
      <c r="F21" s="159"/>
      <c r="G21" s="159"/>
      <c r="H21" s="159"/>
      <c r="I21" s="159"/>
      <c r="J21" s="159"/>
      <c r="K21" s="159"/>
      <c r="L21" s="159"/>
      <c r="M21" s="159"/>
      <c r="N21" s="159"/>
      <c r="O21" s="159"/>
      <c r="P21" s="159"/>
    </row>
    <row r="23" spans="1:16" x14ac:dyDescent="0.25">
      <c r="B23" s="91" t="str">
        <f>HYPERLINK("#'Factor List'!A1","Back to Factor List")</f>
        <v>Back to Factor List</v>
      </c>
    </row>
    <row r="24" spans="1:16" x14ac:dyDescent="0.25">
      <c r="B24" s="91" t="s">
        <v>240</v>
      </c>
    </row>
    <row r="25" spans="1:16" x14ac:dyDescent="0.25">
      <c r="B25" s="91"/>
    </row>
    <row r="26" spans="1:16" ht="13" x14ac:dyDescent="0.25">
      <c r="A26" s="87" t="s">
        <v>667</v>
      </c>
      <c r="B26" s="87">
        <v>55</v>
      </c>
      <c r="C26" s="87">
        <v>56</v>
      </c>
      <c r="D26" s="87">
        <v>57</v>
      </c>
      <c r="E26" s="87">
        <v>58</v>
      </c>
      <c r="F26" s="87">
        <v>59</v>
      </c>
      <c r="G26" s="87">
        <v>60</v>
      </c>
      <c r="H26" s="87">
        <v>61</v>
      </c>
      <c r="I26" s="87">
        <v>62</v>
      </c>
      <c r="J26" s="87">
        <v>63</v>
      </c>
      <c r="K26" s="87">
        <v>64</v>
      </c>
      <c r="L26" s="87">
        <v>65</v>
      </c>
      <c r="M26" s="87">
        <v>66</v>
      </c>
      <c r="N26" s="87">
        <v>67</v>
      </c>
      <c r="O26" s="87">
        <v>68</v>
      </c>
      <c r="P26" s="87">
        <v>69</v>
      </c>
    </row>
    <row r="27" spans="1:16" x14ac:dyDescent="0.25">
      <c r="A27" s="88">
        <v>0</v>
      </c>
      <c r="B27" s="102">
        <v>1E-3</v>
      </c>
      <c r="C27" s="102">
        <v>2.1999999999999999E-2</v>
      </c>
      <c r="D27" s="102">
        <v>2.3E-2</v>
      </c>
      <c r="E27" s="102">
        <v>2.4E-2</v>
      </c>
      <c r="F27" s="102">
        <v>2.5000000000000001E-2</v>
      </c>
      <c r="G27" s="102">
        <v>2.5999999999999999E-2</v>
      </c>
      <c r="H27" s="102">
        <v>2.7E-2</v>
      </c>
      <c r="I27" s="102">
        <v>2.8000000000000001E-2</v>
      </c>
      <c r="J27" s="102">
        <v>2.9000000000000001E-2</v>
      </c>
      <c r="K27" s="102">
        <v>3.1E-2</v>
      </c>
      <c r="L27" s="102">
        <v>3.2000000000000001E-2</v>
      </c>
      <c r="M27" s="102">
        <v>3.3000000000000002E-2</v>
      </c>
      <c r="N27" s="102">
        <v>3.5000000000000003E-2</v>
      </c>
      <c r="O27" s="102">
        <v>3.5999999999999997E-2</v>
      </c>
      <c r="P27" s="102">
        <v>3.7999999999999999E-2</v>
      </c>
    </row>
    <row r="28" spans="1:16" x14ac:dyDescent="0.25">
      <c r="A28" s="88">
        <v>1</v>
      </c>
      <c r="B28" s="102">
        <v>3.0000000000000001E-3</v>
      </c>
      <c r="C28" s="102">
        <v>2.1999999999999999E-2</v>
      </c>
      <c r="D28" s="102">
        <v>2.3E-2</v>
      </c>
      <c r="E28" s="102">
        <v>2.4E-2</v>
      </c>
      <c r="F28" s="102">
        <v>2.5000000000000001E-2</v>
      </c>
      <c r="G28" s="102">
        <v>2.5999999999999999E-2</v>
      </c>
      <c r="H28" s="102">
        <v>2.7E-2</v>
      </c>
      <c r="I28" s="102">
        <v>2.8000000000000001E-2</v>
      </c>
      <c r="J28" s="102">
        <v>0.03</v>
      </c>
      <c r="K28" s="102">
        <v>3.1E-2</v>
      </c>
      <c r="L28" s="102">
        <v>3.2000000000000001E-2</v>
      </c>
      <c r="M28" s="102">
        <v>3.3000000000000002E-2</v>
      </c>
      <c r="N28" s="102">
        <v>3.5000000000000003E-2</v>
      </c>
      <c r="O28" s="102">
        <v>3.5999999999999997E-2</v>
      </c>
      <c r="P28" s="102">
        <v>3.7999999999999999E-2</v>
      </c>
    </row>
    <row r="29" spans="1:16" x14ac:dyDescent="0.25">
      <c r="A29" s="88">
        <v>2</v>
      </c>
      <c r="B29" s="102">
        <v>4.0000000000000001E-3</v>
      </c>
      <c r="C29" s="102">
        <v>2.1999999999999999E-2</v>
      </c>
      <c r="D29" s="102">
        <v>2.3E-2</v>
      </c>
      <c r="E29" s="102">
        <v>2.4E-2</v>
      </c>
      <c r="F29" s="102">
        <v>2.5000000000000001E-2</v>
      </c>
      <c r="G29" s="102">
        <v>2.5999999999999999E-2</v>
      </c>
      <c r="H29" s="102">
        <v>2.7E-2</v>
      </c>
      <c r="I29" s="102">
        <v>2.8000000000000001E-2</v>
      </c>
      <c r="J29" s="102">
        <v>0.03</v>
      </c>
      <c r="K29" s="102">
        <v>3.1E-2</v>
      </c>
      <c r="L29" s="102">
        <v>3.2000000000000001E-2</v>
      </c>
      <c r="M29" s="102">
        <v>3.4000000000000002E-2</v>
      </c>
      <c r="N29" s="102">
        <v>3.5000000000000003E-2</v>
      </c>
      <c r="O29" s="102">
        <v>3.6999999999999998E-2</v>
      </c>
      <c r="P29" s="102">
        <v>3.7999999999999999E-2</v>
      </c>
    </row>
    <row r="30" spans="1:16" x14ac:dyDescent="0.25">
      <c r="A30" s="88">
        <v>3</v>
      </c>
      <c r="B30" s="102">
        <v>6.0000000000000001E-3</v>
      </c>
      <c r="C30" s="102">
        <v>2.1999999999999999E-2</v>
      </c>
      <c r="D30" s="102">
        <v>2.3E-2</v>
      </c>
      <c r="E30" s="102">
        <v>2.4E-2</v>
      </c>
      <c r="F30" s="102">
        <v>2.5000000000000001E-2</v>
      </c>
      <c r="G30" s="102">
        <v>2.5999999999999999E-2</v>
      </c>
      <c r="H30" s="102">
        <v>2.7E-2</v>
      </c>
      <c r="I30" s="102">
        <v>2.9000000000000001E-2</v>
      </c>
      <c r="J30" s="102">
        <v>0.03</v>
      </c>
      <c r="K30" s="102">
        <v>3.1E-2</v>
      </c>
      <c r="L30" s="102">
        <v>3.2000000000000001E-2</v>
      </c>
      <c r="M30" s="102">
        <v>3.4000000000000002E-2</v>
      </c>
      <c r="N30" s="102">
        <v>3.5000000000000003E-2</v>
      </c>
      <c r="O30" s="102">
        <v>3.6999999999999998E-2</v>
      </c>
      <c r="P30" s="102">
        <v>3.9E-2</v>
      </c>
    </row>
    <row r="31" spans="1:16" x14ac:dyDescent="0.25">
      <c r="A31" s="88">
        <v>4</v>
      </c>
      <c r="B31" s="102">
        <v>8.0000000000000002E-3</v>
      </c>
      <c r="C31" s="102">
        <v>2.1999999999999999E-2</v>
      </c>
      <c r="D31" s="102">
        <v>2.3E-2</v>
      </c>
      <c r="E31" s="102">
        <v>2.4E-2</v>
      </c>
      <c r="F31" s="102">
        <v>2.5000000000000001E-2</v>
      </c>
      <c r="G31" s="102">
        <v>2.5999999999999999E-2</v>
      </c>
      <c r="H31" s="102">
        <v>2.7E-2</v>
      </c>
      <c r="I31" s="102">
        <v>2.9000000000000001E-2</v>
      </c>
      <c r="J31" s="102">
        <v>0.03</v>
      </c>
      <c r="K31" s="102">
        <v>3.1E-2</v>
      </c>
      <c r="L31" s="102">
        <v>3.2000000000000001E-2</v>
      </c>
      <c r="M31" s="102">
        <v>3.4000000000000002E-2</v>
      </c>
      <c r="N31" s="102">
        <v>3.5000000000000003E-2</v>
      </c>
      <c r="O31" s="102">
        <v>3.6999999999999998E-2</v>
      </c>
      <c r="P31" s="102">
        <v>3.9E-2</v>
      </c>
    </row>
    <row r="32" spans="1:16" x14ac:dyDescent="0.25">
      <c r="A32" s="88">
        <v>5</v>
      </c>
      <c r="B32" s="102">
        <v>0.01</v>
      </c>
      <c r="C32" s="102">
        <v>2.1999999999999999E-2</v>
      </c>
      <c r="D32" s="102">
        <v>2.3E-2</v>
      </c>
      <c r="E32" s="102">
        <v>2.4E-2</v>
      </c>
      <c r="F32" s="102">
        <v>2.5000000000000001E-2</v>
      </c>
      <c r="G32" s="102">
        <v>2.5999999999999999E-2</v>
      </c>
      <c r="H32" s="102">
        <v>2.8000000000000001E-2</v>
      </c>
      <c r="I32" s="102">
        <v>2.9000000000000001E-2</v>
      </c>
      <c r="J32" s="102">
        <v>0.03</v>
      </c>
      <c r="K32" s="102">
        <v>3.1E-2</v>
      </c>
      <c r="L32" s="102">
        <v>3.3000000000000002E-2</v>
      </c>
      <c r="M32" s="102">
        <v>3.4000000000000002E-2</v>
      </c>
      <c r="N32" s="102">
        <v>3.5000000000000003E-2</v>
      </c>
      <c r="O32" s="102">
        <v>3.6999999999999998E-2</v>
      </c>
      <c r="P32" s="102">
        <v>3.9E-2</v>
      </c>
    </row>
    <row r="33" spans="1:16" x14ac:dyDescent="0.25">
      <c r="A33" s="88">
        <v>6</v>
      </c>
      <c r="B33" s="102">
        <v>1.2E-2</v>
      </c>
      <c r="C33" s="102">
        <v>2.1999999999999999E-2</v>
      </c>
      <c r="D33" s="102">
        <v>2.3E-2</v>
      </c>
      <c r="E33" s="102">
        <v>2.4E-2</v>
      </c>
      <c r="F33" s="102">
        <v>2.5000000000000001E-2</v>
      </c>
      <c r="G33" s="102">
        <v>2.7E-2</v>
      </c>
      <c r="H33" s="102">
        <v>2.8000000000000001E-2</v>
      </c>
      <c r="I33" s="102">
        <v>2.9000000000000001E-2</v>
      </c>
      <c r="J33" s="102">
        <v>0.03</v>
      </c>
      <c r="K33" s="102">
        <v>3.1E-2</v>
      </c>
      <c r="L33" s="102">
        <v>3.3000000000000002E-2</v>
      </c>
      <c r="M33" s="102">
        <v>3.4000000000000002E-2</v>
      </c>
      <c r="N33" s="102">
        <v>3.5999999999999997E-2</v>
      </c>
      <c r="O33" s="102">
        <v>3.6999999999999998E-2</v>
      </c>
      <c r="P33" s="102">
        <v>0.04</v>
      </c>
    </row>
    <row r="34" spans="1:16" x14ac:dyDescent="0.25">
      <c r="A34" s="88">
        <v>7</v>
      </c>
      <c r="B34" s="102">
        <v>1.2999999999999999E-2</v>
      </c>
      <c r="C34" s="102">
        <v>2.1999999999999999E-2</v>
      </c>
      <c r="D34" s="102">
        <v>2.3E-2</v>
      </c>
      <c r="E34" s="102">
        <v>2.4E-2</v>
      </c>
      <c r="F34" s="102">
        <v>2.5000000000000001E-2</v>
      </c>
      <c r="G34" s="102">
        <v>2.7E-2</v>
      </c>
      <c r="H34" s="102">
        <v>2.8000000000000001E-2</v>
      </c>
      <c r="I34" s="102">
        <v>2.9000000000000001E-2</v>
      </c>
      <c r="J34" s="102">
        <v>0.03</v>
      </c>
      <c r="K34" s="102">
        <v>3.1E-2</v>
      </c>
      <c r="L34" s="102">
        <v>3.3000000000000002E-2</v>
      </c>
      <c r="M34" s="102">
        <v>3.4000000000000002E-2</v>
      </c>
      <c r="N34" s="102">
        <v>3.5999999999999997E-2</v>
      </c>
      <c r="O34" s="102">
        <v>3.6999999999999998E-2</v>
      </c>
      <c r="P34" s="102">
        <v>0.04</v>
      </c>
    </row>
    <row r="35" spans="1:16" x14ac:dyDescent="0.25">
      <c r="A35" s="88">
        <v>8</v>
      </c>
      <c r="B35" s="102">
        <v>1.4999999999999999E-2</v>
      </c>
      <c r="C35" s="102">
        <v>2.1999999999999999E-2</v>
      </c>
      <c r="D35" s="102">
        <v>2.3E-2</v>
      </c>
      <c r="E35" s="102">
        <v>2.4E-2</v>
      </c>
      <c r="F35" s="102">
        <v>2.5999999999999999E-2</v>
      </c>
      <c r="G35" s="102">
        <v>2.7E-2</v>
      </c>
      <c r="H35" s="102">
        <v>2.8000000000000001E-2</v>
      </c>
      <c r="I35" s="102">
        <v>2.9000000000000001E-2</v>
      </c>
      <c r="J35" s="102">
        <v>0.03</v>
      </c>
      <c r="K35" s="102">
        <v>3.2000000000000001E-2</v>
      </c>
      <c r="L35" s="102">
        <v>3.3000000000000002E-2</v>
      </c>
      <c r="M35" s="102">
        <v>3.4000000000000002E-2</v>
      </c>
      <c r="N35" s="102">
        <v>3.5999999999999997E-2</v>
      </c>
      <c r="O35" s="102">
        <v>3.6999999999999998E-2</v>
      </c>
      <c r="P35" s="102">
        <v>0.04</v>
      </c>
    </row>
    <row r="36" spans="1:16" x14ac:dyDescent="0.25">
      <c r="A36" s="88">
        <v>9</v>
      </c>
      <c r="B36" s="102">
        <v>1.7000000000000001E-2</v>
      </c>
      <c r="C36" s="102">
        <v>2.1999999999999999E-2</v>
      </c>
      <c r="D36" s="102">
        <v>2.3E-2</v>
      </c>
      <c r="E36" s="102">
        <v>2.4E-2</v>
      </c>
      <c r="F36" s="102">
        <v>2.5999999999999999E-2</v>
      </c>
      <c r="G36" s="102">
        <v>2.7E-2</v>
      </c>
      <c r="H36" s="102">
        <v>2.8000000000000001E-2</v>
      </c>
      <c r="I36" s="102">
        <v>2.9000000000000001E-2</v>
      </c>
      <c r="J36" s="102">
        <v>0.03</v>
      </c>
      <c r="K36" s="102">
        <v>3.2000000000000001E-2</v>
      </c>
      <c r="L36" s="102">
        <v>3.3000000000000002E-2</v>
      </c>
      <c r="M36" s="102">
        <v>3.4000000000000002E-2</v>
      </c>
      <c r="N36" s="102">
        <v>3.5999999999999997E-2</v>
      </c>
      <c r="O36" s="102">
        <v>3.6999999999999998E-2</v>
      </c>
      <c r="P36" s="102">
        <v>0.04</v>
      </c>
    </row>
    <row r="37" spans="1:16" x14ac:dyDescent="0.25">
      <c r="A37" s="88">
        <v>10</v>
      </c>
      <c r="B37" s="102">
        <v>1.9E-2</v>
      </c>
      <c r="C37" s="102">
        <v>2.1999999999999999E-2</v>
      </c>
      <c r="D37" s="102">
        <v>2.3E-2</v>
      </c>
      <c r="E37" s="102">
        <v>2.5000000000000001E-2</v>
      </c>
      <c r="F37" s="102">
        <v>2.5999999999999999E-2</v>
      </c>
      <c r="G37" s="102">
        <v>2.7E-2</v>
      </c>
      <c r="H37" s="102">
        <v>2.8000000000000001E-2</v>
      </c>
      <c r="I37" s="102">
        <v>2.9000000000000001E-2</v>
      </c>
      <c r="J37" s="102">
        <v>0.03</v>
      </c>
      <c r="K37" s="102">
        <v>3.2000000000000001E-2</v>
      </c>
      <c r="L37" s="102">
        <v>3.3000000000000002E-2</v>
      </c>
      <c r="M37" s="102">
        <v>3.5000000000000003E-2</v>
      </c>
      <c r="N37" s="102">
        <v>3.5999999999999997E-2</v>
      </c>
      <c r="O37" s="102">
        <v>3.7999999999999999E-2</v>
      </c>
      <c r="P37" s="102">
        <v>4.1000000000000002E-2</v>
      </c>
    </row>
    <row r="38" spans="1:16" x14ac:dyDescent="0.25">
      <c r="A38" s="88">
        <v>11</v>
      </c>
      <c r="B38" s="102">
        <v>2.1000000000000001E-2</v>
      </c>
      <c r="C38" s="102">
        <v>2.1999999999999999E-2</v>
      </c>
      <c r="D38" s="102">
        <v>2.4E-2</v>
      </c>
      <c r="E38" s="102">
        <v>2.5000000000000001E-2</v>
      </c>
      <c r="F38" s="102">
        <v>2.5999999999999999E-2</v>
      </c>
      <c r="G38" s="102">
        <v>2.7E-2</v>
      </c>
      <c r="H38" s="102">
        <v>2.8000000000000001E-2</v>
      </c>
      <c r="I38" s="102">
        <v>2.9000000000000001E-2</v>
      </c>
      <c r="J38" s="102">
        <v>3.1E-2</v>
      </c>
      <c r="K38" s="102">
        <v>3.2000000000000001E-2</v>
      </c>
      <c r="L38" s="102">
        <v>3.3000000000000002E-2</v>
      </c>
      <c r="M38" s="102">
        <v>3.5000000000000003E-2</v>
      </c>
      <c r="N38" s="102">
        <v>3.5999999999999997E-2</v>
      </c>
      <c r="O38" s="102">
        <v>3.7999999999999999E-2</v>
      </c>
      <c r="P38" s="102">
        <v>4.1000000000000002E-2</v>
      </c>
    </row>
    <row r="44" spans="1:16" ht="39.65" customHeight="1" x14ac:dyDescent="0.25"/>
    <row r="46" spans="1:16" ht="27.65" customHeight="1" x14ac:dyDescent="0.25"/>
  </sheetData>
  <sheetProtection algorithmName="SHA-512" hashValue="rrfkmjtIiMb0GkUSWkq8VfI7hWX0EDqezOHHKbXpmqzN2yZumzAXhm5XyZOlg67pV0KxqP84PW+b1qBWYmcTSw==" saltValue="nwmPWzOIwAqHJSYciPZk5Q==" spinCount="100000" sheet="1" objects="1" scenarios="1"/>
  <conditionalFormatting sqref="A6:A16">
    <cfRule type="expression" dxfId="701" priority="27" stopIfTrue="1">
      <formula>MOD(ROW(),2)=0</formula>
    </cfRule>
    <cfRule type="expression" dxfId="700" priority="28" stopIfTrue="1">
      <formula>MOD(ROW(),2)&lt;&gt;0</formula>
    </cfRule>
  </conditionalFormatting>
  <conditionalFormatting sqref="B6:P21">
    <cfRule type="expression" dxfId="699" priority="29" stopIfTrue="1">
      <formula>MOD(ROW(),2)=0</formula>
    </cfRule>
    <cfRule type="expression" dxfId="698" priority="30" stopIfTrue="1">
      <formula>MOD(ROW(),2)&lt;&gt;0</formula>
    </cfRule>
  </conditionalFormatting>
  <conditionalFormatting sqref="A17:A20">
    <cfRule type="expression" dxfId="697" priority="15" stopIfTrue="1">
      <formula>MOD(ROW(),2)=0</formula>
    </cfRule>
    <cfRule type="expression" dxfId="696" priority="16" stopIfTrue="1">
      <formula>MOD(ROW(),2)&lt;&gt;0</formula>
    </cfRule>
  </conditionalFormatting>
  <conditionalFormatting sqref="B17:B18 B20:B21">
    <cfRule type="expression" dxfId="695" priority="17" stopIfTrue="1">
      <formula>MOD(ROW(),2)=0</formula>
    </cfRule>
    <cfRule type="expression" dxfId="694" priority="18" stopIfTrue="1">
      <formula>MOD(ROW(),2)&lt;&gt;0</formula>
    </cfRule>
  </conditionalFormatting>
  <conditionalFormatting sqref="A26:A38">
    <cfRule type="expression" dxfId="693" priority="7" stopIfTrue="1">
      <formula>MOD(ROW(),2)=0</formula>
    </cfRule>
    <cfRule type="expression" dxfId="692" priority="8" stopIfTrue="1">
      <formula>MOD(ROW(),2)&lt;&gt;0</formula>
    </cfRule>
  </conditionalFormatting>
  <conditionalFormatting sqref="B26:P38">
    <cfRule type="expression" dxfId="691" priority="9" stopIfTrue="1">
      <formula>MOD(ROW(),2)=0</formula>
    </cfRule>
    <cfRule type="expression" dxfId="690" priority="10" stopIfTrue="1">
      <formula>MOD(ROW(),2)&lt;&gt;0</formula>
    </cfRule>
  </conditionalFormatting>
  <conditionalFormatting sqref="B19">
    <cfRule type="expression" dxfId="689" priority="5" stopIfTrue="1">
      <formula>MOD(ROW(),2)=0</formula>
    </cfRule>
    <cfRule type="expression" dxfId="688" priority="6" stopIfTrue="1">
      <formula>MOD(ROW(),2)&lt;&gt;0</formula>
    </cfRule>
  </conditionalFormatting>
  <conditionalFormatting sqref="A21">
    <cfRule type="expression" dxfId="687" priority="1" stopIfTrue="1">
      <formula>MOD(ROW(),2)=0</formula>
    </cfRule>
    <cfRule type="expression" dxfId="686" priority="2" stopIfTrue="1">
      <formula>MOD(ROW(),2)&lt;&gt;0</formula>
    </cfRule>
  </conditionalFormatting>
  <hyperlinks>
    <hyperlink ref="B24" location="Assumptions!A1" display="Assumptions" xr:uid="{529993CE-EEEA-4630-8F0C-689E3B9ED9B9}"/>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codeName="Sheet78"/>
  <dimension ref="A1:P46"/>
  <sheetViews>
    <sheetView showGridLines="0" zoomScale="85" zoomScaleNormal="85" workbookViewId="0">
      <selection activeCell="B18" sqref="B18"/>
    </sheetView>
  </sheetViews>
  <sheetFormatPr defaultColWidth="10" defaultRowHeight="12.5" x14ac:dyDescent="0.25"/>
  <cols>
    <col min="1" max="1" width="31.81640625" style="28" customWidth="1"/>
    <col min="2" max="16" width="22.81640625" style="28" customWidth="1"/>
    <col min="17" max="16384" width="10" style="28"/>
  </cols>
  <sheetData>
    <row r="1" spans="1:16" ht="20" x14ac:dyDescent="0.4">
      <c r="A1" s="40" t="s">
        <v>227</v>
      </c>
      <c r="B1" s="41"/>
      <c r="C1" s="41"/>
      <c r="D1" s="41"/>
      <c r="E1" s="41"/>
      <c r="F1" s="41"/>
      <c r="G1" s="41"/>
      <c r="H1" s="41"/>
      <c r="I1" s="41"/>
    </row>
    <row r="2" spans="1:16" ht="15.5" x14ac:dyDescent="0.35">
      <c r="A2" s="42" t="str">
        <f>IF(title="&gt; Enter workbook title here","Enter workbook title in Cover sheet",title)</f>
        <v>Fire Northern Ireland - Consolidated Factor Spreadsheet</v>
      </c>
      <c r="B2" s="43"/>
      <c r="C2" s="43"/>
      <c r="D2" s="43"/>
      <c r="E2" s="43"/>
      <c r="F2" s="43"/>
      <c r="G2" s="43"/>
      <c r="H2" s="43"/>
      <c r="I2" s="43"/>
    </row>
    <row r="3" spans="1:16" ht="15.5" x14ac:dyDescent="0.35">
      <c r="A3" s="44" t="str">
        <f>TABLE_FACTOR_TYPE_1&amp;" - x-"&amp;TABLE_SERIES_NUMBER_1</f>
        <v>LRF - x-405</v>
      </c>
      <c r="B3" s="43"/>
      <c r="C3" s="43"/>
      <c r="D3" s="43"/>
      <c r="E3" s="43"/>
      <c r="F3" s="43"/>
      <c r="G3" s="43"/>
      <c r="H3" s="43"/>
      <c r="I3" s="43"/>
    </row>
    <row r="4" spans="1:16" x14ac:dyDescent="0.25">
      <c r="A4" s="45"/>
    </row>
    <row r="6" spans="1:16" ht="13" x14ac:dyDescent="0.3">
      <c r="A6" s="75" t="s">
        <v>562</v>
      </c>
      <c r="B6" s="159" t="s">
        <v>563</v>
      </c>
      <c r="C6" s="159"/>
      <c r="D6" s="159"/>
      <c r="E6" s="159"/>
      <c r="F6" s="159"/>
      <c r="G6" s="159"/>
      <c r="H6" s="159"/>
      <c r="I6" s="159"/>
      <c r="J6" s="159"/>
      <c r="K6" s="159"/>
      <c r="L6" s="159"/>
      <c r="M6" s="159"/>
      <c r="N6" s="159"/>
      <c r="O6" s="159"/>
      <c r="P6" s="159"/>
    </row>
    <row r="7" spans="1:16" x14ac:dyDescent="0.25">
      <c r="A7" s="77" t="s">
        <v>305</v>
      </c>
      <c r="B7" s="159" t="s">
        <v>319</v>
      </c>
      <c r="C7" s="159"/>
      <c r="D7" s="159"/>
      <c r="E7" s="159"/>
      <c r="F7" s="159"/>
      <c r="G7" s="159"/>
      <c r="H7" s="159"/>
      <c r="I7" s="159"/>
      <c r="J7" s="159"/>
      <c r="K7" s="159"/>
      <c r="L7" s="159"/>
      <c r="M7" s="159"/>
      <c r="N7" s="159"/>
      <c r="O7" s="159"/>
      <c r="P7" s="159"/>
    </row>
    <row r="8" spans="1:16" x14ac:dyDescent="0.25">
      <c r="A8" s="77" t="s">
        <v>306</v>
      </c>
      <c r="B8" s="159">
        <v>2015</v>
      </c>
      <c r="C8" s="159"/>
      <c r="D8" s="159"/>
      <c r="E8" s="159"/>
      <c r="F8" s="159"/>
      <c r="G8" s="159"/>
      <c r="H8" s="159"/>
      <c r="I8" s="159"/>
      <c r="J8" s="159"/>
      <c r="K8" s="159"/>
      <c r="L8" s="159"/>
      <c r="M8" s="159"/>
      <c r="N8" s="159"/>
      <c r="O8" s="159"/>
      <c r="P8" s="159"/>
    </row>
    <row r="9" spans="1:16" x14ac:dyDescent="0.25">
      <c r="A9" s="77" t="s">
        <v>307</v>
      </c>
      <c r="B9" s="159" t="s">
        <v>445</v>
      </c>
      <c r="C9" s="159"/>
      <c r="D9" s="159"/>
      <c r="E9" s="159"/>
      <c r="F9" s="159"/>
      <c r="G9" s="159"/>
      <c r="H9" s="159"/>
      <c r="I9" s="159"/>
      <c r="J9" s="159"/>
      <c r="K9" s="159"/>
      <c r="L9" s="159"/>
      <c r="M9" s="159"/>
      <c r="N9" s="159"/>
      <c r="O9" s="159"/>
      <c r="P9" s="159"/>
    </row>
    <row r="10" spans="1:16" x14ac:dyDescent="0.25">
      <c r="A10" s="77" t="s">
        <v>233</v>
      </c>
      <c r="B10" s="159" t="s">
        <v>450</v>
      </c>
      <c r="C10" s="159"/>
      <c r="D10" s="159"/>
      <c r="E10" s="159"/>
      <c r="F10" s="159"/>
      <c r="G10" s="159"/>
      <c r="H10" s="159"/>
      <c r="I10" s="159"/>
      <c r="J10" s="159"/>
      <c r="K10" s="159"/>
      <c r="L10" s="159"/>
      <c r="M10" s="159"/>
      <c r="N10" s="159"/>
      <c r="O10" s="159"/>
      <c r="P10" s="159"/>
    </row>
    <row r="11" spans="1:16" x14ac:dyDescent="0.25">
      <c r="A11" s="77" t="s">
        <v>308</v>
      </c>
      <c r="B11" s="159" t="s">
        <v>404</v>
      </c>
      <c r="C11" s="159"/>
      <c r="D11" s="159"/>
      <c r="E11" s="159"/>
      <c r="F11" s="159"/>
      <c r="G11" s="159"/>
      <c r="H11" s="159"/>
      <c r="I11" s="159"/>
      <c r="J11" s="159"/>
      <c r="K11" s="159"/>
      <c r="L11" s="159"/>
      <c r="M11" s="159"/>
      <c r="N11" s="159"/>
      <c r="O11" s="159"/>
      <c r="P11" s="159"/>
    </row>
    <row r="12" spans="1:16" x14ac:dyDescent="0.25">
      <c r="A12" s="77" t="s">
        <v>309</v>
      </c>
      <c r="B12" s="159" t="s">
        <v>451</v>
      </c>
      <c r="C12" s="159"/>
      <c r="D12" s="159"/>
      <c r="E12" s="159"/>
      <c r="F12" s="159"/>
      <c r="G12" s="159"/>
      <c r="H12" s="159"/>
      <c r="I12" s="159"/>
      <c r="J12" s="159"/>
      <c r="K12" s="159"/>
      <c r="L12" s="159"/>
      <c r="M12" s="159"/>
      <c r="N12" s="159"/>
      <c r="O12" s="159"/>
      <c r="P12" s="159"/>
    </row>
    <row r="13" spans="1:16" x14ac:dyDescent="0.25">
      <c r="A13" s="77" t="s">
        <v>570</v>
      </c>
      <c r="B13" s="159">
        <v>0</v>
      </c>
      <c r="C13" s="159"/>
      <c r="D13" s="159"/>
      <c r="E13" s="159"/>
      <c r="F13" s="159"/>
      <c r="G13" s="159"/>
      <c r="H13" s="159"/>
      <c r="I13" s="159"/>
      <c r="J13" s="159"/>
      <c r="K13" s="159"/>
      <c r="L13" s="159"/>
      <c r="M13" s="159"/>
      <c r="N13" s="159"/>
      <c r="O13" s="159"/>
      <c r="P13" s="159"/>
    </row>
    <row r="14" spans="1:16" x14ac:dyDescent="0.25">
      <c r="A14" s="77" t="s">
        <v>311</v>
      </c>
      <c r="B14" s="159">
        <v>405</v>
      </c>
      <c r="C14" s="159"/>
      <c r="D14" s="159"/>
      <c r="E14" s="159"/>
      <c r="F14" s="159"/>
      <c r="G14" s="159"/>
      <c r="H14" s="159"/>
      <c r="I14" s="159"/>
      <c r="J14" s="159"/>
      <c r="K14" s="159"/>
      <c r="L14" s="159"/>
      <c r="M14" s="159"/>
      <c r="N14" s="159"/>
      <c r="O14" s="159"/>
      <c r="P14" s="159"/>
    </row>
    <row r="15" spans="1:16" x14ac:dyDescent="0.25">
      <c r="A15" s="77" t="s">
        <v>573</v>
      </c>
      <c r="B15" s="159" t="s">
        <v>452</v>
      </c>
      <c r="C15" s="159"/>
      <c r="D15" s="159"/>
      <c r="E15" s="159"/>
      <c r="F15" s="159"/>
      <c r="G15" s="159"/>
      <c r="H15" s="159"/>
      <c r="I15" s="159"/>
      <c r="J15" s="159"/>
      <c r="K15" s="159"/>
      <c r="L15" s="159"/>
      <c r="M15" s="159"/>
      <c r="N15" s="159"/>
      <c r="O15" s="159"/>
      <c r="P15" s="159"/>
    </row>
    <row r="16" spans="1:16" x14ac:dyDescent="0.25">
      <c r="A16" s="77" t="s">
        <v>313</v>
      </c>
      <c r="B16" s="159" t="s">
        <v>453</v>
      </c>
      <c r="C16" s="159"/>
      <c r="D16" s="159"/>
      <c r="E16" s="159"/>
      <c r="F16" s="159"/>
      <c r="G16" s="159"/>
      <c r="H16" s="159"/>
      <c r="I16" s="159"/>
      <c r="J16" s="159"/>
      <c r="K16" s="159"/>
      <c r="L16" s="159"/>
      <c r="M16" s="159"/>
      <c r="N16" s="159"/>
      <c r="O16" s="159"/>
      <c r="P16" s="159"/>
    </row>
    <row r="17" spans="1:16" x14ac:dyDescent="0.25">
      <c r="A17" s="77" t="s">
        <v>642</v>
      </c>
      <c r="B17" s="159"/>
      <c r="C17" s="159"/>
      <c r="D17" s="159"/>
      <c r="E17" s="159"/>
      <c r="F17" s="159"/>
      <c r="G17" s="159"/>
      <c r="H17" s="159"/>
      <c r="I17" s="159"/>
      <c r="J17" s="159"/>
      <c r="K17" s="159"/>
      <c r="L17" s="159"/>
      <c r="M17" s="159"/>
      <c r="N17" s="159"/>
      <c r="O17" s="159"/>
      <c r="P17" s="159"/>
    </row>
    <row r="18" spans="1:16" x14ac:dyDescent="0.25">
      <c r="A18" s="77" t="s">
        <v>315</v>
      </c>
      <c r="B18" s="161">
        <v>45106</v>
      </c>
      <c r="C18" s="159"/>
      <c r="D18" s="159"/>
      <c r="E18" s="159"/>
      <c r="F18" s="159"/>
      <c r="G18" s="159"/>
      <c r="H18" s="159"/>
      <c r="I18" s="159"/>
      <c r="J18" s="159"/>
      <c r="K18" s="159"/>
      <c r="L18" s="159"/>
      <c r="M18" s="159"/>
      <c r="N18" s="159"/>
      <c r="O18" s="159"/>
      <c r="P18" s="159"/>
    </row>
    <row r="19" spans="1:16" x14ac:dyDescent="0.25">
      <c r="A19" s="77" t="s">
        <v>316</v>
      </c>
      <c r="B19" s="161">
        <v>45106</v>
      </c>
      <c r="C19" s="159"/>
      <c r="D19" s="159"/>
      <c r="E19" s="159"/>
      <c r="F19" s="159"/>
      <c r="G19" s="159"/>
      <c r="H19" s="159"/>
      <c r="I19" s="159"/>
      <c r="J19" s="159"/>
      <c r="K19" s="159"/>
      <c r="L19" s="159"/>
      <c r="M19" s="159"/>
      <c r="N19" s="159"/>
      <c r="O19" s="159"/>
      <c r="P19" s="159"/>
    </row>
    <row r="20" spans="1:16" x14ac:dyDescent="0.25">
      <c r="A20" s="77" t="s">
        <v>317</v>
      </c>
      <c r="B20" s="159" t="s">
        <v>327</v>
      </c>
      <c r="C20" s="159"/>
      <c r="D20" s="159"/>
      <c r="E20" s="159"/>
      <c r="F20" s="159"/>
      <c r="G20" s="159"/>
      <c r="H20" s="159"/>
      <c r="I20" s="159"/>
      <c r="J20" s="159"/>
      <c r="K20" s="159"/>
      <c r="L20" s="159"/>
      <c r="M20" s="159"/>
      <c r="N20" s="159"/>
      <c r="O20" s="159"/>
      <c r="P20" s="159"/>
    </row>
    <row r="21" spans="1:16" x14ac:dyDescent="0.25">
      <c r="A21" s="77" t="s">
        <v>318</v>
      </c>
      <c r="B21" s="159" t="s">
        <v>328</v>
      </c>
      <c r="C21" s="159"/>
      <c r="D21" s="159"/>
      <c r="E21" s="159"/>
      <c r="F21" s="159"/>
      <c r="G21" s="159"/>
      <c r="H21" s="159"/>
      <c r="I21" s="159"/>
      <c r="J21" s="159"/>
      <c r="K21" s="159"/>
      <c r="L21" s="159"/>
      <c r="M21" s="159"/>
      <c r="N21" s="159"/>
      <c r="O21" s="159"/>
      <c r="P21" s="159"/>
    </row>
    <row r="23" spans="1:16" x14ac:dyDescent="0.25">
      <c r="B23" s="91" t="str">
        <f>HYPERLINK("#'Factor List'!A1","Back to Factor List")</f>
        <v>Back to Factor List</v>
      </c>
    </row>
    <row r="24" spans="1:16" x14ac:dyDescent="0.25">
      <c r="B24" s="91" t="s">
        <v>240</v>
      </c>
    </row>
    <row r="25" spans="1:16" x14ac:dyDescent="0.25">
      <c r="B25" s="91"/>
    </row>
    <row r="26" spans="1:16" ht="13" x14ac:dyDescent="0.25">
      <c r="A26" s="87" t="s">
        <v>667</v>
      </c>
      <c r="B26" s="87">
        <v>55</v>
      </c>
      <c r="C26" s="87">
        <v>56</v>
      </c>
      <c r="D26" s="87">
        <v>57</v>
      </c>
      <c r="E26" s="87">
        <v>58</v>
      </c>
      <c r="F26" s="87">
        <v>59</v>
      </c>
      <c r="G26" s="87">
        <v>60</v>
      </c>
      <c r="H26" s="87">
        <v>61</v>
      </c>
      <c r="I26" s="87">
        <v>62</v>
      </c>
      <c r="J26" s="87">
        <v>63</v>
      </c>
      <c r="K26" s="87">
        <v>64</v>
      </c>
      <c r="L26" s="87">
        <v>65</v>
      </c>
      <c r="M26" s="87">
        <v>66</v>
      </c>
      <c r="N26" s="87">
        <v>67</v>
      </c>
      <c r="O26" s="87">
        <v>68</v>
      </c>
      <c r="P26" s="87">
        <v>69</v>
      </c>
    </row>
    <row r="27" spans="1:16" x14ac:dyDescent="0.25">
      <c r="A27" s="88">
        <v>0</v>
      </c>
      <c r="B27" s="102">
        <v>2E-3</v>
      </c>
      <c r="C27" s="102">
        <v>0.04</v>
      </c>
      <c r="D27" s="102">
        <v>4.1000000000000002E-2</v>
      </c>
      <c r="E27" s="102">
        <v>4.2000000000000003E-2</v>
      </c>
      <c r="F27" s="102">
        <v>4.2999999999999997E-2</v>
      </c>
      <c r="G27" s="102">
        <v>4.3999999999999997E-2</v>
      </c>
      <c r="H27" s="102">
        <v>4.4999999999999998E-2</v>
      </c>
      <c r="I27" s="102">
        <v>4.5999999999999999E-2</v>
      </c>
      <c r="J27" s="102">
        <v>4.8000000000000001E-2</v>
      </c>
      <c r="K27" s="102">
        <v>4.9000000000000002E-2</v>
      </c>
      <c r="L27" s="102">
        <v>0.05</v>
      </c>
      <c r="M27" s="102">
        <v>5.1999999999999998E-2</v>
      </c>
      <c r="N27" s="102">
        <v>5.2999999999999999E-2</v>
      </c>
      <c r="O27" s="102">
        <v>5.5E-2</v>
      </c>
      <c r="P27" s="102">
        <v>5.6000000000000001E-2</v>
      </c>
    </row>
    <row r="28" spans="1:16" x14ac:dyDescent="0.25">
      <c r="A28" s="88">
        <v>1</v>
      </c>
      <c r="B28" s="102">
        <v>5.0000000000000001E-3</v>
      </c>
      <c r="C28" s="102">
        <v>0.04</v>
      </c>
      <c r="D28" s="102">
        <v>4.1000000000000002E-2</v>
      </c>
      <c r="E28" s="102">
        <v>4.2000000000000003E-2</v>
      </c>
      <c r="F28" s="102">
        <v>4.2999999999999997E-2</v>
      </c>
      <c r="G28" s="102">
        <v>4.3999999999999997E-2</v>
      </c>
      <c r="H28" s="102">
        <v>4.4999999999999998E-2</v>
      </c>
      <c r="I28" s="102">
        <v>4.5999999999999999E-2</v>
      </c>
      <c r="J28" s="102">
        <v>4.8000000000000001E-2</v>
      </c>
      <c r="K28" s="102">
        <v>4.9000000000000002E-2</v>
      </c>
      <c r="L28" s="102">
        <v>0.05</v>
      </c>
      <c r="M28" s="102">
        <v>5.1999999999999998E-2</v>
      </c>
      <c r="N28" s="102">
        <v>5.2999999999999999E-2</v>
      </c>
      <c r="O28" s="102">
        <v>5.5E-2</v>
      </c>
      <c r="P28" s="102">
        <v>5.6000000000000001E-2</v>
      </c>
    </row>
    <row r="29" spans="1:16" x14ac:dyDescent="0.25">
      <c r="A29" s="88">
        <v>2</v>
      </c>
      <c r="B29" s="102">
        <v>8.0000000000000002E-3</v>
      </c>
      <c r="C29" s="102">
        <v>0.04</v>
      </c>
      <c r="D29" s="102">
        <v>4.1000000000000002E-2</v>
      </c>
      <c r="E29" s="102">
        <v>4.2000000000000003E-2</v>
      </c>
      <c r="F29" s="102">
        <v>4.2999999999999997E-2</v>
      </c>
      <c r="G29" s="102">
        <v>4.3999999999999997E-2</v>
      </c>
      <c r="H29" s="102">
        <v>4.4999999999999998E-2</v>
      </c>
      <c r="I29" s="102">
        <v>4.7E-2</v>
      </c>
      <c r="J29" s="102">
        <v>4.8000000000000001E-2</v>
      </c>
      <c r="K29" s="102">
        <v>4.9000000000000002E-2</v>
      </c>
      <c r="L29" s="102">
        <v>0.05</v>
      </c>
      <c r="M29" s="102">
        <v>5.1999999999999998E-2</v>
      </c>
      <c r="N29" s="102">
        <v>5.2999999999999999E-2</v>
      </c>
      <c r="O29" s="102">
        <v>5.5E-2</v>
      </c>
      <c r="P29" s="102">
        <v>5.7000000000000002E-2</v>
      </c>
    </row>
    <row r="30" spans="1:16" x14ac:dyDescent="0.25">
      <c r="A30" s="88">
        <v>3</v>
      </c>
      <c r="B30" s="102">
        <v>1.2E-2</v>
      </c>
      <c r="C30" s="102">
        <v>0.04</v>
      </c>
      <c r="D30" s="102">
        <v>4.1000000000000002E-2</v>
      </c>
      <c r="E30" s="102">
        <v>4.2000000000000003E-2</v>
      </c>
      <c r="F30" s="102">
        <v>4.2999999999999997E-2</v>
      </c>
      <c r="G30" s="102">
        <v>4.3999999999999997E-2</v>
      </c>
      <c r="H30" s="102">
        <v>4.5999999999999999E-2</v>
      </c>
      <c r="I30" s="102">
        <v>4.7E-2</v>
      </c>
      <c r="J30" s="102">
        <v>4.8000000000000001E-2</v>
      </c>
      <c r="K30" s="102">
        <v>4.9000000000000002E-2</v>
      </c>
      <c r="L30" s="102">
        <v>5.0999999999999997E-2</v>
      </c>
      <c r="M30" s="102">
        <v>5.1999999999999998E-2</v>
      </c>
      <c r="N30" s="102">
        <v>5.2999999999999999E-2</v>
      </c>
      <c r="O30" s="102">
        <v>5.5E-2</v>
      </c>
      <c r="P30" s="102">
        <v>5.7000000000000002E-2</v>
      </c>
    </row>
    <row r="31" spans="1:16" x14ac:dyDescent="0.25">
      <c r="A31" s="88">
        <v>4</v>
      </c>
      <c r="B31" s="102">
        <v>1.4999999999999999E-2</v>
      </c>
      <c r="C31" s="102">
        <v>0.04</v>
      </c>
      <c r="D31" s="102">
        <v>4.1000000000000002E-2</v>
      </c>
      <c r="E31" s="102">
        <v>4.2000000000000003E-2</v>
      </c>
      <c r="F31" s="102">
        <v>4.2999999999999997E-2</v>
      </c>
      <c r="G31" s="102">
        <v>4.3999999999999997E-2</v>
      </c>
      <c r="H31" s="102">
        <v>4.5999999999999999E-2</v>
      </c>
      <c r="I31" s="102">
        <v>4.7E-2</v>
      </c>
      <c r="J31" s="102">
        <v>4.8000000000000001E-2</v>
      </c>
      <c r="K31" s="102">
        <v>4.9000000000000002E-2</v>
      </c>
      <c r="L31" s="102">
        <v>5.0999999999999997E-2</v>
      </c>
      <c r="M31" s="102">
        <v>5.1999999999999998E-2</v>
      </c>
      <c r="N31" s="102">
        <v>5.3999999999999999E-2</v>
      </c>
      <c r="O31" s="102">
        <v>5.5E-2</v>
      </c>
      <c r="P31" s="102">
        <v>5.7000000000000002E-2</v>
      </c>
    </row>
    <row r="32" spans="1:16" x14ac:dyDescent="0.25">
      <c r="A32" s="88">
        <v>5</v>
      </c>
      <c r="B32" s="102">
        <v>1.7999999999999999E-2</v>
      </c>
      <c r="C32" s="102">
        <v>0.04</v>
      </c>
      <c r="D32" s="102">
        <v>4.1000000000000002E-2</v>
      </c>
      <c r="E32" s="102">
        <v>4.2000000000000003E-2</v>
      </c>
      <c r="F32" s="102">
        <v>4.2999999999999997E-2</v>
      </c>
      <c r="G32" s="102">
        <v>4.4999999999999998E-2</v>
      </c>
      <c r="H32" s="102">
        <v>4.5999999999999999E-2</v>
      </c>
      <c r="I32" s="102">
        <v>4.7E-2</v>
      </c>
      <c r="J32" s="102">
        <v>4.8000000000000001E-2</v>
      </c>
      <c r="K32" s="102">
        <v>4.9000000000000002E-2</v>
      </c>
      <c r="L32" s="102">
        <v>5.0999999999999997E-2</v>
      </c>
      <c r="M32" s="102">
        <v>5.1999999999999998E-2</v>
      </c>
      <c r="N32" s="102">
        <v>5.3999999999999999E-2</v>
      </c>
      <c r="O32" s="102">
        <v>5.5E-2</v>
      </c>
      <c r="P32" s="102">
        <v>5.8000000000000003E-2</v>
      </c>
    </row>
    <row r="33" spans="1:16" x14ac:dyDescent="0.25">
      <c r="A33" s="88">
        <v>6</v>
      </c>
      <c r="B33" s="102">
        <v>2.1000000000000001E-2</v>
      </c>
      <c r="C33" s="102">
        <v>0.04</v>
      </c>
      <c r="D33" s="102">
        <v>4.1000000000000002E-2</v>
      </c>
      <c r="E33" s="102">
        <v>4.2000000000000003E-2</v>
      </c>
      <c r="F33" s="102">
        <v>4.2999999999999997E-2</v>
      </c>
      <c r="G33" s="102">
        <v>4.4999999999999998E-2</v>
      </c>
      <c r="H33" s="102">
        <v>4.5999999999999999E-2</v>
      </c>
      <c r="I33" s="102">
        <v>4.7E-2</v>
      </c>
      <c r="J33" s="102">
        <v>4.8000000000000001E-2</v>
      </c>
      <c r="K33" s="102">
        <v>0.05</v>
      </c>
      <c r="L33" s="102">
        <v>5.0999999999999997E-2</v>
      </c>
      <c r="M33" s="102">
        <v>5.1999999999999998E-2</v>
      </c>
      <c r="N33" s="102">
        <v>5.3999999999999999E-2</v>
      </c>
      <c r="O33" s="102">
        <v>5.5E-2</v>
      </c>
      <c r="P33" s="102">
        <v>5.8000000000000003E-2</v>
      </c>
    </row>
    <row r="34" spans="1:16" x14ac:dyDescent="0.25">
      <c r="A34" s="88">
        <v>7</v>
      </c>
      <c r="B34" s="102">
        <v>2.5000000000000001E-2</v>
      </c>
      <c r="C34" s="102">
        <v>0.04</v>
      </c>
      <c r="D34" s="102">
        <v>4.1000000000000002E-2</v>
      </c>
      <c r="E34" s="102">
        <v>4.2000000000000003E-2</v>
      </c>
      <c r="F34" s="102">
        <v>4.3999999999999997E-2</v>
      </c>
      <c r="G34" s="102">
        <v>4.4999999999999998E-2</v>
      </c>
      <c r="H34" s="102">
        <v>4.5999999999999999E-2</v>
      </c>
      <c r="I34" s="102">
        <v>4.7E-2</v>
      </c>
      <c r="J34" s="102">
        <v>4.8000000000000001E-2</v>
      </c>
      <c r="K34" s="102">
        <v>0.05</v>
      </c>
      <c r="L34" s="102">
        <v>5.0999999999999997E-2</v>
      </c>
      <c r="M34" s="102">
        <v>5.1999999999999998E-2</v>
      </c>
      <c r="N34" s="102">
        <v>5.3999999999999999E-2</v>
      </c>
      <c r="O34" s="102">
        <v>5.6000000000000001E-2</v>
      </c>
      <c r="P34" s="102">
        <v>5.8000000000000003E-2</v>
      </c>
    </row>
    <row r="35" spans="1:16" x14ac:dyDescent="0.25">
      <c r="A35" s="88">
        <v>8</v>
      </c>
      <c r="B35" s="102">
        <v>2.8000000000000001E-2</v>
      </c>
      <c r="C35" s="102">
        <v>0.04</v>
      </c>
      <c r="D35" s="102">
        <v>4.1000000000000002E-2</v>
      </c>
      <c r="E35" s="102">
        <v>4.2000000000000003E-2</v>
      </c>
      <c r="F35" s="102">
        <v>4.3999999999999997E-2</v>
      </c>
      <c r="G35" s="102">
        <v>4.4999999999999998E-2</v>
      </c>
      <c r="H35" s="102">
        <v>4.5999999999999999E-2</v>
      </c>
      <c r="I35" s="102">
        <v>4.7E-2</v>
      </c>
      <c r="J35" s="102">
        <v>4.8000000000000001E-2</v>
      </c>
      <c r="K35" s="102">
        <v>0.05</v>
      </c>
      <c r="L35" s="102">
        <v>5.0999999999999997E-2</v>
      </c>
      <c r="M35" s="102">
        <v>5.2999999999999999E-2</v>
      </c>
      <c r="N35" s="102">
        <v>5.3999999999999999E-2</v>
      </c>
      <c r="O35" s="102">
        <v>5.6000000000000001E-2</v>
      </c>
      <c r="P35" s="102">
        <v>5.8000000000000003E-2</v>
      </c>
    </row>
    <row r="36" spans="1:16" x14ac:dyDescent="0.25">
      <c r="A36" s="88">
        <v>9</v>
      </c>
      <c r="B36" s="102">
        <v>3.1E-2</v>
      </c>
      <c r="C36" s="102">
        <v>0.04</v>
      </c>
      <c r="D36" s="102">
        <v>4.1000000000000002E-2</v>
      </c>
      <c r="E36" s="102">
        <v>4.2999999999999997E-2</v>
      </c>
      <c r="F36" s="102">
        <v>4.3999999999999997E-2</v>
      </c>
      <c r="G36" s="102">
        <v>4.4999999999999998E-2</v>
      </c>
      <c r="H36" s="102">
        <v>4.5999999999999999E-2</v>
      </c>
      <c r="I36" s="102">
        <v>4.7E-2</v>
      </c>
      <c r="J36" s="102">
        <v>4.9000000000000002E-2</v>
      </c>
      <c r="K36" s="102">
        <v>0.05</v>
      </c>
      <c r="L36" s="102">
        <v>5.0999999999999997E-2</v>
      </c>
      <c r="M36" s="102">
        <v>5.2999999999999999E-2</v>
      </c>
      <c r="N36" s="102">
        <v>5.3999999999999999E-2</v>
      </c>
      <c r="O36" s="102">
        <v>5.6000000000000001E-2</v>
      </c>
      <c r="P36" s="102">
        <v>5.8999999999999997E-2</v>
      </c>
    </row>
    <row r="37" spans="1:16" x14ac:dyDescent="0.25">
      <c r="A37" s="88">
        <v>10</v>
      </c>
      <c r="B37" s="102">
        <v>3.5000000000000003E-2</v>
      </c>
      <c r="C37" s="102">
        <v>0.04</v>
      </c>
      <c r="D37" s="102">
        <v>4.2000000000000003E-2</v>
      </c>
      <c r="E37" s="102">
        <v>4.2999999999999997E-2</v>
      </c>
      <c r="F37" s="102">
        <v>4.3999999999999997E-2</v>
      </c>
      <c r="G37" s="102">
        <v>4.4999999999999998E-2</v>
      </c>
      <c r="H37" s="102">
        <v>4.5999999999999999E-2</v>
      </c>
      <c r="I37" s="102">
        <v>4.7E-2</v>
      </c>
      <c r="J37" s="102">
        <v>4.9000000000000002E-2</v>
      </c>
      <c r="K37" s="102">
        <v>0.05</v>
      </c>
      <c r="L37" s="102">
        <v>5.0999999999999997E-2</v>
      </c>
      <c r="M37" s="102">
        <v>5.2999999999999999E-2</v>
      </c>
      <c r="N37" s="102">
        <v>5.3999999999999999E-2</v>
      </c>
      <c r="O37" s="102">
        <v>5.6000000000000001E-2</v>
      </c>
      <c r="P37" s="102">
        <v>5.8999999999999997E-2</v>
      </c>
    </row>
    <row r="38" spans="1:16" x14ac:dyDescent="0.25">
      <c r="A38" s="88">
        <v>11</v>
      </c>
      <c r="B38" s="102">
        <v>3.7999999999999999E-2</v>
      </c>
      <c r="C38" s="102">
        <v>4.1000000000000002E-2</v>
      </c>
      <c r="D38" s="102">
        <v>4.2000000000000003E-2</v>
      </c>
      <c r="E38" s="102">
        <v>4.2999999999999997E-2</v>
      </c>
      <c r="F38" s="102">
        <v>4.3999999999999997E-2</v>
      </c>
      <c r="G38" s="102">
        <v>4.4999999999999998E-2</v>
      </c>
      <c r="H38" s="102">
        <v>4.5999999999999999E-2</v>
      </c>
      <c r="I38" s="102">
        <v>4.8000000000000001E-2</v>
      </c>
      <c r="J38" s="102">
        <v>4.9000000000000002E-2</v>
      </c>
      <c r="K38" s="102">
        <v>0.05</v>
      </c>
      <c r="L38" s="102">
        <v>5.0999999999999997E-2</v>
      </c>
      <c r="M38" s="102">
        <v>5.2999999999999999E-2</v>
      </c>
      <c r="N38" s="102">
        <v>5.3999999999999999E-2</v>
      </c>
      <c r="O38" s="102">
        <v>5.6000000000000001E-2</v>
      </c>
      <c r="P38" s="102">
        <v>5.8999999999999997E-2</v>
      </c>
    </row>
    <row r="44" spans="1:16" ht="39.65" customHeight="1" x14ac:dyDescent="0.25"/>
    <row r="46" spans="1:16" ht="27.65" customHeight="1" x14ac:dyDescent="0.25"/>
  </sheetData>
  <sheetProtection algorithmName="SHA-512" hashValue="GiPt15DeYhaoykuFZSAqIOpA+uQH98pIcpgU53BoNdZYrgMnc73uRIALov1wyZOGkvDm1Zgqhgz05yv5zM71ew==" saltValue="2PM5h+dlV8E9Sc15lK/WFQ==" spinCount="100000" sheet="1" objects="1" scenarios="1"/>
  <conditionalFormatting sqref="A6:A16">
    <cfRule type="expression" dxfId="685" priority="29" stopIfTrue="1">
      <formula>MOD(ROW(),2)=0</formula>
    </cfRule>
    <cfRule type="expression" dxfId="684" priority="30" stopIfTrue="1">
      <formula>MOD(ROW(),2)&lt;&gt;0</formula>
    </cfRule>
  </conditionalFormatting>
  <conditionalFormatting sqref="B6:P21">
    <cfRule type="expression" dxfId="683" priority="31" stopIfTrue="1">
      <formula>MOD(ROW(),2)=0</formula>
    </cfRule>
    <cfRule type="expression" dxfId="682" priority="32" stopIfTrue="1">
      <formula>MOD(ROW(),2)&lt;&gt;0</formula>
    </cfRule>
  </conditionalFormatting>
  <conditionalFormatting sqref="A17:A20">
    <cfRule type="expression" dxfId="681" priority="15" stopIfTrue="1">
      <formula>MOD(ROW(),2)=0</formula>
    </cfRule>
    <cfRule type="expression" dxfId="680" priority="16" stopIfTrue="1">
      <formula>MOD(ROW(),2)&lt;&gt;0</formula>
    </cfRule>
  </conditionalFormatting>
  <conditionalFormatting sqref="B17:B18 B20:B21">
    <cfRule type="expression" dxfId="679" priority="17" stopIfTrue="1">
      <formula>MOD(ROW(),2)=0</formula>
    </cfRule>
    <cfRule type="expression" dxfId="678" priority="18" stopIfTrue="1">
      <formula>MOD(ROW(),2)&lt;&gt;0</formula>
    </cfRule>
  </conditionalFormatting>
  <conditionalFormatting sqref="A26:A38">
    <cfRule type="expression" dxfId="677" priority="7" stopIfTrue="1">
      <formula>MOD(ROW(),2)=0</formula>
    </cfRule>
    <cfRule type="expression" dxfId="676" priority="8" stopIfTrue="1">
      <formula>MOD(ROW(),2)&lt;&gt;0</formula>
    </cfRule>
  </conditionalFormatting>
  <conditionalFormatting sqref="B26:P38">
    <cfRule type="expression" dxfId="675" priority="9" stopIfTrue="1">
      <formula>MOD(ROW(),2)=0</formula>
    </cfRule>
    <cfRule type="expression" dxfId="674" priority="10" stopIfTrue="1">
      <formula>MOD(ROW(),2)&lt;&gt;0</formula>
    </cfRule>
  </conditionalFormatting>
  <conditionalFormatting sqref="B19">
    <cfRule type="expression" dxfId="673" priority="5" stopIfTrue="1">
      <formula>MOD(ROW(),2)=0</formula>
    </cfRule>
    <cfRule type="expression" dxfId="672" priority="6" stopIfTrue="1">
      <formula>MOD(ROW(),2)&lt;&gt;0</formula>
    </cfRule>
  </conditionalFormatting>
  <conditionalFormatting sqref="A21">
    <cfRule type="expression" dxfId="671" priority="1" stopIfTrue="1">
      <formula>MOD(ROW(),2)=0</formula>
    </cfRule>
    <cfRule type="expression" dxfId="670" priority="2" stopIfTrue="1">
      <formula>MOD(ROW(),2)&lt;&gt;0</formula>
    </cfRule>
  </conditionalFormatting>
  <hyperlinks>
    <hyperlink ref="B24" location="Assumptions!A1" display="Assumptions" xr:uid="{F4FCE3EB-4D6E-4077-B037-CE0D3B636F10}"/>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codeName="Sheet79"/>
  <dimension ref="A1:Q46"/>
  <sheetViews>
    <sheetView showGridLines="0" zoomScale="85" zoomScaleNormal="85" workbookViewId="0">
      <selection activeCell="B18" sqref="B18"/>
    </sheetView>
  </sheetViews>
  <sheetFormatPr defaultColWidth="10" defaultRowHeight="12.5" x14ac:dyDescent="0.25"/>
  <cols>
    <col min="1" max="1" width="31.81640625" style="28" customWidth="1"/>
    <col min="2" max="17" width="22.81640625" style="28" customWidth="1"/>
    <col min="18" max="16384" width="10" style="28"/>
  </cols>
  <sheetData>
    <row r="1" spans="1:17" ht="20" x14ac:dyDescent="0.4">
      <c r="A1" s="40" t="s">
        <v>227</v>
      </c>
      <c r="B1" s="41"/>
      <c r="C1" s="41"/>
      <c r="D1" s="41"/>
      <c r="E1" s="41"/>
      <c r="F1" s="41"/>
      <c r="G1" s="41"/>
      <c r="H1" s="41"/>
      <c r="I1" s="41"/>
    </row>
    <row r="2" spans="1:17" ht="15.5" x14ac:dyDescent="0.35">
      <c r="A2" s="42" t="str">
        <f>IF(title="&gt; Enter workbook title here","Enter workbook title in Cover sheet",title)</f>
        <v>Fire Northern Ireland - Consolidated Factor Spreadsheet</v>
      </c>
      <c r="B2" s="43"/>
      <c r="C2" s="43"/>
      <c r="D2" s="43"/>
      <c r="E2" s="43"/>
      <c r="F2" s="43"/>
      <c r="G2" s="43"/>
      <c r="H2" s="43"/>
      <c r="I2" s="43"/>
    </row>
    <row r="3" spans="1:17" ht="15.5" x14ac:dyDescent="0.35">
      <c r="A3" s="44" t="str">
        <f>TABLE_FACTOR_TYPE_1&amp;" - x-"&amp;TABLE_SERIES_NUMBER_1</f>
        <v>LRF - x-406</v>
      </c>
      <c r="B3" s="43"/>
      <c r="C3" s="43"/>
      <c r="D3" s="43"/>
      <c r="E3" s="43"/>
      <c r="F3" s="43"/>
      <c r="G3" s="43"/>
      <c r="H3" s="43"/>
      <c r="I3" s="43"/>
    </row>
    <row r="4" spans="1:17" x14ac:dyDescent="0.25">
      <c r="A4" s="45"/>
    </row>
    <row r="6" spans="1:17" ht="13" x14ac:dyDescent="0.3">
      <c r="A6" s="75" t="s">
        <v>562</v>
      </c>
      <c r="B6" s="159" t="s">
        <v>563</v>
      </c>
      <c r="C6" s="159"/>
      <c r="D6" s="159"/>
      <c r="E6" s="159"/>
      <c r="F6" s="159"/>
      <c r="G6" s="159"/>
      <c r="H6" s="159"/>
      <c r="I6" s="159"/>
      <c r="J6" s="159"/>
      <c r="K6" s="159"/>
      <c r="L6" s="159"/>
      <c r="M6" s="159"/>
      <c r="N6" s="159"/>
      <c r="O6" s="159"/>
      <c r="P6" s="159"/>
      <c r="Q6" s="159"/>
    </row>
    <row r="7" spans="1:17" x14ac:dyDescent="0.25">
      <c r="A7" s="77" t="s">
        <v>305</v>
      </c>
      <c r="B7" s="159" t="s">
        <v>319</v>
      </c>
      <c r="C7" s="159"/>
      <c r="D7" s="159"/>
      <c r="E7" s="159"/>
      <c r="F7" s="159"/>
      <c r="G7" s="159"/>
      <c r="H7" s="159"/>
      <c r="I7" s="159"/>
      <c r="J7" s="159"/>
      <c r="K7" s="159"/>
      <c r="L7" s="159"/>
      <c r="M7" s="159"/>
      <c r="N7" s="159"/>
      <c r="O7" s="159"/>
      <c r="P7" s="159"/>
      <c r="Q7" s="159"/>
    </row>
    <row r="8" spans="1:17" x14ac:dyDescent="0.25">
      <c r="A8" s="77" t="s">
        <v>306</v>
      </c>
      <c r="B8" s="159">
        <v>2015</v>
      </c>
      <c r="C8" s="159"/>
      <c r="D8" s="159"/>
      <c r="E8" s="159"/>
      <c r="F8" s="159"/>
      <c r="G8" s="159"/>
      <c r="H8" s="159"/>
      <c r="I8" s="159"/>
      <c r="J8" s="159"/>
      <c r="K8" s="159"/>
      <c r="L8" s="159"/>
      <c r="M8" s="159"/>
      <c r="N8" s="159"/>
      <c r="O8" s="159"/>
      <c r="P8" s="159"/>
      <c r="Q8" s="159"/>
    </row>
    <row r="9" spans="1:17" x14ac:dyDescent="0.25">
      <c r="A9" s="77" t="s">
        <v>307</v>
      </c>
      <c r="B9" s="159" t="s">
        <v>445</v>
      </c>
      <c r="C9" s="159"/>
      <c r="D9" s="159"/>
      <c r="E9" s="159"/>
      <c r="F9" s="159"/>
      <c r="G9" s="159"/>
      <c r="H9" s="159"/>
      <c r="I9" s="159"/>
      <c r="J9" s="159"/>
      <c r="K9" s="159"/>
      <c r="L9" s="159"/>
      <c r="M9" s="159"/>
      <c r="N9" s="159"/>
      <c r="O9" s="159"/>
      <c r="P9" s="159"/>
      <c r="Q9" s="159"/>
    </row>
    <row r="10" spans="1:17" x14ac:dyDescent="0.25">
      <c r="A10" s="77" t="s">
        <v>233</v>
      </c>
      <c r="B10" s="159" t="s">
        <v>454</v>
      </c>
      <c r="C10" s="159"/>
      <c r="D10" s="159"/>
      <c r="E10" s="159"/>
      <c r="F10" s="159"/>
      <c r="G10" s="159"/>
      <c r="H10" s="159"/>
      <c r="I10" s="159"/>
      <c r="J10" s="159"/>
      <c r="K10" s="159"/>
      <c r="L10" s="159"/>
      <c r="M10" s="159"/>
      <c r="N10" s="159"/>
      <c r="O10" s="159"/>
      <c r="P10" s="159"/>
      <c r="Q10" s="159"/>
    </row>
    <row r="11" spans="1:17" x14ac:dyDescent="0.25">
      <c r="A11" s="77" t="s">
        <v>308</v>
      </c>
      <c r="B11" s="159" t="s">
        <v>404</v>
      </c>
      <c r="C11" s="159"/>
      <c r="D11" s="159"/>
      <c r="E11" s="159"/>
      <c r="F11" s="159"/>
      <c r="G11" s="159"/>
      <c r="H11" s="159"/>
      <c r="I11" s="159"/>
      <c r="J11" s="159"/>
      <c r="K11" s="159"/>
      <c r="L11" s="159"/>
      <c r="M11" s="159"/>
      <c r="N11" s="159"/>
      <c r="O11" s="159"/>
      <c r="P11" s="159"/>
      <c r="Q11" s="159"/>
    </row>
    <row r="12" spans="1:17" x14ac:dyDescent="0.25">
      <c r="A12" s="77" t="s">
        <v>309</v>
      </c>
      <c r="B12" s="159" t="s">
        <v>455</v>
      </c>
      <c r="C12" s="159"/>
      <c r="D12" s="159"/>
      <c r="E12" s="159"/>
      <c r="F12" s="159"/>
      <c r="G12" s="159"/>
      <c r="H12" s="159"/>
      <c r="I12" s="159"/>
      <c r="J12" s="159"/>
      <c r="K12" s="159"/>
      <c r="L12" s="159"/>
      <c r="M12" s="159"/>
      <c r="N12" s="159"/>
      <c r="O12" s="159"/>
      <c r="P12" s="159"/>
      <c r="Q12" s="159"/>
    </row>
    <row r="13" spans="1:17" x14ac:dyDescent="0.25">
      <c r="A13" s="77" t="s">
        <v>570</v>
      </c>
      <c r="B13" s="159">
        <v>0</v>
      </c>
      <c r="C13" s="159"/>
      <c r="D13" s="159"/>
      <c r="E13" s="159"/>
      <c r="F13" s="159"/>
      <c r="G13" s="159"/>
      <c r="H13" s="159"/>
      <c r="I13" s="159"/>
      <c r="J13" s="159"/>
      <c r="K13" s="159"/>
      <c r="L13" s="159"/>
      <c r="M13" s="159"/>
      <c r="N13" s="159"/>
      <c r="O13" s="159"/>
      <c r="P13" s="159"/>
      <c r="Q13" s="159"/>
    </row>
    <row r="14" spans="1:17" x14ac:dyDescent="0.25">
      <c r="A14" s="77" t="s">
        <v>311</v>
      </c>
      <c r="B14" s="159">
        <v>406</v>
      </c>
      <c r="C14" s="159"/>
      <c r="D14" s="159"/>
      <c r="E14" s="159"/>
      <c r="F14" s="159"/>
      <c r="G14" s="159"/>
      <c r="H14" s="159"/>
      <c r="I14" s="159"/>
      <c r="J14" s="159"/>
      <c r="K14" s="159"/>
      <c r="L14" s="159"/>
      <c r="M14" s="159"/>
      <c r="N14" s="159"/>
      <c r="O14" s="159"/>
      <c r="P14" s="159"/>
      <c r="Q14" s="159"/>
    </row>
    <row r="15" spans="1:17" x14ac:dyDescent="0.25">
      <c r="A15" s="77" t="s">
        <v>573</v>
      </c>
      <c r="B15" s="159" t="s">
        <v>456</v>
      </c>
      <c r="C15" s="159"/>
      <c r="D15" s="159"/>
      <c r="E15" s="159"/>
      <c r="F15" s="159"/>
      <c r="G15" s="159"/>
      <c r="H15" s="159"/>
      <c r="I15" s="159"/>
      <c r="J15" s="159"/>
      <c r="K15" s="159"/>
      <c r="L15" s="159"/>
      <c r="M15" s="159"/>
      <c r="N15" s="159"/>
      <c r="O15" s="159"/>
      <c r="P15" s="159"/>
      <c r="Q15" s="159"/>
    </row>
    <row r="16" spans="1:17" x14ac:dyDescent="0.25">
      <c r="A16" s="77" t="s">
        <v>313</v>
      </c>
      <c r="B16" s="159" t="s">
        <v>457</v>
      </c>
      <c r="C16" s="159"/>
      <c r="D16" s="159"/>
      <c r="E16" s="159"/>
      <c r="F16" s="159"/>
      <c r="G16" s="159"/>
      <c r="H16" s="159"/>
      <c r="I16" s="159"/>
      <c r="J16" s="159"/>
      <c r="K16" s="159"/>
      <c r="L16" s="159"/>
      <c r="M16" s="159"/>
      <c r="N16" s="159"/>
      <c r="O16" s="159"/>
      <c r="P16" s="159"/>
      <c r="Q16" s="159"/>
    </row>
    <row r="17" spans="1:17" x14ac:dyDescent="0.25">
      <c r="A17" s="77" t="s">
        <v>642</v>
      </c>
      <c r="B17" s="159"/>
      <c r="C17" s="159"/>
      <c r="D17" s="159"/>
      <c r="E17" s="159"/>
      <c r="F17" s="159"/>
      <c r="G17" s="159"/>
      <c r="H17" s="159"/>
      <c r="I17" s="159"/>
      <c r="J17" s="159"/>
      <c r="K17" s="159"/>
      <c r="L17" s="159"/>
      <c r="M17" s="159"/>
      <c r="N17" s="159"/>
      <c r="O17" s="159"/>
      <c r="P17" s="159"/>
      <c r="Q17" s="159"/>
    </row>
    <row r="18" spans="1:17" x14ac:dyDescent="0.25">
      <c r="A18" s="77" t="s">
        <v>315</v>
      </c>
      <c r="B18" s="161">
        <v>45106</v>
      </c>
      <c r="C18" s="159"/>
      <c r="D18" s="159"/>
      <c r="E18" s="159"/>
      <c r="F18" s="159"/>
      <c r="G18" s="159"/>
      <c r="H18" s="159"/>
      <c r="I18" s="159"/>
      <c r="J18" s="159"/>
      <c r="K18" s="159"/>
      <c r="L18" s="159"/>
      <c r="M18" s="159"/>
      <c r="N18" s="159"/>
      <c r="O18" s="159"/>
      <c r="P18" s="159"/>
      <c r="Q18" s="159"/>
    </row>
    <row r="19" spans="1:17" x14ac:dyDescent="0.25">
      <c r="A19" s="77" t="s">
        <v>316</v>
      </c>
      <c r="B19" s="161">
        <v>45106</v>
      </c>
      <c r="C19" s="159"/>
      <c r="D19" s="159"/>
      <c r="E19" s="159"/>
      <c r="F19" s="159"/>
      <c r="G19" s="159"/>
      <c r="H19" s="159"/>
      <c r="I19" s="159"/>
      <c r="J19" s="159"/>
      <c r="K19" s="159"/>
      <c r="L19" s="159"/>
      <c r="M19" s="159"/>
      <c r="N19" s="159"/>
      <c r="O19" s="159"/>
      <c r="P19" s="159"/>
      <c r="Q19" s="159"/>
    </row>
    <row r="20" spans="1:17" x14ac:dyDescent="0.25">
      <c r="A20" s="77" t="s">
        <v>317</v>
      </c>
      <c r="B20" s="159" t="s">
        <v>327</v>
      </c>
      <c r="C20" s="159"/>
      <c r="D20" s="159"/>
      <c r="E20" s="159"/>
      <c r="F20" s="159"/>
      <c r="G20" s="159"/>
      <c r="H20" s="159"/>
      <c r="I20" s="159"/>
      <c r="J20" s="159"/>
      <c r="K20" s="159"/>
      <c r="L20" s="159"/>
      <c r="M20" s="159"/>
      <c r="N20" s="159"/>
      <c r="O20" s="159"/>
      <c r="P20" s="159"/>
      <c r="Q20" s="159"/>
    </row>
    <row r="21" spans="1:17" x14ac:dyDescent="0.25">
      <c r="A21" s="77" t="s">
        <v>318</v>
      </c>
      <c r="B21" s="159" t="s">
        <v>328</v>
      </c>
      <c r="C21" s="159"/>
      <c r="D21" s="159"/>
      <c r="E21" s="159"/>
      <c r="F21" s="159"/>
      <c r="G21" s="159"/>
      <c r="H21" s="159"/>
      <c r="I21" s="159"/>
      <c r="J21" s="159"/>
      <c r="K21" s="159"/>
      <c r="L21" s="159"/>
      <c r="M21" s="159"/>
      <c r="N21" s="159"/>
      <c r="O21" s="159"/>
      <c r="P21" s="159"/>
      <c r="Q21" s="159"/>
    </row>
    <row r="23" spans="1:17" x14ac:dyDescent="0.25">
      <c r="B23" s="91" t="str">
        <f>HYPERLINK("#'Factor List'!A1","Back to Factor List")</f>
        <v>Back to Factor List</v>
      </c>
    </row>
    <row r="24" spans="1:17" x14ac:dyDescent="0.25">
      <c r="B24" s="91" t="s">
        <v>240</v>
      </c>
    </row>
    <row r="25" spans="1:17" x14ac:dyDescent="0.25">
      <c r="B25" s="91"/>
    </row>
    <row r="26" spans="1:17" ht="13" x14ac:dyDescent="0.25">
      <c r="A26" s="103" t="s">
        <v>672</v>
      </c>
      <c r="B26" s="103">
        <v>54</v>
      </c>
      <c r="C26" s="103">
        <v>55</v>
      </c>
      <c r="D26" s="103">
        <v>56</v>
      </c>
      <c r="E26" s="103">
        <v>57</v>
      </c>
      <c r="F26" s="103">
        <v>58</v>
      </c>
      <c r="G26" s="103">
        <v>59</v>
      </c>
      <c r="H26" s="103">
        <v>60</v>
      </c>
      <c r="I26" s="103">
        <v>61</v>
      </c>
      <c r="J26" s="103">
        <v>62</v>
      </c>
      <c r="K26" s="103">
        <v>63</v>
      </c>
      <c r="L26" s="103">
        <v>64</v>
      </c>
      <c r="M26" s="103">
        <v>65</v>
      </c>
      <c r="N26" s="103">
        <v>66</v>
      </c>
      <c r="O26" s="103">
        <v>67</v>
      </c>
      <c r="P26" s="103">
        <v>68</v>
      </c>
      <c r="Q26" s="103">
        <v>69</v>
      </c>
    </row>
    <row r="27" spans="1:17" x14ac:dyDescent="0.25">
      <c r="A27" s="104">
        <v>0</v>
      </c>
      <c r="B27" s="105">
        <v>0</v>
      </c>
      <c r="C27" s="105">
        <v>0</v>
      </c>
      <c r="D27" s="105">
        <v>0</v>
      </c>
      <c r="E27" s="105">
        <v>0</v>
      </c>
      <c r="F27" s="105">
        <v>0</v>
      </c>
      <c r="G27" s="105">
        <v>0</v>
      </c>
      <c r="H27" s="105">
        <v>0</v>
      </c>
      <c r="I27" s="105">
        <v>0</v>
      </c>
      <c r="J27" s="105">
        <v>0</v>
      </c>
      <c r="K27" s="105">
        <v>0</v>
      </c>
      <c r="L27" s="105">
        <v>0</v>
      </c>
      <c r="M27" s="105">
        <v>0</v>
      </c>
      <c r="N27" s="105">
        <v>0</v>
      </c>
      <c r="O27" s="105">
        <v>0</v>
      </c>
      <c r="P27" s="105">
        <v>0</v>
      </c>
      <c r="Q27" s="105">
        <v>0</v>
      </c>
    </row>
    <row r="28" spans="1:17" x14ac:dyDescent="0.25">
      <c r="A28" s="104">
        <v>1</v>
      </c>
      <c r="B28" s="105">
        <v>2E-3</v>
      </c>
      <c r="C28" s="105">
        <v>2E-3</v>
      </c>
      <c r="D28" s="105">
        <v>2E-3</v>
      </c>
      <c r="E28" s="105">
        <v>2E-3</v>
      </c>
      <c r="F28" s="105">
        <v>2E-3</v>
      </c>
      <c r="G28" s="105">
        <v>2E-3</v>
      </c>
      <c r="H28" s="105">
        <v>2E-3</v>
      </c>
      <c r="I28" s="105">
        <v>2E-3</v>
      </c>
      <c r="J28" s="105">
        <v>2E-3</v>
      </c>
      <c r="K28" s="105">
        <v>3.0000000000000001E-3</v>
      </c>
      <c r="L28" s="105">
        <v>3.0000000000000001E-3</v>
      </c>
      <c r="M28" s="105">
        <v>3.0000000000000001E-3</v>
      </c>
      <c r="N28" s="105">
        <v>3.0000000000000001E-3</v>
      </c>
      <c r="O28" s="105">
        <v>3.0000000000000001E-3</v>
      </c>
      <c r="P28" s="105">
        <v>3.0000000000000001E-3</v>
      </c>
      <c r="Q28" s="105">
        <v>3.0000000000000001E-3</v>
      </c>
    </row>
    <row r="29" spans="1:17" x14ac:dyDescent="0.25">
      <c r="A29" s="104">
        <v>2</v>
      </c>
      <c r="B29" s="105">
        <v>4.0000000000000001E-3</v>
      </c>
      <c r="C29" s="105">
        <v>4.0000000000000001E-3</v>
      </c>
      <c r="D29" s="105">
        <v>4.0000000000000001E-3</v>
      </c>
      <c r="E29" s="105">
        <v>4.0000000000000001E-3</v>
      </c>
      <c r="F29" s="105">
        <v>4.0000000000000001E-3</v>
      </c>
      <c r="G29" s="105">
        <v>4.0000000000000001E-3</v>
      </c>
      <c r="H29" s="105">
        <v>5.0000000000000001E-3</v>
      </c>
      <c r="I29" s="105">
        <v>5.0000000000000001E-3</v>
      </c>
      <c r="J29" s="105">
        <v>5.0000000000000001E-3</v>
      </c>
      <c r="K29" s="105">
        <v>5.0000000000000001E-3</v>
      </c>
      <c r="L29" s="105">
        <v>5.0000000000000001E-3</v>
      </c>
      <c r="M29" s="105">
        <v>6.0000000000000001E-3</v>
      </c>
      <c r="N29" s="105">
        <v>6.0000000000000001E-3</v>
      </c>
      <c r="O29" s="105">
        <v>6.0000000000000001E-3</v>
      </c>
      <c r="P29" s="105">
        <v>6.0000000000000001E-3</v>
      </c>
      <c r="Q29" s="105">
        <v>7.0000000000000001E-3</v>
      </c>
    </row>
    <row r="30" spans="1:17" x14ac:dyDescent="0.25">
      <c r="A30" s="104">
        <v>3</v>
      </c>
      <c r="B30" s="105">
        <v>5.0000000000000001E-3</v>
      </c>
      <c r="C30" s="105">
        <v>5.0000000000000001E-3</v>
      </c>
      <c r="D30" s="105">
        <v>6.0000000000000001E-3</v>
      </c>
      <c r="E30" s="105">
        <v>6.0000000000000001E-3</v>
      </c>
      <c r="F30" s="105">
        <v>6.0000000000000001E-3</v>
      </c>
      <c r="G30" s="105">
        <v>6.0000000000000001E-3</v>
      </c>
      <c r="H30" s="105">
        <v>7.0000000000000001E-3</v>
      </c>
      <c r="I30" s="105">
        <v>7.0000000000000001E-3</v>
      </c>
      <c r="J30" s="105">
        <v>7.0000000000000001E-3</v>
      </c>
      <c r="K30" s="105">
        <v>8.0000000000000002E-3</v>
      </c>
      <c r="L30" s="105">
        <v>8.0000000000000002E-3</v>
      </c>
      <c r="M30" s="105">
        <v>8.0000000000000002E-3</v>
      </c>
      <c r="N30" s="105">
        <v>8.9999999999999993E-3</v>
      </c>
      <c r="O30" s="105">
        <v>8.9999999999999993E-3</v>
      </c>
      <c r="P30" s="105">
        <v>8.9999999999999993E-3</v>
      </c>
      <c r="Q30" s="105">
        <v>0.01</v>
      </c>
    </row>
    <row r="31" spans="1:17" x14ac:dyDescent="0.25">
      <c r="A31" s="104">
        <v>4</v>
      </c>
      <c r="B31" s="105">
        <v>7.0000000000000001E-3</v>
      </c>
      <c r="C31" s="105">
        <v>7.0000000000000001E-3</v>
      </c>
      <c r="D31" s="105">
        <v>8.0000000000000002E-3</v>
      </c>
      <c r="E31" s="105">
        <v>8.0000000000000002E-3</v>
      </c>
      <c r="F31" s="105">
        <v>8.0000000000000002E-3</v>
      </c>
      <c r="G31" s="105">
        <v>8.9999999999999993E-3</v>
      </c>
      <c r="H31" s="105">
        <v>8.9999999999999993E-3</v>
      </c>
      <c r="I31" s="105">
        <v>8.9999999999999993E-3</v>
      </c>
      <c r="J31" s="105">
        <v>0.01</v>
      </c>
      <c r="K31" s="105">
        <v>0.01</v>
      </c>
      <c r="L31" s="105">
        <v>1.0999999999999999E-2</v>
      </c>
      <c r="M31" s="105">
        <v>1.0999999999999999E-2</v>
      </c>
      <c r="N31" s="105">
        <v>1.2E-2</v>
      </c>
      <c r="O31" s="105">
        <v>1.2E-2</v>
      </c>
      <c r="P31" s="105">
        <v>1.2999999999999999E-2</v>
      </c>
      <c r="Q31" s="105">
        <v>1.4E-2</v>
      </c>
    </row>
    <row r="32" spans="1:17" x14ac:dyDescent="0.25">
      <c r="A32" s="104">
        <v>5</v>
      </c>
      <c r="B32" s="105">
        <v>8.9999999999999993E-3</v>
      </c>
      <c r="C32" s="105">
        <v>8.9999999999999993E-3</v>
      </c>
      <c r="D32" s="105">
        <v>8.9999999999999993E-3</v>
      </c>
      <c r="E32" s="105">
        <v>0.01</v>
      </c>
      <c r="F32" s="105">
        <v>0.01</v>
      </c>
      <c r="G32" s="105">
        <v>1.0999999999999999E-2</v>
      </c>
      <c r="H32" s="105">
        <v>1.0999999999999999E-2</v>
      </c>
      <c r="I32" s="105">
        <v>1.2E-2</v>
      </c>
      <c r="J32" s="105">
        <v>1.2E-2</v>
      </c>
      <c r="K32" s="105">
        <v>1.2999999999999999E-2</v>
      </c>
      <c r="L32" s="105">
        <v>1.2999999999999999E-2</v>
      </c>
      <c r="M32" s="105">
        <v>1.4E-2</v>
      </c>
      <c r="N32" s="105">
        <v>1.4E-2</v>
      </c>
      <c r="O32" s="105">
        <v>1.4999999999999999E-2</v>
      </c>
      <c r="P32" s="105">
        <v>1.6E-2</v>
      </c>
      <c r="Q32" s="105">
        <v>1.7000000000000001E-2</v>
      </c>
    </row>
    <row r="33" spans="1:17" x14ac:dyDescent="0.25">
      <c r="A33" s="104">
        <v>6</v>
      </c>
      <c r="B33" s="105">
        <v>1.0999999999999999E-2</v>
      </c>
      <c r="C33" s="105">
        <v>1.0999999999999999E-2</v>
      </c>
      <c r="D33" s="105">
        <v>1.0999999999999999E-2</v>
      </c>
      <c r="E33" s="105">
        <v>1.2E-2</v>
      </c>
      <c r="F33" s="105">
        <v>1.2E-2</v>
      </c>
      <c r="G33" s="105">
        <v>1.2999999999999999E-2</v>
      </c>
      <c r="H33" s="105">
        <v>1.4E-2</v>
      </c>
      <c r="I33" s="105">
        <v>1.4E-2</v>
      </c>
      <c r="J33" s="105">
        <v>1.4999999999999999E-2</v>
      </c>
      <c r="K33" s="105">
        <v>1.4999999999999999E-2</v>
      </c>
      <c r="L33" s="105">
        <v>1.6E-2</v>
      </c>
      <c r="M33" s="105">
        <v>1.7000000000000001E-2</v>
      </c>
      <c r="N33" s="105">
        <v>1.7000000000000001E-2</v>
      </c>
      <c r="O33" s="105">
        <v>1.7999999999999999E-2</v>
      </c>
      <c r="P33" s="105">
        <v>1.9E-2</v>
      </c>
      <c r="Q33" s="105">
        <v>0.02</v>
      </c>
    </row>
    <row r="34" spans="1:17" x14ac:dyDescent="0.25">
      <c r="A34" s="104">
        <v>7</v>
      </c>
      <c r="B34" s="105">
        <v>1.2999999999999999E-2</v>
      </c>
      <c r="C34" s="105">
        <v>1.2999999999999999E-2</v>
      </c>
      <c r="D34" s="105">
        <v>1.2999999999999999E-2</v>
      </c>
      <c r="E34" s="105">
        <v>1.4E-2</v>
      </c>
      <c r="F34" s="105">
        <v>1.4E-2</v>
      </c>
      <c r="G34" s="105">
        <v>1.4999999999999999E-2</v>
      </c>
      <c r="H34" s="105">
        <v>1.6E-2</v>
      </c>
      <c r="I34" s="105">
        <v>1.6E-2</v>
      </c>
      <c r="J34" s="105">
        <v>1.7000000000000001E-2</v>
      </c>
      <c r="K34" s="105">
        <v>1.7999999999999999E-2</v>
      </c>
      <c r="L34" s="105">
        <v>1.9E-2</v>
      </c>
      <c r="M34" s="105">
        <v>1.9E-2</v>
      </c>
      <c r="N34" s="105">
        <v>0.02</v>
      </c>
      <c r="O34" s="105">
        <v>2.1000000000000001E-2</v>
      </c>
      <c r="P34" s="105">
        <v>2.1999999999999999E-2</v>
      </c>
      <c r="Q34" s="105">
        <v>2.4E-2</v>
      </c>
    </row>
    <row r="35" spans="1:17" x14ac:dyDescent="0.25">
      <c r="A35" s="104">
        <v>8</v>
      </c>
      <c r="B35" s="105">
        <v>1.4E-2</v>
      </c>
      <c r="C35" s="105">
        <v>1.4E-2</v>
      </c>
      <c r="D35" s="105">
        <v>1.4999999999999999E-2</v>
      </c>
      <c r="E35" s="105">
        <v>1.6E-2</v>
      </c>
      <c r="F35" s="105">
        <v>1.6E-2</v>
      </c>
      <c r="G35" s="105">
        <v>1.7000000000000001E-2</v>
      </c>
      <c r="H35" s="105">
        <v>1.7999999999999999E-2</v>
      </c>
      <c r="I35" s="105">
        <v>1.9E-2</v>
      </c>
      <c r="J35" s="105">
        <v>0.02</v>
      </c>
      <c r="K35" s="105">
        <v>0.02</v>
      </c>
      <c r="L35" s="105">
        <v>2.1000000000000001E-2</v>
      </c>
      <c r="M35" s="105">
        <v>2.1999999999999999E-2</v>
      </c>
      <c r="N35" s="105">
        <v>2.3E-2</v>
      </c>
      <c r="O35" s="105">
        <v>2.4E-2</v>
      </c>
      <c r="P35" s="105">
        <v>2.5000000000000001E-2</v>
      </c>
      <c r="Q35" s="105">
        <v>2.7E-2</v>
      </c>
    </row>
    <row r="36" spans="1:17" x14ac:dyDescent="0.25">
      <c r="A36" s="104">
        <v>9</v>
      </c>
      <c r="B36" s="105">
        <v>1.6E-2</v>
      </c>
      <c r="C36" s="105">
        <v>1.6E-2</v>
      </c>
      <c r="D36" s="105">
        <v>1.7000000000000001E-2</v>
      </c>
      <c r="E36" s="105">
        <v>1.7999999999999999E-2</v>
      </c>
      <c r="F36" s="105">
        <v>1.9E-2</v>
      </c>
      <c r="G36" s="105">
        <v>1.9E-2</v>
      </c>
      <c r="H36" s="105">
        <v>0.02</v>
      </c>
      <c r="I36" s="105">
        <v>2.1000000000000001E-2</v>
      </c>
      <c r="J36" s="105">
        <v>2.1999999999999999E-2</v>
      </c>
      <c r="K36" s="105">
        <v>2.3E-2</v>
      </c>
      <c r="L36" s="105">
        <v>2.4E-2</v>
      </c>
      <c r="M36" s="105">
        <v>2.5000000000000001E-2</v>
      </c>
      <c r="N36" s="105">
        <v>2.5999999999999999E-2</v>
      </c>
      <c r="O36" s="105">
        <v>2.7E-2</v>
      </c>
      <c r="P36" s="105">
        <v>2.8000000000000001E-2</v>
      </c>
      <c r="Q36" s="105">
        <v>3.1E-2</v>
      </c>
    </row>
    <row r="37" spans="1:17" x14ac:dyDescent="0.25">
      <c r="A37" s="104">
        <v>10</v>
      </c>
      <c r="B37" s="105">
        <v>1.7999999999999999E-2</v>
      </c>
      <c r="C37" s="105">
        <v>1.7999999999999999E-2</v>
      </c>
      <c r="D37" s="105">
        <v>1.9E-2</v>
      </c>
      <c r="E37" s="105">
        <v>0.02</v>
      </c>
      <c r="F37" s="105">
        <v>2.1000000000000001E-2</v>
      </c>
      <c r="G37" s="105">
        <v>2.1999999999999999E-2</v>
      </c>
      <c r="H37" s="105">
        <v>2.3E-2</v>
      </c>
      <c r="I37" s="105">
        <v>2.3E-2</v>
      </c>
      <c r="J37" s="105">
        <v>2.4E-2</v>
      </c>
      <c r="K37" s="105">
        <v>2.5999999999999999E-2</v>
      </c>
      <c r="L37" s="105">
        <v>2.7E-2</v>
      </c>
      <c r="M37" s="105">
        <v>2.8000000000000001E-2</v>
      </c>
      <c r="N37" s="105">
        <v>2.9000000000000001E-2</v>
      </c>
      <c r="O37" s="105">
        <v>0.03</v>
      </c>
      <c r="P37" s="105">
        <v>3.1E-2</v>
      </c>
      <c r="Q37" s="105">
        <v>3.4000000000000002E-2</v>
      </c>
    </row>
    <row r="38" spans="1:17" x14ac:dyDescent="0.25">
      <c r="A38" s="104">
        <v>11</v>
      </c>
      <c r="B38" s="105">
        <v>0.02</v>
      </c>
      <c r="C38" s="105">
        <v>0.02</v>
      </c>
      <c r="D38" s="105">
        <v>2.1000000000000001E-2</v>
      </c>
      <c r="E38" s="105">
        <v>2.1999999999999999E-2</v>
      </c>
      <c r="F38" s="105">
        <v>2.3E-2</v>
      </c>
      <c r="G38" s="105">
        <v>2.4E-2</v>
      </c>
      <c r="H38" s="105">
        <v>2.5000000000000001E-2</v>
      </c>
      <c r="I38" s="105">
        <v>2.5999999999999999E-2</v>
      </c>
      <c r="J38" s="105">
        <v>2.7E-2</v>
      </c>
      <c r="K38" s="105">
        <v>2.8000000000000001E-2</v>
      </c>
      <c r="L38" s="105">
        <v>2.9000000000000001E-2</v>
      </c>
      <c r="M38" s="105">
        <v>3.1E-2</v>
      </c>
      <c r="N38" s="105">
        <v>3.2000000000000001E-2</v>
      </c>
      <c r="O38" s="105">
        <v>3.3000000000000002E-2</v>
      </c>
      <c r="P38" s="105">
        <v>3.5000000000000003E-2</v>
      </c>
      <c r="Q38" s="105">
        <v>3.7999999999999999E-2</v>
      </c>
    </row>
    <row r="44" spans="1:17" ht="39.65" customHeight="1" x14ac:dyDescent="0.25"/>
    <row r="46" spans="1:17" ht="27.65" customHeight="1" x14ac:dyDescent="0.25"/>
  </sheetData>
  <sheetProtection algorithmName="SHA-512" hashValue="zOiIWhp0NC6RsJ4S+p+IVzLEpp+5raQ5hqkvkdWcL6uknxC2AVhBLyqYh63VzwGDdlkmKCB5zhtp05Z3sNRr1w==" saltValue="HtyxsmKl1Pt/jpXQWsmGbA==" spinCount="100000" sheet="1" objects="1" scenarios="1"/>
  <conditionalFormatting sqref="A6:A16">
    <cfRule type="expression" dxfId="669" priority="43" stopIfTrue="1">
      <formula>MOD(ROW(),2)=0</formula>
    </cfRule>
    <cfRule type="expression" dxfId="668" priority="44" stopIfTrue="1">
      <formula>MOD(ROW(),2)&lt;&gt;0</formula>
    </cfRule>
  </conditionalFormatting>
  <conditionalFormatting sqref="B6:Q21">
    <cfRule type="expression" dxfId="667" priority="45" stopIfTrue="1">
      <formula>MOD(ROW(),2)=0</formula>
    </cfRule>
    <cfRule type="expression" dxfId="666" priority="46" stopIfTrue="1">
      <formula>MOD(ROW(),2)&lt;&gt;0</formula>
    </cfRule>
  </conditionalFormatting>
  <conditionalFormatting sqref="A17:A20">
    <cfRule type="expression" dxfId="665" priority="25" stopIfTrue="1">
      <formula>MOD(ROW(),2)=0</formula>
    </cfRule>
    <cfRule type="expression" dxfId="664" priority="26" stopIfTrue="1">
      <formula>MOD(ROW(),2)&lt;&gt;0</formula>
    </cfRule>
  </conditionalFormatting>
  <conditionalFormatting sqref="B17:B18 B20:B21">
    <cfRule type="expression" dxfId="663" priority="27" stopIfTrue="1">
      <formula>MOD(ROW(),2)=0</formula>
    </cfRule>
    <cfRule type="expression" dxfId="662" priority="28" stopIfTrue="1">
      <formula>MOD(ROW(),2)&lt;&gt;0</formula>
    </cfRule>
  </conditionalFormatting>
  <conditionalFormatting sqref="B12">
    <cfRule type="expression" dxfId="661" priority="23" stopIfTrue="1">
      <formula>MOD(ROW(),2)=0</formula>
    </cfRule>
    <cfRule type="expression" dxfId="660" priority="24" stopIfTrue="1">
      <formula>MOD(ROW(),2)&lt;&gt;0</formula>
    </cfRule>
  </conditionalFormatting>
  <conditionalFormatting sqref="A27:A38">
    <cfRule type="expression" dxfId="659" priority="15" stopIfTrue="1">
      <formula>MOD(ROW(),2)=0</formula>
    </cfRule>
    <cfRule type="expression" dxfId="658" priority="16" stopIfTrue="1">
      <formula>MOD(ROW(),2)&lt;&gt;0</formula>
    </cfRule>
  </conditionalFormatting>
  <conditionalFormatting sqref="B26:K38">
    <cfRule type="expression" dxfId="657" priority="17" stopIfTrue="1">
      <formula>MOD(ROW(),2)=0</formula>
    </cfRule>
    <cfRule type="expression" dxfId="656" priority="18" stopIfTrue="1">
      <formula>MOD(ROW(),2)&lt;&gt;0</formula>
    </cfRule>
  </conditionalFormatting>
  <conditionalFormatting sqref="L26:L38">
    <cfRule type="expression" dxfId="655" priority="13" stopIfTrue="1">
      <formula>MOD(ROW(),2)=0</formula>
    </cfRule>
    <cfRule type="expression" dxfId="654" priority="14" stopIfTrue="1">
      <formula>MOD(ROW(),2)&lt;&gt;0</formula>
    </cfRule>
  </conditionalFormatting>
  <conditionalFormatting sqref="M26:M38 O26:O38 Q26:Q38">
    <cfRule type="expression" dxfId="653" priority="11" stopIfTrue="1">
      <formula>MOD(ROW(),2)=0</formula>
    </cfRule>
    <cfRule type="expression" dxfId="652" priority="12" stopIfTrue="1">
      <formula>MOD(ROW(),2)&lt;&gt;0</formula>
    </cfRule>
  </conditionalFormatting>
  <conditionalFormatting sqref="N26:N38 P26:P38">
    <cfRule type="expression" dxfId="651" priority="9" stopIfTrue="1">
      <formula>MOD(ROW(),2)=0</formula>
    </cfRule>
    <cfRule type="expression" dxfId="650" priority="10" stopIfTrue="1">
      <formula>MOD(ROW(),2)&lt;&gt;0</formula>
    </cfRule>
  </conditionalFormatting>
  <conditionalFormatting sqref="A26">
    <cfRule type="expression" dxfId="649" priority="7" stopIfTrue="1">
      <formula>MOD(ROW(),2)=0</formula>
    </cfRule>
    <cfRule type="expression" dxfId="648" priority="8" stopIfTrue="1">
      <formula>MOD(ROW(),2)&lt;&gt;0</formula>
    </cfRule>
  </conditionalFormatting>
  <conditionalFormatting sqref="B19">
    <cfRule type="expression" dxfId="647" priority="5" stopIfTrue="1">
      <formula>MOD(ROW(),2)=0</formula>
    </cfRule>
    <cfRule type="expression" dxfId="646" priority="6" stopIfTrue="1">
      <formula>MOD(ROW(),2)&lt;&gt;0</formula>
    </cfRule>
  </conditionalFormatting>
  <conditionalFormatting sqref="A21">
    <cfRule type="expression" dxfId="645" priority="1" stopIfTrue="1">
      <formula>MOD(ROW(),2)=0</formula>
    </cfRule>
    <cfRule type="expression" dxfId="644" priority="2" stopIfTrue="1">
      <formula>MOD(ROW(),2)&lt;&gt;0</formula>
    </cfRule>
  </conditionalFormatting>
  <hyperlinks>
    <hyperlink ref="B24" location="Assumptions!A1" display="Assumptions" xr:uid="{07DB1BC5-8CAA-4029-B6D4-AC2153991569}"/>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codeName="Sheet80"/>
  <dimension ref="A1:Q46"/>
  <sheetViews>
    <sheetView showGridLines="0" zoomScale="85" zoomScaleNormal="85" workbookViewId="0">
      <selection activeCell="B18" sqref="B18"/>
    </sheetView>
  </sheetViews>
  <sheetFormatPr defaultColWidth="10" defaultRowHeight="12.5" x14ac:dyDescent="0.25"/>
  <cols>
    <col min="1" max="1" width="31.81640625" style="28" customWidth="1"/>
    <col min="2" max="17" width="22.81640625" style="28" customWidth="1"/>
    <col min="18" max="16384" width="10" style="28"/>
  </cols>
  <sheetData>
    <row r="1" spans="1:17" ht="20" x14ac:dyDescent="0.4">
      <c r="A1" s="40" t="s">
        <v>227</v>
      </c>
      <c r="B1" s="41"/>
      <c r="C1" s="41"/>
      <c r="D1" s="41"/>
      <c r="E1" s="41"/>
      <c r="F1" s="41"/>
      <c r="G1" s="41"/>
      <c r="H1" s="41"/>
      <c r="I1" s="41"/>
    </row>
    <row r="2" spans="1:17" ht="15.5" x14ac:dyDescent="0.35">
      <c r="A2" s="42" t="str">
        <f>IF(title="&gt; Enter workbook title here","Enter workbook title in Cover sheet",title)</f>
        <v>Fire Northern Ireland - Consolidated Factor Spreadsheet</v>
      </c>
      <c r="B2" s="43"/>
      <c r="C2" s="43"/>
      <c r="D2" s="43"/>
      <c r="E2" s="43"/>
      <c r="F2" s="43"/>
      <c r="G2" s="43"/>
      <c r="H2" s="43"/>
      <c r="I2" s="43"/>
    </row>
    <row r="3" spans="1:17" ht="15.5" x14ac:dyDescent="0.35">
      <c r="A3" s="44" t="str">
        <f>TABLE_FACTOR_TYPE_1&amp;" - x-"&amp;TABLE_SERIES_NUMBER_1</f>
        <v>LRF - x-407</v>
      </c>
      <c r="B3" s="43"/>
      <c r="C3" s="43"/>
      <c r="D3" s="43"/>
      <c r="E3" s="43"/>
      <c r="F3" s="43"/>
      <c r="G3" s="43"/>
      <c r="H3" s="43"/>
      <c r="I3" s="43"/>
    </row>
    <row r="4" spans="1:17" x14ac:dyDescent="0.25">
      <c r="A4" s="45"/>
    </row>
    <row r="6" spans="1:17" ht="13" x14ac:dyDescent="0.3">
      <c r="A6" s="75" t="s">
        <v>562</v>
      </c>
      <c r="B6" s="159" t="s">
        <v>563</v>
      </c>
      <c r="C6" s="159"/>
      <c r="D6" s="159"/>
      <c r="E6" s="159"/>
      <c r="F6" s="159"/>
      <c r="G6" s="159"/>
      <c r="H6" s="159"/>
      <c r="I6" s="159"/>
      <c r="J6" s="159"/>
      <c r="K6" s="159"/>
      <c r="L6" s="159"/>
      <c r="M6" s="159"/>
      <c r="N6" s="159"/>
      <c r="O6" s="159"/>
      <c r="P6" s="159"/>
      <c r="Q6" s="159"/>
    </row>
    <row r="7" spans="1:17" x14ac:dyDescent="0.25">
      <c r="A7" s="77" t="s">
        <v>305</v>
      </c>
      <c r="B7" s="159" t="s">
        <v>319</v>
      </c>
      <c r="C7" s="159"/>
      <c r="D7" s="159"/>
      <c r="E7" s="159"/>
      <c r="F7" s="159"/>
      <c r="G7" s="159"/>
      <c r="H7" s="159"/>
      <c r="I7" s="159"/>
      <c r="J7" s="159"/>
      <c r="K7" s="159"/>
      <c r="L7" s="159"/>
      <c r="M7" s="159"/>
      <c r="N7" s="159"/>
      <c r="O7" s="159"/>
      <c r="P7" s="159"/>
      <c r="Q7" s="159"/>
    </row>
    <row r="8" spans="1:17" x14ac:dyDescent="0.25">
      <c r="A8" s="77" t="s">
        <v>306</v>
      </c>
      <c r="B8" s="159">
        <v>2015</v>
      </c>
      <c r="C8" s="159"/>
      <c r="D8" s="159"/>
      <c r="E8" s="159"/>
      <c r="F8" s="159"/>
      <c r="G8" s="159"/>
      <c r="H8" s="159"/>
      <c r="I8" s="159"/>
      <c r="J8" s="159"/>
      <c r="K8" s="159"/>
      <c r="L8" s="159"/>
      <c r="M8" s="159"/>
      <c r="N8" s="159"/>
      <c r="O8" s="159"/>
      <c r="P8" s="159"/>
      <c r="Q8" s="159"/>
    </row>
    <row r="9" spans="1:17" x14ac:dyDescent="0.25">
      <c r="A9" s="77" t="s">
        <v>307</v>
      </c>
      <c r="B9" s="159" t="s">
        <v>445</v>
      </c>
      <c r="C9" s="159"/>
      <c r="D9" s="159"/>
      <c r="E9" s="159"/>
      <c r="F9" s="159"/>
      <c r="G9" s="159"/>
      <c r="H9" s="159"/>
      <c r="I9" s="159"/>
      <c r="J9" s="159"/>
      <c r="K9" s="159"/>
      <c r="L9" s="159"/>
      <c r="M9" s="159"/>
      <c r="N9" s="159"/>
      <c r="O9" s="159"/>
      <c r="P9" s="159"/>
      <c r="Q9" s="159"/>
    </row>
    <row r="10" spans="1:17" x14ac:dyDescent="0.25">
      <c r="A10" s="77" t="s">
        <v>233</v>
      </c>
      <c r="B10" s="159" t="s">
        <v>458</v>
      </c>
      <c r="C10" s="159"/>
      <c r="D10" s="159"/>
      <c r="E10" s="159"/>
      <c r="F10" s="159"/>
      <c r="G10" s="159"/>
      <c r="H10" s="159"/>
      <c r="I10" s="159"/>
      <c r="J10" s="159"/>
      <c r="K10" s="159"/>
      <c r="L10" s="159"/>
      <c r="M10" s="159"/>
      <c r="N10" s="159"/>
      <c r="O10" s="159"/>
      <c r="P10" s="159"/>
      <c r="Q10" s="159"/>
    </row>
    <row r="11" spans="1:17" x14ac:dyDescent="0.25">
      <c r="A11" s="77" t="s">
        <v>308</v>
      </c>
      <c r="B11" s="159" t="s">
        <v>404</v>
      </c>
      <c r="C11" s="159"/>
      <c r="D11" s="159"/>
      <c r="E11" s="159"/>
      <c r="F11" s="159"/>
      <c r="G11" s="159"/>
      <c r="H11" s="159"/>
      <c r="I11" s="159"/>
      <c r="J11" s="159"/>
      <c r="K11" s="159"/>
      <c r="L11" s="159"/>
      <c r="M11" s="159"/>
      <c r="N11" s="159"/>
      <c r="O11" s="159"/>
      <c r="P11" s="159"/>
      <c r="Q11" s="159"/>
    </row>
    <row r="12" spans="1:17" x14ac:dyDescent="0.25">
      <c r="A12" s="77" t="s">
        <v>309</v>
      </c>
      <c r="B12" s="159" t="s">
        <v>455</v>
      </c>
      <c r="C12" s="159"/>
      <c r="D12" s="159"/>
      <c r="E12" s="159"/>
      <c r="F12" s="159"/>
      <c r="G12" s="159"/>
      <c r="H12" s="159"/>
      <c r="I12" s="159"/>
      <c r="J12" s="159"/>
      <c r="K12" s="159"/>
      <c r="L12" s="159"/>
      <c r="M12" s="159"/>
      <c r="N12" s="159"/>
      <c r="O12" s="159"/>
      <c r="P12" s="159"/>
      <c r="Q12" s="159"/>
    </row>
    <row r="13" spans="1:17" x14ac:dyDescent="0.25">
      <c r="A13" s="77" t="s">
        <v>570</v>
      </c>
      <c r="B13" s="159">
        <v>0</v>
      </c>
      <c r="C13" s="159"/>
      <c r="D13" s="159"/>
      <c r="E13" s="159"/>
      <c r="F13" s="159"/>
      <c r="G13" s="159"/>
      <c r="H13" s="159"/>
      <c r="I13" s="159"/>
      <c r="J13" s="159"/>
      <c r="K13" s="159"/>
      <c r="L13" s="159"/>
      <c r="M13" s="159"/>
      <c r="N13" s="159"/>
      <c r="O13" s="159"/>
      <c r="P13" s="159"/>
      <c r="Q13" s="159"/>
    </row>
    <row r="14" spans="1:17" x14ac:dyDescent="0.25">
      <c r="A14" s="77" t="s">
        <v>311</v>
      </c>
      <c r="B14" s="159">
        <v>407</v>
      </c>
      <c r="C14" s="159"/>
      <c r="D14" s="159"/>
      <c r="E14" s="159"/>
      <c r="F14" s="159"/>
      <c r="G14" s="159"/>
      <c r="H14" s="159"/>
      <c r="I14" s="159"/>
      <c r="J14" s="159"/>
      <c r="K14" s="159"/>
      <c r="L14" s="159"/>
      <c r="M14" s="159"/>
      <c r="N14" s="159"/>
      <c r="O14" s="159"/>
      <c r="P14" s="159"/>
      <c r="Q14" s="159"/>
    </row>
    <row r="15" spans="1:17" x14ac:dyDescent="0.25">
      <c r="A15" s="77" t="s">
        <v>573</v>
      </c>
      <c r="B15" s="159" t="s">
        <v>459</v>
      </c>
      <c r="C15" s="159"/>
      <c r="D15" s="159"/>
      <c r="E15" s="159"/>
      <c r="F15" s="159"/>
      <c r="G15" s="159"/>
      <c r="H15" s="159"/>
      <c r="I15" s="159"/>
      <c r="J15" s="159"/>
      <c r="K15" s="159"/>
      <c r="L15" s="159"/>
      <c r="M15" s="159"/>
      <c r="N15" s="159"/>
      <c r="O15" s="159"/>
      <c r="P15" s="159"/>
      <c r="Q15" s="159"/>
    </row>
    <row r="16" spans="1:17" x14ac:dyDescent="0.25">
      <c r="A16" s="77" t="s">
        <v>313</v>
      </c>
      <c r="B16" s="159" t="s">
        <v>460</v>
      </c>
      <c r="C16" s="159"/>
      <c r="D16" s="159"/>
      <c r="E16" s="159"/>
      <c r="F16" s="159"/>
      <c r="G16" s="159"/>
      <c r="H16" s="159"/>
      <c r="I16" s="159"/>
      <c r="J16" s="159"/>
      <c r="K16" s="159"/>
      <c r="L16" s="159"/>
      <c r="M16" s="159"/>
      <c r="N16" s="159"/>
      <c r="O16" s="159"/>
      <c r="P16" s="159"/>
      <c r="Q16" s="159"/>
    </row>
    <row r="17" spans="1:17" x14ac:dyDescent="0.25">
      <c r="A17" s="77" t="s">
        <v>642</v>
      </c>
      <c r="B17" s="159"/>
      <c r="C17" s="159"/>
      <c r="D17" s="159"/>
      <c r="E17" s="159"/>
      <c r="F17" s="159"/>
      <c r="G17" s="159"/>
      <c r="H17" s="159"/>
      <c r="I17" s="159"/>
      <c r="J17" s="159"/>
      <c r="K17" s="159"/>
      <c r="L17" s="159"/>
      <c r="M17" s="159"/>
      <c r="N17" s="159"/>
      <c r="O17" s="159"/>
      <c r="P17" s="159"/>
      <c r="Q17" s="159"/>
    </row>
    <row r="18" spans="1:17" x14ac:dyDescent="0.25">
      <c r="A18" s="77" t="s">
        <v>315</v>
      </c>
      <c r="B18" s="161">
        <v>45106</v>
      </c>
      <c r="C18" s="159"/>
      <c r="D18" s="159"/>
      <c r="E18" s="159"/>
      <c r="F18" s="159"/>
      <c r="G18" s="159"/>
      <c r="H18" s="159"/>
      <c r="I18" s="159"/>
      <c r="J18" s="159"/>
      <c r="K18" s="159"/>
      <c r="L18" s="159"/>
      <c r="M18" s="159"/>
      <c r="N18" s="159"/>
      <c r="O18" s="159"/>
      <c r="P18" s="159"/>
      <c r="Q18" s="159"/>
    </row>
    <row r="19" spans="1:17" x14ac:dyDescent="0.25">
      <c r="A19" s="77" t="s">
        <v>316</v>
      </c>
      <c r="B19" s="161">
        <v>45106</v>
      </c>
      <c r="C19" s="159"/>
      <c r="D19" s="159"/>
      <c r="E19" s="159"/>
      <c r="F19" s="159"/>
      <c r="G19" s="159"/>
      <c r="H19" s="159"/>
      <c r="I19" s="159"/>
      <c r="J19" s="159"/>
      <c r="K19" s="159"/>
      <c r="L19" s="159"/>
      <c r="M19" s="159"/>
      <c r="N19" s="159"/>
      <c r="O19" s="159"/>
      <c r="P19" s="159"/>
      <c r="Q19" s="159"/>
    </row>
    <row r="20" spans="1:17" x14ac:dyDescent="0.25">
      <c r="A20" s="77" t="s">
        <v>317</v>
      </c>
      <c r="B20" s="159" t="s">
        <v>327</v>
      </c>
      <c r="C20" s="159"/>
      <c r="D20" s="159"/>
      <c r="E20" s="159"/>
      <c r="F20" s="159"/>
      <c r="G20" s="159"/>
      <c r="H20" s="159"/>
      <c r="I20" s="159"/>
      <c r="J20" s="159"/>
      <c r="K20" s="159"/>
      <c r="L20" s="159"/>
      <c r="M20" s="159"/>
      <c r="N20" s="159"/>
      <c r="O20" s="159"/>
      <c r="P20" s="159"/>
      <c r="Q20" s="159"/>
    </row>
    <row r="21" spans="1:17" x14ac:dyDescent="0.25">
      <c r="A21" s="77" t="s">
        <v>318</v>
      </c>
      <c r="B21" s="159" t="s">
        <v>328</v>
      </c>
      <c r="C21" s="159"/>
      <c r="D21" s="159"/>
      <c r="E21" s="159"/>
      <c r="F21" s="159"/>
      <c r="G21" s="159"/>
      <c r="H21" s="159"/>
      <c r="I21" s="159"/>
      <c r="J21" s="159"/>
      <c r="K21" s="159"/>
      <c r="L21" s="159"/>
      <c r="M21" s="159"/>
      <c r="N21" s="159"/>
      <c r="O21" s="159"/>
      <c r="P21" s="159"/>
      <c r="Q21" s="159"/>
    </row>
    <row r="23" spans="1:17" x14ac:dyDescent="0.25">
      <c r="B23" s="91" t="str">
        <f>HYPERLINK("#'Factor List'!A1","Back to Factor List")</f>
        <v>Back to Factor List</v>
      </c>
    </row>
    <row r="24" spans="1:17" x14ac:dyDescent="0.25">
      <c r="B24" s="91" t="s">
        <v>240</v>
      </c>
    </row>
    <row r="25" spans="1:17" x14ac:dyDescent="0.25">
      <c r="B25" s="91"/>
    </row>
    <row r="26" spans="1:17" ht="13" x14ac:dyDescent="0.25">
      <c r="A26" s="103" t="s">
        <v>672</v>
      </c>
      <c r="B26" s="103">
        <v>54</v>
      </c>
      <c r="C26" s="103">
        <v>55</v>
      </c>
      <c r="D26" s="103">
        <v>56</v>
      </c>
      <c r="E26" s="103">
        <v>57</v>
      </c>
      <c r="F26" s="103">
        <v>58</v>
      </c>
      <c r="G26" s="103">
        <v>59</v>
      </c>
      <c r="H26" s="103">
        <v>60</v>
      </c>
      <c r="I26" s="103">
        <v>61</v>
      </c>
      <c r="J26" s="103">
        <v>62</v>
      </c>
      <c r="K26" s="103">
        <v>63</v>
      </c>
      <c r="L26" s="103">
        <v>64</v>
      </c>
      <c r="M26" s="103">
        <v>65</v>
      </c>
      <c r="N26" s="103">
        <v>66</v>
      </c>
      <c r="O26" s="103">
        <v>67</v>
      </c>
      <c r="P26" s="103">
        <v>68</v>
      </c>
      <c r="Q26" s="103">
        <v>69</v>
      </c>
    </row>
    <row r="27" spans="1:17" x14ac:dyDescent="0.25">
      <c r="A27" s="104">
        <v>0</v>
      </c>
      <c r="B27" s="105">
        <v>0</v>
      </c>
      <c r="C27" s="105">
        <v>0</v>
      </c>
      <c r="D27" s="105">
        <v>0</v>
      </c>
      <c r="E27" s="105">
        <v>0</v>
      </c>
      <c r="F27" s="105">
        <v>0</v>
      </c>
      <c r="G27" s="105">
        <v>0</v>
      </c>
      <c r="H27" s="105">
        <v>0</v>
      </c>
      <c r="I27" s="105">
        <v>0</v>
      </c>
      <c r="J27" s="105">
        <v>0</v>
      </c>
      <c r="K27" s="105">
        <v>0</v>
      </c>
      <c r="L27" s="105">
        <v>0</v>
      </c>
      <c r="M27" s="105">
        <v>0</v>
      </c>
      <c r="N27" s="105">
        <v>0</v>
      </c>
      <c r="O27" s="105">
        <v>0</v>
      </c>
      <c r="P27" s="105">
        <v>0</v>
      </c>
      <c r="Q27" s="105">
        <v>0</v>
      </c>
    </row>
    <row r="28" spans="1:17" x14ac:dyDescent="0.25">
      <c r="A28" s="104">
        <v>1</v>
      </c>
      <c r="B28" s="105">
        <v>3.0000000000000001E-3</v>
      </c>
      <c r="C28" s="105">
        <v>3.0000000000000001E-3</v>
      </c>
      <c r="D28" s="105">
        <v>3.0000000000000001E-3</v>
      </c>
      <c r="E28" s="105">
        <v>3.0000000000000001E-3</v>
      </c>
      <c r="F28" s="105">
        <v>4.0000000000000001E-3</v>
      </c>
      <c r="G28" s="105">
        <v>4.0000000000000001E-3</v>
      </c>
      <c r="H28" s="105">
        <v>4.0000000000000001E-3</v>
      </c>
      <c r="I28" s="105">
        <v>4.0000000000000001E-3</v>
      </c>
      <c r="J28" s="105">
        <v>4.0000000000000001E-3</v>
      </c>
      <c r="K28" s="105">
        <v>4.0000000000000001E-3</v>
      </c>
      <c r="L28" s="105">
        <v>4.0000000000000001E-3</v>
      </c>
      <c r="M28" s="105">
        <v>4.0000000000000001E-3</v>
      </c>
      <c r="N28" s="105">
        <v>4.0000000000000001E-3</v>
      </c>
      <c r="O28" s="105">
        <v>5.0000000000000001E-3</v>
      </c>
      <c r="P28" s="105">
        <v>5.0000000000000001E-3</v>
      </c>
      <c r="Q28" s="105">
        <v>5.0000000000000001E-3</v>
      </c>
    </row>
    <row r="29" spans="1:17" x14ac:dyDescent="0.25">
      <c r="A29" s="104">
        <v>2</v>
      </c>
      <c r="B29" s="105">
        <v>7.0000000000000001E-3</v>
      </c>
      <c r="C29" s="105">
        <v>7.0000000000000001E-3</v>
      </c>
      <c r="D29" s="105">
        <v>7.0000000000000001E-3</v>
      </c>
      <c r="E29" s="105">
        <v>7.0000000000000001E-3</v>
      </c>
      <c r="F29" s="105">
        <v>7.0000000000000001E-3</v>
      </c>
      <c r="G29" s="105">
        <v>7.0000000000000001E-3</v>
      </c>
      <c r="H29" s="105">
        <v>8.0000000000000002E-3</v>
      </c>
      <c r="I29" s="105">
        <v>8.0000000000000002E-3</v>
      </c>
      <c r="J29" s="105">
        <v>8.0000000000000002E-3</v>
      </c>
      <c r="K29" s="105">
        <v>8.0000000000000002E-3</v>
      </c>
      <c r="L29" s="105">
        <v>8.0000000000000002E-3</v>
      </c>
      <c r="M29" s="105">
        <v>8.9999999999999993E-3</v>
      </c>
      <c r="N29" s="105">
        <v>8.9999999999999993E-3</v>
      </c>
      <c r="O29" s="105">
        <v>8.9999999999999993E-3</v>
      </c>
      <c r="P29" s="105">
        <v>8.9999999999999993E-3</v>
      </c>
      <c r="Q29" s="105">
        <v>0.01</v>
      </c>
    </row>
    <row r="30" spans="1:17" x14ac:dyDescent="0.25">
      <c r="A30" s="104">
        <v>3</v>
      </c>
      <c r="B30" s="105">
        <v>0.01</v>
      </c>
      <c r="C30" s="105">
        <v>0.01</v>
      </c>
      <c r="D30" s="105">
        <v>0.01</v>
      </c>
      <c r="E30" s="105">
        <v>0.01</v>
      </c>
      <c r="F30" s="105">
        <v>1.0999999999999999E-2</v>
      </c>
      <c r="G30" s="105">
        <v>1.0999999999999999E-2</v>
      </c>
      <c r="H30" s="105">
        <v>1.0999999999999999E-2</v>
      </c>
      <c r="I30" s="105">
        <v>1.2E-2</v>
      </c>
      <c r="J30" s="105">
        <v>1.2E-2</v>
      </c>
      <c r="K30" s="105">
        <v>1.2E-2</v>
      </c>
      <c r="L30" s="105">
        <v>1.2999999999999999E-2</v>
      </c>
      <c r="M30" s="105">
        <v>1.2999999999999999E-2</v>
      </c>
      <c r="N30" s="105">
        <v>1.2999999999999999E-2</v>
      </c>
      <c r="O30" s="105">
        <v>1.4E-2</v>
      </c>
      <c r="P30" s="105">
        <v>1.4E-2</v>
      </c>
      <c r="Q30" s="105">
        <v>1.4999999999999999E-2</v>
      </c>
    </row>
    <row r="31" spans="1:17" x14ac:dyDescent="0.25">
      <c r="A31" s="104">
        <v>4</v>
      </c>
      <c r="B31" s="105">
        <v>1.2999999999999999E-2</v>
      </c>
      <c r="C31" s="105">
        <v>1.2999999999999999E-2</v>
      </c>
      <c r="D31" s="105">
        <v>1.4E-2</v>
      </c>
      <c r="E31" s="105">
        <v>1.4E-2</v>
      </c>
      <c r="F31" s="105">
        <v>1.4E-2</v>
      </c>
      <c r="G31" s="105">
        <v>1.4999999999999999E-2</v>
      </c>
      <c r="H31" s="105">
        <v>1.4999999999999999E-2</v>
      </c>
      <c r="I31" s="105">
        <v>1.4999999999999999E-2</v>
      </c>
      <c r="J31" s="105">
        <v>1.6E-2</v>
      </c>
      <c r="K31" s="105">
        <v>1.6E-2</v>
      </c>
      <c r="L31" s="105">
        <v>1.7000000000000001E-2</v>
      </c>
      <c r="M31" s="105">
        <v>1.7000000000000001E-2</v>
      </c>
      <c r="N31" s="105">
        <v>1.7999999999999999E-2</v>
      </c>
      <c r="O31" s="105">
        <v>1.7999999999999999E-2</v>
      </c>
      <c r="P31" s="105">
        <v>1.9E-2</v>
      </c>
      <c r="Q31" s="105">
        <v>0.02</v>
      </c>
    </row>
    <row r="32" spans="1:17" x14ac:dyDescent="0.25">
      <c r="A32" s="104">
        <v>5</v>
      </c>
      <c r="B32" s="105">
        <v>1.6E-2</v>
      </c>
      <c r="C32" s="105">
        <v>1.6E-2</v>
      </c>
      <c r="D32" s="105">
        <v>1.7000000000000001E-2</v>
      </c>
      <c r="E32" s="105">
        <v>1.7000000000000001E-2</v>
      </c>
      <c r="F32" s="105">
        <v>1.7999999999999999E-2</v>
      </c>
      <c r="G32" s="105">
        <v>1.7999999999999999E-2</v>
      </c>
      <c r="H32" s="105">
        <v>1.9E-2</v>
      </c>
      <c r="I32" s="105">
        <v>1.9E-2</v>
      </c>
      <c r="J32" s="105">
        <v>0.02</v>
      </c>
      <c r="K32" s="105">
        <v>0.02</v>
      </c>
      <c r="L32" s="105">
        <v>2.1000000000000001E-2</v>
      </c>
      <c r="M32" s="105">
        <v>2.1000000000000001E-2</v>
      </c>
      <c r="N32" s="105">
        <v>2.1999999999999999E-2</v>
      </c>
      <c r="O32" s="105">
        <v>2.3E-2</v>
      </c>
      <c r="P32" s="105">
        <v>2.3E-2</v>
      </c>
      <c r="Q32" s="105">
        <v>2.5000000000000001E-2</v>
      </c>
    </row>
    <row r="33" spans="1:17" x14ac:dyDescent="0.25">
      <c r="A33" s="104">
        <v>6</v>
      </c>
      <c r="B33" s="105">
        <v>0.02</v>
      </c>
      <c r="C33" s="105">
        <v>0.02</v>
      </c>
      <c r="D33" s="105">
        <v>0.02</v>
      </c>
      <c r="E33" s="105">
        <v>2.1000000000000001E-2</v>
      </c>
      <c r="F33" s="105">
        <v>2.1000000000000001E-2</v>
      </c>
      <c r="G33" s="105">
        <v>2.1999999999999999E-2</v>
      </c>
      <c r="H33" s="105">
        <v>2.3E-2</v>
      </c>
      <c r="I33" s="105">
        <v>2.3E-2</v>
      </c>
      <c r="J33" s="105">
        <v>2.4E-2</v>
      </c>
      <c r="K33" s="105">
        <v>2.4E-2</v>
      </c>
      <c r="L33" s="105">
        <v>2.5000000000000001E-2</v>
      </c>
      <c r="M33" s="105">
        <v>2.5999999999999999E-2</v>
      </c>
      <c r="N33" s="105">
        <v>2.7E-2</v>
      </c>
      <c r="O33" s="105">
        <v>2.7E-2</v>
      </c>
      <c r="P33" s="105">
        <v>2.8000000000000001E-2</v>
      </c>
      <c r="Q33" s="105">
        <v>0.03</v>
      </c>
    </row>
    <row r="34" spans="1:17" x14ac:dyDescent="0.25">
      <c r="A34" s="104">
        <v>7</v>
      </c>
      <c r="B34" s="105">
        <v>2.3E-2</v>
      </c>
      <c r="C34" s="105">
        <v>2.3E-2</v>
      </c>
      <c r="D34" s="105">
        <v>2.4E-2</v>
      </c>
      <c r="E34" s="105">
        <v>2.4E-2</v>
      </c>
      <c r="F34" s="105">
        <v>2.5000000000000001E-2</v>
      </c>
      <c r="G34" s="105">
        <v>2.5999999999999999E-2</v>
      </c>
      <c r="H34" s="105">
        <v>2.5999999999999999E-2</v>
      </c>
      <c r="I34" s="105">
        <v>2.7E-2</v>
      </c>
      <c r="J34" s="105">
        <v>2.8000000000000001E-2</v>
      </c>
      <c r="K34" s="105">
        <v>2.8000000000000001E-2</v>
      </c>
      <c r="L34" s="105">
        <v>2.9000000000000001E-2</v>
      </c>
      <c r="M34" s="105">
        <v>0.03</v>
      </c>
      <c r="N34" s="105">
        <v>3.1E-2</v>
      </c>
      <c r="O34" s="105">
        <v>3.2000000000000001E-2</v>
      </c>
      <c r="P34" s="105">
        <v>3.3000000000000002E-2</v>
      </c>
      <c r="Q34" s="105">
        <v>3.5000000000000003E-2</v>
      </c>
    </row>
    <row r="35" spans="1:17" x14ac:dyDescent="0.25">
      <c r="A35" s="104">
        <v>8</v>
      </c>
      <c r="B35" s="105">
        <v>2.5999999999999999E-2</v>
      </c>
      <c r="C35" s="105">
        <v>2.5999999999999999E-2</v>
      </c>
      <c r="D35" s="105">
        <v>2.7E-2</v>
      </c>
      <c r="E35" s="105">
        <v>2.8000000000000001E-2</v>
      </c>
      <c r="F35" s="105">
        <v>2.9000000000000001E-2</v>
      </c>
      <c r="G35" s="105">
        <v>2.9000000000000001E-2</v>
      </c>
      <c r="H35" s="105">
        <v>0.03</v>
      </c>
      <c r="I35" s="105">
        <v>3.1E-2</v>
      </c>
      <c r="J35" s="105">
        <v>3.2000000000000001E-2</v>
      </c>
      <c r="K35" s="105">
        <v>3.3000000000000002E-2</v>
      </c>
      <c r="L35" s="105">
        <v>3.3000000000000002E-2</v>
      </c>
      <c r="M35" s="105">
        <v>3.4000000000000002E-2</v>
      </c>
      <c r="N35" s="105">
        <v>3.5000000000000003E-2</v>
      </c>
      <c r="O35" s="105">
        <v>3.5999999999999997E-2</v>
      </c>
      <c r="P35" s="105">
        <v>3.6999999999999998E-2</v>
      </c>
      <c r="Q35" s="105">
        <v>0.04</v>
      </c>
    </row>
    <row r="36" spans="1:17" x14ac:dyDescent="0.25">
      <c r="A36" s="104">
        <v>9</v>
      </c>
      <c r="B36" s="105">
        <v>0.03</v>
      </c>
      <c r="C36" s="105">
        <v>0.03</v>
      </c>
      <c r="D36" s="105">
        <v>0.03</v>
      </c>
      <c r="E36" s="105">
        <v>3.1E-2</v>
      </c>
      <c r="F36" s="105">
        <v>3.2000000000000001E-2</v>
      </c>
      <c r="G36" s="105">
        <v>3.3000000000000002E-2</v>
      </c>
      <c r="H36" s="105">
        <v>3.4000000000000002E-2</v>
      </c>
      <c r="I36" s="105">
        <v>3.5000000000000003E-2</v>
      </c>
      <c r="J36" s="105">
        <v>3.5999999999999997E-2</v>
      </c>
      <c r="K36" s="105">
        <v>3.6999999999999998E-2</v>
      </c>
      <c r="L36" s="105">
        <v>3.7999999999999999E-2</v>
      </c>
      <c r="M36" s="105">
        <v>3.9E-2</v>
      </c>
      <c r="N36" s="105">
        <v>0.04</v>
      </c>
      <c r="O36" s="105">
        <v>4.1000000000000002E-2</v>
      </c>
      <c r="P36" s="105">
        <v>4.2000000000000003E-2</v>
      </c>
      <c r="Q36" s="105">
        <v>4.4999999999999998E-2</v>
      </c>
    </row>
    <row r="37" spans="1:17" x14ac:dyDescent="0.25">
      <c r="A37" s="104">
        <v>10</v>
      </c>
      <c r="B37" s="105">
        <v>3.3000000000000002E-2</v>
      </c>
      <c r="C37" s="105">
        <v>3.3000000000000002E-2</v>
      </c>
      <c r="D37" s="105">
        <v>3.4000000000000002E-2</v>
      </c>
      <c r="E37" s="105">
        <v>3.5000000000000003E-2</v>
      </c>
      <c r="F37" s="105">
        <v>3.5999999999999997E-2</v>
      </c>
      <c r="G37" s="105">
        <v>3.6999999999999998E-2</v>
      </c>
      <c r="H37" s="105">
        <v>3.7999999999999999E-2</v>
      </c>
      <c r="I37" s="105">
        <v>3.9E-2</v>
      </c>
      <c r="J37" s="105">
        <v>0.04</v>
      </c>
      <c r="K37" s="105">
        <v>4.1000000000000002E-2</v>
      </c>
      <c r="L37" s="105">
        <v>4.2000000000000003E-2</v>
      </c>
      <c r="M37" s="105">
        <v>4.2999999999999997E-2</v>
      </c>
      <c r="N37" s="105">
        <v>4.3999999999999997E-2</v>
      </c>
      <c r="O37" s="105">
        <v>4.4999999999999998E-2</v>
      </c>
      <c r="P37" s="105">
        <v>4.7E-2</v>
      </c>
      <c r="Q37" s="105">
        <v>4.9000000000000002E-2</v>
      </c>
    </row>
    <row r="38" spans="1:17" x14ac:dyDescent="0.25">
      <c r="A38" s="104">
        <v>11</v>
      </c>
      <c r="B38" s="105">
        <v>3.5999999999999997E-2</v>
      </c>
      <c r="C38" s="105">
        <v>3.5999999999999997E-2</v>
      </c>
      <c r="D38" s="105">
        <v>3.6999999999999998E-2</v>
      </c>
      <c r="E38" s="105">
        <v>3.7999999999999999E-2</v>
      </c>
      <c r="F38" s="105">
        <v>3.9E-2</v>
      </c>
      <c r="G38" s="105">
        <v>0.04</v>
      </c>
      <c r="H38" s="105">
        <v>4.1000000000000002E-2</v>
      </c>
      <c r="I38" s="105">
        <v>4.2000000000000003E-2</v>
      </c>
      <c r="J38" s="105">
        <v>4.3999999999999997E-2</v>
      </c>
      <c r="K38" s="105">
        <v>4.4999999999999998E-2</v>
      </c>
      <c r="L38" s="105">
        <v>4.5999999999999999E-2</v>
      </c>
      <c r="M38" s="105">
        <v>4.7E-2</v>
      </c>
      <c r="N38" s="105">
        <v>4.9000000000000002E-2</v>
      </c>
      <c r="O38" s="105">
        <v>0.05</v>
      </c>
      <c r="P38" s="105">
        <v>5.0999999999999997E-2</v>
      </c>
      <c r="Q38" s="105">
        <v>5.3999999999999999E-2</v>
      </c>
    </row>
    <row r="44" spans="1:17" ht="39.65" customHeight="1" x14ac:dyDescent="0.25"/>
    <row r="46" spans="1:17" ht="27.65" customHeight="1" x14ac:dyDescent="0.25"/>
  </sheetData>
  <sheetProtection algorithmName="SHA-512" hashValue="ePtZZRhO4vb/r7I+Te5TiIA8A6/G0LvQ7lDoziwh7AYwVeSsjFMJJqJ2h5HJKCO8hXkSTXChyqPnx995Pj0PBw==" saltValue="q6AxJaxyF+P3CzcVY8zqLg==" spinCount="100000" sheet="1" objects="1" scenarios="1"/>
  <conditionalFormatting sqref="A6:A16">
    <cfRule type="expression" dxfId="643" priority="43" stopIfTrue="1">
      <formula>MOD(ROW(),2)=0</formula>
    </cfRule>
    <cfRule type="expression" dxfId="642" priority="44" stopIfTrue="1">
      <formula>MOD(ROW(),2)&lt;&gt;0</formula>
    </cfRule>
  </conditionalFormatting>
  <conditionalFormatting sqref="B6:Q21">
    <cfRule type="expression" dxfId="641" priority="45" stopIfTrue="1">
      <formula>MOD(ROW(),2)=0</formula>
    </cfRule>
    <cfRule type="expression" dxfId="640" priority="46" stopIfTrue="1">
      <formula>MOD(ROW(),2)&lt;&gt;0</formula>
    </cfRule>
  </conditionalFormatting>
  <conditionalFormatting sqref="A17:A20">
    <cfRule type="expression" dxfId="639" priority="25" stopIfTrue="1">
      <formula>MOD(ROW(),2)=0</formula>
    </cfRule>
    <cfRule type="expression" dxfId="638" priority="26" stopIfTrue="1">
      <formula>MOD(ROW(),2)&lt;&gt;0</formula>
    </cfRule>
  </conditionalFormatting>
  <conditionalFormatting sqref="B17:B18 B20:B21">
    <cfRule type="expression" dxfId="637" priority="27" stopIfTrue="1">
      <formula>MOD(ROW(),2)=0</formula>
    </cfRule>
    <cfRule type="expression" dxfId="636" priority="28" stopIfTrue="1">
      <formula>MOD(ROW(),2)&lt;&gt;0</formula>
    </cfRule>
  </conditionalFormatting>
  <conditionalFormatting sqref="B12">
    <cfRule type="expression" dxfId="635" priority="23" stopIfTrue="1">
      <formula>MOD(ROW(),2)=0</formula>
    </cfRule>
    <cfRule type="expression" dxfId="634" priority="24" stopIfTrue="1">
      <formula>MOD(ROW(),2)&lt;&gt;0</formula>
    </cfRule>
  </conditionalFormatting>
  <conditionalFormatting sqref="A27:A38">
    <cfRule type="expression" dxfId="633" priority="15" stopIfTrue="1">
      <formula>MOD(ROW(),2)=0</formula>
    </cfRule>
    <cfRule type="expression" dxfId="632" priority="16" stopIfTrue="1">
      <formula>MOD(ROW(),2)&lt;&gt;0</formula>
    </cfRule>
  </conditionalFormatting>
  <conditionalFormatting sqref="B26:K38">
    <cfRule type="expression" dxfId="631" priority="17" stopIfTrue="1">
      <formula>MOD(ROW(),2)=0</formula>
    </cfRule>
    <cfRule type="expression" dxfId="630" priority="18" stopIfTrue="1">
      <formula>MOD(ROW(),2)&lt;&gt;0</formula>
    </cfRule>
  </conditionalFormatting>
  <conditionalFormatting sqref="L26:L38">
    <cfRule type="expression" dxfId="629" priority="13" stopIfTrue="1">
      <formula>MOD(ROW(),2)=0</formula>
    </cfRule>
    <cfRule type="expression" dxfId="628" priority="14" stopIfTrue="1">
      <formula>MOD(ROW(),2)&lt;&gt;0</formula>
    </cfRule>
  </conditionalFormatting>
  <conditionalFormatting sqref="M26:M38 O26:O38 Q26:Q38">
    <cfRule type="expression" dxfId="627" priority="11" stopIfTrue="1">
      <formula>MOD(ROW(),2)=0</formula>
    </cfRule>
    <cfRule type="expression" dxfId="626" priority="12" stopIfTrue="1">
      <formula>MOD(ROW(),2)&lt;&gt;0</formula>
    </cfRule>
  </conditionalFormatting>
  <conditionalFormatting sqref="N26:N38 P26:P38">
    <cfRule type="expression" dxfId="625" priority="9" stopIfTrue="1">
      <formula>MOD(ROW(),2)=0</formula>
    </cfRule>
    <cfRule type="expression" dxfId="624" priority="10" stopIfTrue="1">
      <formula>MOD(ROW(),2)&lt;&gt;0</formula>
    </cfRule>
  </conditionalFormatting>
  <conditionalFormatting sqref="A26">
    <cfRule type="expression" dxfId="623" priority="7" stopIfTrue="1">
      <formula>MOD(ROW(),2)=0</formula>
    </cfRule>
    <cfRule type="expression" dxfId="622" priority="8" stopIfTrue="1">
      <formula>MOD(ROW(),2)&lt;&gt;0</formula>
    </cfRule>
  </conditionalFormatting>
  <conditionalFormatting sqref="B19">
    <cfRule type="expression" dxfId="621" priority="5" stopIfTrue="1">
      <formula>MOD(ROW(),2)=0</formula>
    </cfRule>
    <cfRule type="expression" dxfId="620" priority="6" stopIfTrue="1">
      <formula>MOD(ROW(),2)&lt;&gt;0</formula>
    </cfRule>
  </conditionalFormatting>
  <conditionalFormatting sqref="A21">
    <cfRule type="expression" dxfId="619" priority="1" stopIfTrue="1">
      <formula>MOD(ROW(),2)=0</formula>
    </cfRule>
    <cfRule type="expression" dxfId="618" priority="2" stopIfTrue="1">
      <formula>MOD(ROW(),2)&lt;&gt;0</formula>
    </cfRule>
  </conditionalFormatting>
  <hyperlinks>
    <hyperlink ref="B24" location="Assumptions!A1" display="Assumptions" xr:uid="{7F27CE64-008A-400F-AE9D-AF8C89FD176A}"/>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26">
    <tabColor theme="3" tint="0.39997558519241921"/>
  </sheetPr>
  <dimension ref="A1:P95"/>
  <sheetViews>
    <sheetView showGridLines="0" tabSelected="1" zoomScale="85" zoomScaleNormal="85" workbookViewId="0">
      <selection activeCell="P7" sqref="P7"/>
    </sheetView>
  </sheetViews>
  <sheetFormatPr defaultRowHeight="12.5" x14ac:dyDescent="0.25"/>
  <cols>
    <col min="1" max="4" width="17.1796875" customWidth="1"/>
    <col min="5" max="5" width="50.81640625" customWidth="1"/>
    <col min="6" max="6" width="17.1796875" customWidth="1"/>
    <col min="7" max="7" width="50.81640625" customWidth="1"/>
    <col min="8" max="10" width="17.1796875" customWidth="1"/>
    <col min="11" max="11" width="30.81640625" customWidth="1"/>
    <col min="12" max="12" width="52.81640625" customWidth="1"/>
    <col min="13" max="16" width="17.1796875" customWidth="1"/>
  </cols>
  <sheetData>
    <row r="1" spans="1:16" ht="20" x14ac:dyDescent="0.4">
      <c r="A1" s="4" t="s">
        <v>227</v>
      </c>
      <c r="B1" s="10"/>
      <c r="C1" s="10"/>
      <c r="D1" s="10"/>
      <c r="E1" s="10"/>
      <c r="F1" s="10"/>
      <c r="G1" s="10"/>
      <c r="H1" s="10"/>
      <c r="I1" s="10"/>
      <c r="J1" s="10"/>
      <c r="K1" s="10"/>
      <c r="L1" s="10"/>
      <c r="M1" s="10"/>
      <c r="N1" s="10"/>
      <c r="O1" s="10"/>
      <c r="P1" s="10"/>
    </row>
    <row r="2" spans="1:16" ht="15.5" x14ac:dyDescent="0.35">
      <c r="A2" s="11" t="str">
        <f>IF(title="&gt; Enter workbook title here","Enter workbook title in Cover sheet",title)</f>
        <v>Fire Northern Ireland - Consolidated Factor Spreadsheet</v>
      </c>
      <c r="B2" s="9"/>
      <c r="C2" s="9"/>
      <c r="D2" s="9"/>
      <c r="E2" s="9"/>
      <c r="F2" s="9"/>
      <c r="G2" s="9"/>
      <c r="H2" s="9"/>
      <c r="I2" s="9"/>
      <c r="J2" s="9"/>
      <c r="K2" s="9"/>
      <c r="L2" s="9"/>
      <c r="M2" s="9"/>
      <c r="N2" s="9"/>
      <c r="O2" s="9"/>
      <c r="P2" s="9"/>
    </row>
    <row r="3" spans="1:16" ht="15.5" x14ac:dyDescent="0.35">
      <c r="A3" s="6" t="s">
        <v>238</v>
      </c>
      <c r="B3" s="9"/>
      <c r="C3" s="9"/>
      <c r="D3" s="9"/>
      <c r="E3" s="9"/>
      <c r="F3" s="9"/>
      <c r="G3" s="9"/>
      <c r="H3" s="9"/>
      <c r="I3" s="9"/>
      <c r="J3" s="9"/>
      <c r="K3" s="9"/>
      <c r="L3" s="9"/>
      <c r="M3" s="9"/>
      <c r="N3" s="9"/>
      <c r="O3" s="9"/>
      <c r="P3" s="9"/>
    </row>
    <row r="4" spans="1:16" x14ac:dyDescent="0.25">
      <c r="A4" s="7"/>
      <c r="L4" s="26"/>
    </row>
    <row r="7" spans="1:16" s="27" customFormat="1" ht="50.25" customHeight="1" x14ac:dyDescent="0.3">
      <c r="A7" s="106" t="s">
        <v>304</v>
      </c>
      <c r="B7" s="106" t="s">
        <v>305</v>
      </c>
      <c r="C7" s="106" t="s">
        <v>306</v>
      </c>
      <c r="D7" s="106" t="s">
        <v>307</v>
      </c>
      <c r="E7" s="106" t="s">
        <v>233</v>
      </c>
      <c r="F7" s="106" t="s">
        <v>308</v>
      </c>
      <c r="G7" s="106" t="s">
        <v>309</v>
      </c>
      <c r="H7" s="106" t="s">
        <v>310</v>
      </c>
      <c r="I7" s="106" t="s">
        <v>311</v>
      </c>
      <c r="J7" s="106" t="s">
        <v>312</v>
      </c>
      <c r="K7" s="106" t="s">
        <v>313</v>
      </c>
      <c r="L7" s="106" t="s">
        <v>314</v>
      </c>
      <c r="M7" s="106" t="s">
        <v>315</v>
      </c>
      <c r="N7" s="106" t="s">
        <v>316</v>
      </c>
      <c r="O7" s="106" t="s">
        <v>317</v>
      </c>
      <c r="P7" s="106" t="s">
        <v>318</v>
      </c>
    </row>
    <row r="8" spans="1:16" ht="25" x14ac:dyDescent="0.25">
      <c r="A8" s="163" t="str">
        <f ca="1">HYPERLINK(MID(CELL("filename",A1),FIND("[",CELL("filename",A1)),FIND("]",CELL("filename",A1)) - FIND("[",CELL("filename",A1)) + 1) &amp; "'x-201'!TABLE_CLIENT_1","x-201 1")</f>
        <v>x-201 1</v>
      </c>
      <c r="B8" s="162" t="s">
        <v>319</v>
      </c>
      <c r="C8" s="162" t="s">
        <v>320</v>
      </c>
      <c r="D8" s="162" t="s">
        <v>321</v>
      </c>
      <c r="E8" s="162" t="s">
        <v>322</v>
      </c>
      <c r="F8" s="162" t="s">
        <v>323</v>
      </c>
      <c r="G8" s="162" t="s">
        <v>324</v>
      </c>
      <c r="H8" s="162">
        <v>2</v>
      </c>
      <c r="I8" s="156">
        <v>201</v>
      </c>
      <c r="J8" t="s">
        <v>325</v>
      </c>
      <c r="K8" s="73" t="s">
        <v>326</v>
      </c>
      <c r="L8" s="73"/>
      <c r="M8" s="164">
        <v>45070</v>
      </c>
      <c r="N8" s="164">
        <v>45014</v>
      </c>
      <c r="O8" s="162" t="s">
        <v>327</v>
      </c>
      <c r="P8" s="164" t="s">
        <v>328</v>
      </c>
    </row>
    <row r="9" spans="1:16" ht="25" x14ac:dyDescent="0.25">
      <c r="A9" s="163" t="str">
        <f ca="1">HYPERLINK(MID(CELL("filename",A1),FIND("[",CELL("filename",A1)),FIND("]",CELL("filename",A1)) - FIND("[",CELL("filename",A1)) + 1) &amp; "'x-202'!TABLE_CLIENT_1","x-202 1")</f>
        <v>x-202 1</v>
      </c>
      <c r="B9" s="162" t="s">
        <v>319</v>
      </c>
      <c r="C9" s="162" t="s">
        <v>320</v>
      </c>
      <c r="D9" s="162" t="s">
        <v>321</v>
      </c>
      <c r="E9" s="162" t="s">
        <v>322</v>
      </c>
      <c r="F9" s="162" t="s">
        <v>329</v>
      </c>
      <c r="G9" s="162" t="s">
        <v>324</v>
      </c>
      <c r="H9" s="162">
        <v>2</v>
      </c>
      <c r="I9" s="156">
        <v>202</v>
      </c>
      <c r="J9" t="s">
        <v>330</v>
      </c>
      <c r="K9" s="73" t="s">
        <v>331</v>
      </c>
      <c r="L9" s="73"/>
      <c r="M9" s="164">
        <v>45070</v>
      </c>
      <c r="N9" s="164">
        <v>45014</v>
      </c>
      <c r="O9" s="162" t="s">
        <v>327</v>
      </c>
      <c r="P9" s="164" t="s">
        <v>328</v>
      </c>
    </row>
    <row r="10" spans="1:16" ht="25" x14ac:dyDescent="0.25">
      <c r="A10" s="163" t="str">
        <f ca="1">HYPERLINK(MID(CELL("filename",A1),FIND("[",CELL("filename",A1)),FIND("]",CELL("filename",A1)) - FIND("[",CELL("filename",A1)) + 1) &amp; "'x-203'!TABLE_CLIENT_1","x-203 1")</f>
        <v>x-203 1</v>
      </c>
      <c r="B10" s="162" t="s">
        <v>319</v>
      </c>
      <c r="C10" s="162" t="s">
        <v>332</v>
      </c>
      <c r="D10" s="162" t="s">
        <v>321</v>
      </c>
      <c r="E10" s="162" t="s">
        <v>333</v>
      </c>
      <c r="F10" s="162" t="s">
        <v>323</v>
      </c>
      <c r="G10" s="162" t="s">
        <v>324</v>
      </c>
      <c r="H10" s="162">
        <v>1</v>
      </c>
      <c r="I10" s="156">
        <v>203</v>
      </c>
      <c r="J10" t="s">
        <v>334</v>
      </c>
      <c r="K10" s="73" t="s">
        <v>326</v>
      </c>
      <c r="L10" s="73"/>
      <c r="M10" s="164">
        <v>45070</v>
      </c>
      <c r="N10" s="164">
        <v>45014</v>
      </c>
      <c r="O10" s="162" t="s">
        <v>327</v>
      </c>
      <c r="P10" s="164" t="s">
        <v>328</v>
      </c>
    </row>
    <row r="11" spans="1:16" ht="25" x14ac:dyDescent="0.25">
      <c r="A11" s="163" t="str">
        <f ca="1">HYPERLINK(MID(CELL("filename",A1),FIND("[",CELL("filename",A1)),FIND("]",CELL("filename",A1)) - FIND("[",CELL("filename",A1)) + 1) &amp; "'x-204'!TABLE_CLIENT_1","x-204 1")</f>
        <v>x-204 1</v>
      </c>
      <c r="B11" s="162" t="s">
        <v>319</v>
      </c>
      <c r="C11" s="162" t="s">
        <v>332</v>
      </c>
      <c r="D11" s="162" t="s">
        <v>321</v>
      </c>
      <c r="E11" s="162" t="s">
        <v>333</v>
      </c>
      <c r="F11" s="162" t="s">
        <v>329</v>
      </c>
      <c r="G11" s="162" t="s">
        <v>324</v>
      </c>
      <c r="H11" s="162">
        <v>1</v>
      </c>
      <c r="I11" s="156">
        <v>204</v>
      </c>
      <c r="J11" t="s">
        <v>335</v>
      </c>
      <c r="K11" s="73" t="s">
        <v>331</v>
      </c>
      <c r="L11" s="73"/>
      <c r="M11" s="164">
        <v>45070</v>
      </c>
      <c r="N11" s="164">
        <v>45014</v>
      </c>
      <c r="O11" s="162" t="s">
        <v>327</v>
      </c>
      <c r="P11" s="164" t="s">
        <v>328</v>
      </c>
    </row>
    <row r="12" spans="1:16" ht="25" x14ac:dyDescent="0.25">
      <c r="A12" s="163" t="str">
        <f ca="1">HYPERLINK(MID(CELL("filename",A1),FIND("[",CELL("filename",A1)),FIND("]",CELL("filename",A1)) - FIND("[",CELL("filename",A1)) + 1) &amp; "'x-205'!TABLE_CLIENT_1","x-205 1")</f>
        <v>x-205 1</v>
      </c>
      <c r="B12" s="162" t="s">
        <v>319</v>
      </c>
      <c r="C12" s="162" t="s">
        <v>332</v>
      </c>
      <c r="D12" s="162" t="s">
        <v>321</v>
      </c>
      <c r="E12" s="162" t="s">
        <v>336</v>
      </c>
      <c r="F12" s="162" t="s">
        <v>329</v>
      </c>
      <c r="G12" s="162" t="s">
        <v>324</v>
      </c>
      <c r="H12" s="162">
        <v>1</v>
      </c>
      <c r="I12" s="156">
        <v>205</v>
      </c>
      <c r="J12" t="s">
        <v>337</v>
      </c>
      <c r="K12" s="73" t="s">
        <v>338</v>
      </c>
      <c r="L12" s="73"/>
      <c r="M12" s="164">
        <v>45070</v>
      </c>
      <c r="N12" s="164">
        <v>45014</v>
      </c>
      <c r="O12" s="162" t="s">
        <v>327</v>
      </c>
      <c r="P12" s="164" t="s">
        <v>328</v>
      </c>
    </row>
    <row r="13" spans="1:16" s="74" customFormat="1" ht="25" x14ac:dyDescent="0.25">
      <c r="A13" s="163" t="str">
        <f ca="1">HYPERLINK(MID(CELL("filename",A1),FIND("[",CELL("filename",A1)),FIND("]",CELL("filename",A1)) - FIND("[",CELL("filename",A1)) + 1) &amp; "'x-206'!TABLE_CLIENT_1","x-206 1")</f>
        <v>x-206 1</v>
      </c>
      <c r="B13" s="162" t="s">
        <v>319</v>
      </c>
      <c r="C13" s="162" t="s">
        <v>332</v>
      </c>
      <c r="D13" s="162" t="s">
        <v>321</v>
      </c>
      <c r="E13" s="162" t="s">
        <v>322</v>
      </c>
      <c r="F13" s="162" t="s">
        <v>323</v>
      </c>
      <c r="G13" s="162" t="s">
        <v>324</v>
      </c>
      <c r="H13" s="162">
        <v>1</v>
      </c>
      <c r="I13" s="156">
        <v>206</v>
      </c>
      <c r="J13" t="s">
        <v>339</v>
      </c>
      <c r="K13" s="73" t="s">
        <v>340</v>
      </c>
      <c r="L13" s="73"/>
      <c r="M13" s="164">
        <v>45070</v>
      </c>
      <c r="N13" s="164">
        <v>45014</v>
      </c>
      <c r="O13" s="162" t="s">
        <v>327</v>
      </c>
      <c r="P13" s="164" t="s">
        <v>328</v>
      </c>
    </row>
    <row r="14" spans="1:16" s="74" customFormat="1" ht="25" x14ac:dyDescent="0.25">
      <c r="A14" s="163" t="str">
        <f ca="1">HYPERLINK(MID(CELL("filename",A1),FIND("[",CELL("filename",A1)),FIND("]",CELL("filename",A1)) - FIND("[",CELL("filename",A1)) + 1) &amp; "'x-207'!TABLE_CLIENT_1","x-207 1")</f>
        <v>x-207 1</v>
      </c>
      <c r="B14" s="162" t="s">
        <v>319</v>
      </c>
      <c r="C14" s="162" t="s">
        <v>332</v>
      </c>
      <c r="D14" s="162" t="s">
        <v>321</v>
      </c>
      <c r="E14" s="162" t="s">
        <v>322</v>
      </c>
      <c r="F14" s="162" t="s">
        <v>329</v>
      </c>
      <c r="G14" s="162" t="s">
        <v>324</v>
      </c>
      <c r="H14" s="162">
        <v>1</v>
      </c>
      <c r="I14" s="156">
        <v>207</v>
      </c>
      <c r="J14" t="s">
        <v>341</v>
      </c>
      <c r="K14" s="73" t="s">
        <v>342</v>
      </c>
      <c r="L14" s="73"/>
      <c r="M14" s="164">
        <v>45070</v>
      </c>
      <c r="N14" s="164">
        <v>45014</v>
      </c>
      <c r="O14" s="162" t="s">
        <v>327</v>
      </c>
      <c r="P14" s="164" t="s">
        <v>328</v>
      </c>
    </row>
    <row r="15" spans="1:16" ht="25" x14ac:dyDescent="0.25">
      <c r="A15" s="163" t="str">
        <f ca="1">HYPERLINK(MID(CELL("filename",A1),FIND("[",CELL("filename",A1)),FIND("]",CELL("filename",A1)) - FIND("[",CELL("filename",A1)) + 1) &amp; "'x-208'!TABLE_CLIENT_1","x-208 1")</f>
        <v>x-208 1</v>
      </c>
      <c r="B15" s="162" t="s">
        <v>319</v>
      </c>
      <c r="C15" s="162">
        <v>2015</v>
      </c>
      <c r="D15" s="162" t="s">
        <v>321</v>
      </c>
      <c r="E15" s="162" t="s">
        <v>333</v>
      </c>
      <c r="F15" s="162" t="s">
        <v>323</v>
      </c>
      <c r="G15" s="162" t="s">
        <v>324</v>
      </c>
      <c r="H15" s="162">
        <v>0</v>
      </c>
      <c r="I15" s="156">
        <v>208</v>
      </c>
      <c r="J15" t="s">
        <v>343</v>
      </c>
      <c r="K15" s="73" t="s">
        <v>344</v>
      </c>
      <c r="L15" s="73"/>
      <c r="M15" s="164">
        <v>45070</v>
      </c>
      <c r="N15" s="164">
        <v>45014</v>
      </c>
      <c r="O15" s="162" t="s">
        <v>327</v>
      </c>
      <c r="P15" s="164" t="s">
        <v>328</v>
      </c>
    </row>
    <row r="16" spans="1:16" ht="25" x14ac:dyDescent="0.25">
      <c r="A16" s="163" t="str">
        <f ca="1">HYPERLINK(MID(CELL("filename",A1),FIND("[",CELL("filename",A1)),FIND("]",CELL("filename",A1)) - FIND("[",CELL("filename",A1)) + 1) &amp; "'x-209'!TABLE_CLIENT_1","x-209 1")</f>
        <v>x-209 1</v>
      </c>
      <c r="B16" s="162" t="s">
        <v>319</v>
      </c>
      <c r="C16" s="162">
        <v>2015</v>
      </c>
      <c r="D16" s="162" t="s">
        <v>321</v>
      </c>
      <c r="E16" s="162" t="s">
        <v>333</v>
      </c>
      <c r="F16" s="162" t="s">
        <v>329</v>
      </c>
      <c r="G16" s="162" t="s">
        <v>324</v>
      </c>
      <c r="H16" s="162">
        <v>0</v>
      </c>
      <c r="I16" s="156">
        <v>209</v>
      </c>
      <c r="J16" t="s">
        <v>345</v>
      </c>
      <c r="K16" s="73" t="s">
        <v>346</v>
      </c>
      <c r="L16" s="73"/>
      <c r="M16" s="164">
        <v>45070</v>
      </c>
      <c r="N16" s="164">
        <v>45014</v>
      </c>
      <c r="O16" s="162" t="s">
        <v>327</v>
      </c>
      <c r="P16" s="164" t="s">
        <v>328</v>
      </c>
    </row>
    <row r="17" spans="1:16" ht="25" x14ac:dyDescent="0.25">
      <c r="A17" s="163" t="str">
        <f ca="1">HYPERLINK(MID(CELL("filename",A1),FIND("[",CELL("filename",A1)),FIND("]",CELL("filename",A1)) - FIND("[",CELL("filename",A1)) + 1) &amp; "'x-210'!TABLE_CLIENT_1","x-210 1")</f>
        <v>x-210 1</v>
      </c>
      <c r="B17" s="162" t="s">
        <v>319</v>
      </c>
      <c r="C17" s="162">
        <v>2015</v>
      </c>
      <c r="D17" s="162" t="s">
        <v>321</v>
      </c>
      <c r="E17" s="162" t="s">
        <v>347</v>
      </c>
      <c r="F17" s="162" t="s">
        <v>323</v>
      </c>
      <c r="G17" s="162" t="s">
        <v>324</v>
      </c>
      <c r="H17" s="162">
        <v>0</v>
      </c>
      <c r="I17" s="156">
        <v>210</v>
      </c>
      <c r="J17" t="s">
        <v>348</v>
      </c>
      <c r="K17" s="73" t="s">
        <v>349</v>
      </c>
      <c r="L17" s="73"/>
      <c r="M17" s="164">
        <v>45070</v>
      </c>
      <c r="N17" s="164">
        <v>45014</v>
      </c>
      <c r="O17" s="162" t="s">
        <v>327</v>
      </c>
      <c r="P17" s="164" t="s">
        <v>328</v>
      </c>
    </row>
    <row r="18" spans="1:16" ht="25" x14ac:dyDescent="0.25">
      <c r="A18" s="163" t="str">
        <f ca="1">HYPERLINK(MID(CELL("filename",A1),FIND("[",CELL("filename",A1)),FIND("]",CELL("filename",A1)) - FIND("[",CELL("filename",A1)) + 1) &amp; "'x-211'!TABLE_CLIENT_1","x-211 1")</f>
        <v>x-211 1</v>
      </c>
      <c r="B18" s="162" t="s">
        <v>319</v>
      </c>
      <c r="C18" s="162">
        <v>2015</v>
      </c>
      <c r="D18" s="162" t="s">
        <v>321</v>
      </c>
      <c r="E18" s="162" t="s">
        <v>347</v>
      </c>
      <c r="F18" s="162" t="s">
        <v>329</v>
      </c>
      <c r="G18" s="162" t="s">
        <v>324</v>
      </c>
      <c r="H18" s="162">
        <v>0</v>
      </c>
      <c r="I18" s="156">
        <v>211</v>
      </c>
      <c r="J18" t="s">
        <v>350</v>
      </c>
      <c r="K18" s="73" t="s">
        <v>351</v>
      </c>
      <c r="L18" s="73"/>
      <c r="M18" s="164">
        <v>45070</v>
      </c>
      <c r="N18" s="164">
        <v>45014</v>
      </c>
      <c r="O18" s="162" t="s">
        <v>327</v>
      </c>
      <c r="P18" s="164" t="s">
        <v>328</v>
      </c>
    </row>
    <row r="19" spans="1:16" ht="25" x14ac:dyDescent="0.25">
      <c r="A19" s="163" t="str">
        <f ca="1">HYPERLINK(MID(CELL("filename",A1),FIND("[",CELL("filename",A1)),FIND("]",CELL("filename",A1)) - FIND("[",CELL("filename",A1)) + 1) &amp; "'x-212'!TABLE_CLIENT_1","x-212 1")</f>
        <v>x-212 1</v>
      </c>
      <c r="B19" s="162" t="s">
        <v>319</v>
      </c>
      <c r="C19" s="162">
        <v>2015</v>
      </c>
      <c r="D19" s="162" t="s">
        <v>321</v>
      </c>
      <c r="E19" s="162" t="s">
        <v>352</v>
      </c>
      <c r="F19" s="162" t="s">
        <v>323</v>
      </c>
      <c r="G19" s="162" t="s">
        <v>324</v>
      </c>
      <c r="H19" s="162">
        <v>0</v>
      </c>
      <c r="I19" s="156">
        <v>212</v>
      </c>
      <c r="J19" t="s">
        <v>353</v>
      </c>
      <c r="K19" s="73" t="s">
        <v>354</v>
      </c>
      <c r="L19" s="73"/>
      <c r="M19" s="164">
        <v>45070</v>
      </c>
      <c r="N19" s="164">
        <v>45014</v>
      </c>
      <c r="O19" s="162" t="s">
        <v>327</v>
      </c>
      <c r="P19" s="164" t="s">
        <v>328</v>
      </c>
    </row>
    <row r="20" spans="1:16" ht="25" x14ac:dyDescent="0.25">
      <c r="A20" s="163" t="str">
        <f ca="1">HYPERLINK(MID(CELL("filename",A1),FIND("[",CELL("filename",A1)),FIND("]",CELL("filename",A1)) - FIND("[",CELL("filename",A1)) + 1) &amp; "'x-213'!TABLE_CLIENT_1","x-213 1")</f>
        <v>x-213 1</v>
      </c>
      <c r="B20" s="162" t="s">
        <v>319</v>
      </c>
      <c r="C20" s="162">
        <v>2015</v>
      </c>
      <c r="D20" s="162" t="s">
        <v>321</v>
      </c>
      <c r="E20" s="162" t="s">
        <v>352</v>
      </c>
      <c r="F20" s="162" t="s">
        <v>329</v>
      </c>
      <c r="G20" s="162" t="s">
        <v>324</v>
      </c>
      <c r="H20" s="162">
        <v>0</v>
      </c>
      <c r="I20" s="156">
        <v>213</v>
      </c>
      <c r="J20" t="s">
        <v>355</v>
      </c>
      <c r="K20" s="73" t="s">
        <v>356</v>
      </c>
      <c r="L20" s="73"/>
      <c r="M20" s="164">
        <v>45070</v>
      </c>
      <c r="N20" s="164">
        <v>45014</v>
      </c>
      <c r="O20" s="162" t="s">
        <v>327</v>
      </c>
      <c r="P20" s="164" t="s">
        <v>328</v>
      </c>
    </row>
    <row r="21" spans="1:16" ht="25" x14ac:dyDescent="0.25">
      <c r="A21" s="163" t="str">
        <f ca="1">HYPERLINK(MID(CELL("filename",A1),FIND("[",CELL("filename",A1)),FIND("]",CELL("filename",A1)) - FIND("[",CELL("filename",A1)) + 1) &amp; "'x-214'!TABLE_CLIENT_1","x-214 1")</f>
        <v>x-214 1</v>
      </c>
      <c r="B21" s="162" t="s">
        <v>319</v>
      </c>
      <c r="C21" s="162">
        <v>2015</v>
      </c>
      <c r="D21" s="162" t="s">
        <v>321</v>
      </c>
      <c r="E21" s="162" t="s">
        <v>357</v>
      </c>
      <c r="F21" s="162" t="s">
        <v>323</v>
      </c>
      <c r="G21" s="162" t="s">
        <v>324</v>
      </c>
      <c r="H21" s="162">
        <v>0</v>
      </c>
      <c r="I21" s="156">
        <v>214</v>
      </c>
      <c r="J21" t="s">
        <v>358</v>
      </c>
      <c r="K21" s="73" t="s">
        <v>359</v>
      </c>
      <c r="L21" s="73"/>
      <c r="M21" s="164">
        <v>45070</v>
      </c>
      <c r="N21" s="164">
        <v>45014</v>
      </c>
      <c r="O21" s="162" t="s">
        <v>327</v>
      </c>
      <c r="P21" s="164" t="s">
        <v>328</v>
      </c>
    </row>
    <row r="22" spans="1:16" ht="25" x14ac:dyDescent="0.25">
      <c r="A22" s="163" t="str">
        <f ca="1">HYPERLINK(MID(CELL("filename",A1),FIND("[",CELL("filename",A1)),FIND("]",CELL("filename",A1)) - FIND("[",CELL("filename",A1)) + 1) &amp; "'x-215'!TABLE_CLIENT_1","x-215 1")</f>
        <v>x-215 1</v>
      </c>
      <c r="B22" s="162" t="s">
        <v>319</v>
      </c>
      <c r="C22" s="162">
        <v>2015</v>
      </c>
      <c r="D22" s="162" t="s">
        <v>321</v>
      </c>
      <c r="E22" s="162" t="s">
        <v>357</v>
      </c>
      <c r="F22" s="162" t="s">
        <v>329</v>
      </c>
      <c r="G22" s="162" t="s">
        <v>324</v>
      </c>
      <c r="H22" s="162">
        <v>0</v>
      </c>
      <c r="I22" s="156">
        <v>215</v>
      </c>
      <c r="J22" t="s">
        <v>360</v>
      </c>
      <c r="K22" s="73" t="s">
        <v>361</v>
      </c>
      <c r="L22" s="73"/>
      <c r="M22" s="164">
        <v>45070</v>
      </c>
      <c r="N22" s="164">
        <v>45014</v>
      </c>
      <c r="O22" s="162" t="s">
        <v>327</v>
      </c>
      <c r="P22" s="164" t="s">
        <v>328</v>
      </c>
    </row>
    <row r="23" spans="1:16" ht="25" x14ac:dyDescent="0.25">
      <c r="A23" s="163" t="str">
        <f ca="1">HYPERLINK(MID(CELL("filename",A1),FIND("[",CELL("filename",A1)),FIND("]",CELL("filename",A1)) - FIND("[",CELL("filename",A1)) + 1) &amp; "'x-220'!TABLE_CLIENT_1","x-220 1")</f>
        <v>x-220 1</v>
      </c>
      <c r="B23" s="162" t="s">
        <v>319</v>
      </c>
      <c r="C23" s="162">
        <v>2015</v>
      </c>
      <c r="D23" s="162" t="s">
        <v>362</v>
      </c>
      <c r="E23" s="162" t="s">
        <v>363</v>
      </c>
      <c r="F23" s="162" t="s">
        <v>323</v>
      </c>
      <c r="G23" s="162" t="s">
        <v>324</v>
      </c>
      <c r="H23" s="162">
        <v>0</v>
      </c>
      <c r="I23" s="156">
        <v>220</v>
      </c>
      <c r="J23" t="s">
        <v>364</v>
      </c>
      <c r="K23" s="73" t="s">
        <v>365</v>
      </c>
      <c r="L23" s="73"/>
      <c r="M23" s="164">
        <v>45106</v>
      </c>
      <c r="N23" s="164">
        <v>45014</v>
      </c>
      <c r="O23" s="162" t="s">
        <v>327</v>
      </c>
      <c r="P23" s="164" t="s">
        <v>328</v>
      </c>
    </row>
    <row r="24" spans="1:16" ht="25" x14ac:dyDescent="0.25">
      <c r="A24" s="163" t="str">
        <f ca="1">HYPERLINK(MID(CELL("filename",A1),FIND("[",CELL("filename",A1)),FIND("]",CELL("filename",A1)) - FIND("[",CELL("filename",A1)) + 1) &amp; "'x-221'!TABLE_CLIENT_1","x-221 1")</f>
        <v>x-221 1</v>
      </c>
      <c r="B24" s="162" t="s">
        <v>319</v>
      </c>
      <c r="C24" s="162">
        <v>2015</v>
      </c>
      <c r="D24" s="162" t="s">
        <v>362</v>
      </c>
      <c r="E24" s="162" t="s">
        <v>363</v>
      </c>
      <c r="F24" s="162" t="s">
        <v>329</v>
      </c>
      <c r="G24" s="162" t="s">
        <v>324</v>
      </c>
      <c r="H24" s="162">
        <v>0</v>
      </c>
      <c r="I24" s="156">
        <v>221</v>
      </c>
      <c r="J24" t="s">
        <v>366</v>
      </c>
      <c r="K24" s="73" t="s">
        <v>367</v>
      </c>
      <c r="L24" s="73"/>
      <c r="M24" s="164">
        <v>45106</v>
      </c>
      <c r="N24" s="164">
        <v>45014</v>
      </c>
      <c r="O24" s="162" t="s">
        <v>327</v>
      </c>
      <c r="P24" s="164" t="s">
        <v>328</v>
      </c>
    </row>
    <row r="25" spans="1:16" ht="25" x14ac:dyDescent="0.25">
      <c r="A25" s="163" t="str">
        <f ca="1">HYPERLINK(MID(CELL("filename",A1),FIND("[",CELL("filename",A1)),FIND("]",CELL("filename",A1)) - FIND("[",CELL("filename",A1)) + 1) &amp; "'x-301'!TABLE_CLIENT_1","x-301 1")</f>
        <v>x-301 1</v>
      </c>
      <c r="B25" s="162" t="s">
        <v>319</v>
      </c>
      <c r="C25" s="162" t="s">
        <v>320</v>
      </c>
      <c r="D25" s="162" t="s">
        <v>368</v>
      </c>
      <c r="E25" s="162" t="s">
        <v>369</v>
      </c>
      <c r="F25" s="162" t="s">
        <v>323</v>
      </c>
      <c r="G25" s="162" t="s">
        <v>324</v>
      </c>
      <c r="H25" s="162">
        <v>2</v>
      </c>
      <c r="I25" s="156">
        <v>301</v>
      </c>
      <c r="J25" t="s">
        <v>370</v>
      </c>
      <c r="K25" s="73" t="s">
        <v>371</v>
      </c>
      <c r="L25" s="73"/>
      <c r="M25" s="164">
        <v>45070</v>
      </c>
      <c r="N25" s="164">
        <v>45014</v>
      </c>
      <c r="O25" s="162" t="s">
        <v>327</v>
      </c>
      <c r="P25" s="164" t="s">
        <v>328</v>
      </c>
    </row>
    <row r="26" spans="1:16" ht="25" x14ac:dyDescent="0.25">
      <c r="A26" s="163" t="str">
        <f ca="1">HYPERLINK(MID(CELL("filename",A1),FIND("[",CELL("filename",A1)),FIND("]",CELL("filename",A1)) - FIND("[",CELL("filename",A1)) + 1) &amp; "'x-302'!TABLE_CLIENT_1","x-302 1")</f>
        <v>x-302 1</v>
      </c>
      <c r="B26" s="162" t="s">
        <v>319</v>
      </c>
      <c r="C26" s="162" t="s">
        <v>320</v>
      </c>
      <c r="D26" s="162" t="s">
        <v>368</v>
      </c>
      <c r="E26" s="162" t="s">
        <v>369</v>
      </c>
      <c r="F26" s="162" t="s">
        <v>329</v>
      </c>
      <c r="G26" s="162" t="s">
        <v>324</v>
      </c>
      <c r="H26" s="162">
        <v>2</v>
      </c>
      <c r="I26" s="156">
        <v>302</v>
      </c>
      <c r="J26" t="s">
        <v>372</v>
      </c>
      <c r="K26" s="73" t="s">
        <v>373</v>
      </c>
      <c r="L26" s="73"/>
      <c r="M26" s="164">
        <v>45070</v>
      </c>
      <c r="N26" s="164">
        <v>45014</v>
      </c>
      <c r="O26" s="162" t="s">
        <v>327</v>
      </c>
      <c r="P26" s="164" t="s">
        <v>328</v>
      </c>
    </row>
    <row r="27" spans="1:16" ht="25" x14ac:dyDescent="0.25">
      <c r="A27" s="163" t="str">
        <f ca="1">HYPERLINK(MID(CELL("filename",A1),FIND("[",CELL("filename",A1)),FIND("]",CELL("filename",A1)) - FIND("[",CELL("filename",A1)) + 1) &amp; "'x-303'!TABLE_CLIENT_1","x-303 1")</f>
        <v>x-303 1</v>
      </c>
      <c r="B27" s="162" t="s">
        <v>319</v>
      </c>
      <c r="C27" s="162" t="s">
        <v>320</v>
      </c>
      <c r="D27" s="162" t="s">
        <v>368</v>
      </c>
      <c r="E27" s="162" t="s">
        <v>374</v>
      </c>
      <c r="F27" s="162" t="s">
        <v>323</v>
      </c>
      <c r="G27" s="162" t="s">
        <v>324</v>
      </c>
      <c r="H27" s="162">
        <v>2</v>
      </c>
      <c r="I27" s="156">
        <v>303</v>
      </c>
      <c r="J27" t="s">
        <v>375</v>
      </c>
      <c r="K27" s="73" t="s">
        <v>376</v>
      </c>
      <c r="L27" s="73"/>
      <c r="M27" s="164">
        <v>45070</v>
      </c>
      <c r="N27" s="164">
        <v>45014</v>
      </c>
      <c r="O27" s="162" t="s">
        <v>327</v>
      </c>
      <c r="P27" s="164" t="s">
        <v>328</v>
      </c>
    </row>
    <row r="28" spans="1:16" ht="25" x14ac:dyDescent="0.25">
      <c r="A28" s="163" t="str">
        <f ca="1">HYPERLINK(MID(CELL("filename",A1),FIND("[",CELL("filename",A1)),FIND("]",CELL("filename",A1)) - FIND("[",CELL("filename",A1)) + 1) &amp; "'x-304'!TABLE_CLIENT_1","x-304 1")</f>
        <v>x-304 1</v>
      </c>
      <c r="B28" s="162" t="s">
        <v>319</v>
      </c>
      <c r="C28" s="162" t="s">
        <v>320</v>
      </c>
      <c r="D28" s="162" t="s">
        <v>368</v>
      </c>
      <c r="E28" s="162" t="s">
        <v>374</v>
      </c>
      <c r="F28" s="162" t="s">
        <v>329</v>
      </c>
      <c r="G28" s="162" t="s">
        <v>324</v>
      </c>
      <c r="H28" s="162">
        <v>2</v>
      </c>
      <c r="I28" s="156">
        <v>304</v>
      </c>
      <c r="J28" t="s">
        <v>377</v>
      </c>
      <c r="K28" s="73" t="s">
        <v>378</v>
      </c>
      <c r="L28" s="73"/>
      <c r="M28" s="164">
        <v>45070</v>
      </c>
      <c r="N28" s="164">
        <v>45014</v>
      </c>
      <c r="O28" s="162" t="s">
        <v>327</v>
      </c>
      <c r="P28" s="164" t="s">
        <v>328</v>
      </c>
    </row>
    <row r="29" spans="1:16" ht="25" x14ac:dyDescent="0.25">
      <c r="A29" s="163" t="str">
        <f ca="1">HYPERLINK(MID(CELL("filename",A1),FIND("[",CELL("filename",A1)),FIND("]",CELL("filename",A1)) - FIND("[",CELL("filename",A1)) + 1) &amp; "'x-305'!TABLE_CLIENT_1","x-305 1")</f>
        <v>x-305 1</v>
      </c>
      <c r="B29" s="162" t="s">
        <v>319</v>
      </c>
      <c r="C29" s="162" t="s">
        <v>332</v>
      </c>
      <c r="D29" s="162" t="s">
        <v>368</v>
      </c>
      <c r="E29" s="162" t="s">
        <v>369</v>
      </c>
      <c r="F29" s="162" t="s">
        <v>323</v>
      </c>
      <c r="G29" s="162" t="s">
        <v>324</v>
      </c>
      <c r="H29" s="162">
        <v>1</v>
      </c>
      <c r="I29" s="156">
        <v>305</v>
      </c>
      <c r="J29" t="s">
        <v>379</v>
      </c>
      <c r="K29" s="73" t="s">
        <v>371</v>
      </c>
      <c r="L29" s="73"/>
      <c r="M29" s="164">
        <v>45070</v>
      </c>
      <c r="N29" s="164">
        <v>45014</v>
      </c>
      <c r="O29" s="162" t="s">
        <v>327</v>
      </c>
      <c r="P29" s="164" t="s">
        <v>328</v>
      </c>
    </row>
    <row r="30" spans="1:16" ht="25" x14ac:dyDescent="0.25">
      <c r="A30" s="163" t="str">
        <f ca="1">HYPERLINK(MID(CELL("filename",A1),FIND("[",CELL("filename",A1)),FIND("]",CELL("filename",A1)) - FIND("[",CELL("filename",A1)) + 1) &amp; "'x-306'!TABLE_CLIENT_1","x-306 1")</f>
        <v>x-306 1</v>
      </c>
      <c r="B30" s="162" t="s">
        <v>319</v>
      </c>
      <c r="C30" s="162" t="s">
        <v>332</v>
      </c>
      <c r="D30" s="162" t="s">
        <v>368</v>
      </c>
      <c r="E30" s="162" t="s">
        <v>369</v>
      </c>
      <c r="F30" s="162" t="s">
        <v>329</v>
      </c>
      <c r="G30" s="162" t="s">
        <v>324</v>
      </c>
      <c r="H30" s="162">
        <v>1</v>
      </c>
      <c r="I30" s="156">
        <v>306</v>
      </c>
      <c r="J30" t="s">
        <v>380</v>
      </c>
      <c r="K30" s="73" t="s">
        <v>373</v>
      </c>
      <c r="L30" s="73"/>
      <c r="M30" s="164">
        <v>45070</v>
      </c>
      <c r="N30" s="164">
        <v>45014</v>
      </c>
      <c r="O30" s="162" t="s">
        <v>327</v>
      </c>
      <c r="P30" s="164" t="s">
        <v>328</v>
      </c>
    </row>
    <row r="31" spans="1:16" ht="25" x14ac:dyDescent="0.25">
      <c r="A31" s="163" t="str">
        <f ca="1">HYPERLINK(MID(CELL("filename",A1),FIND("[",CELL("filename",A1)),FIND("]",CELL("filename",A1)) - FIND("[",CELL("filename",A1)) + 1) &amp; "'x-307'!TABLE_CLIENT_1","x-307 1")</f>
        <v>x-307 1</v>
      </c>
      <c r="B31" s="162" t="s">
        <v>319</v>
      </c>
      <c r="C31" s="162" t="s">
        <v>332</v>
      </c>
      <c r="D31" s="162" t="s">
        <v>368</v>
      </c>
      <c r="E31" s="162" t="s">
        <v>374</v>
      </c>
      <c r="F31" s="162" t="s">
        <v>323</v>
      </c>
      <c r="G31" s="162" t="s">
        <v>324</v>
      </c>
      <c r="H31" s="162">
        <v>1</v>
      </c>
      <c r="I31" s="156">
        <v>307</v>
      </c>
      <c r="J31" t="s">
        <v>381</v>
      </c>
      <c r="K31" s="73" t="s">
        <v>376</v>
      </c>
      <c r="L31" s="73"/>
      <c r="M31" s="164">
        <v>45070</v>
      </c>
      <c r="N31" s="164">
        <v>45014</v>
      </c>
      <c r="O31" s="162" t="s">
        <v>327</v>
      </c>
      <c r="P31" s="164" t="s">
        <v>328</v>
      </c>
    </row>
    <row r="32" spans="1:16" ht="25" x14ac:dyDescent="0.25">
      <c r="A32" s="163" t="str">
        <f ca="1">HYPERLINK(MID(CELL("filename",A1),FIND("[",CELL("filename",A1)),FIND("]",CELL("filename",A1)) - FIND("[",CELL("filename",A1)) + 1) &amp; "'x-308'!TABLE_CLIENT_1","x-308 1")</f>
        <v>x-308 1</v>
      </c>
      <c r="B32" s="162" t="s">
        <v>319</v>
      </c>
      <c r="C32" s="162" t="s">
        <v>332</v>
      </c>
      <c r="D32" s="162" t="s">
        <v>368</v>
      </c>
      <c r="E32" s="162" t="s">
        <v>374</v>
      </c>
      <c r="F32" s="162" t="s">
        <v>329</v>
      </c>
      <c r="G32" s="162" t="s">
        <v>324</v>
      </c>
      <c r="H32" s="162">
        <v>1</v>
      </c>
      <c r="I32" s="156">
        <v>308</v>
      </c>
      <c r="J32" t="s">
        <v>382</v>
      </c>
      <c r="K32" s="73" t="s">
        <v>378</v>
      </c>
      <c r="L32" s="73"/>
      <c r="M32" s="164">
        <v>45070</v>
      </c>
      <c r="N32" s="164">
        <v>45014</v>
      </c>
      <c r="O32" s="162" t="s">
        <v>327</v>
      </c>
      <c r="P32" s="164" t="s">
        <v>328</v>
      </c>
    </row>
    <row r="33" spans="1:16" ht="25" x14ac:dyDescent="0.25">
      <c r="A33" s="163" t="str">
        <f ca="1">HYPERLINK(MID(CELL("filename",A1),FIND("[",CELL("filename",A1)),FIND("]",CELL("filename",A1)) - FIND("[",CELL("filename",A1)) + 1) &amp; "'x-309'!TABLE_CLIENT_1","x-309 1")</f>
        <v>x-309 1</v>
      </c>
      <c r="B33" s="162" t="s">
        <v>319</v>
      </c>
      <c r="C33" s="162">
        <v>2015</v>
      </c>
      <c r="D33" s="162" t="s">
        <v>368</v>
      </c>
      <c r="E33" s="162" t="s">
        <v>369</v>
      </c>
      <c r="F33" s="162" t="s">
        <v>323</v>
      </c>
      <c r="G33" s="162" t="s">
        <v>324</v>
      </c>
      <c r="H33" s="162">
        <v>0</v>
      </c>
      <c r="I33" s="156">
        <v>309</v>
      </c>
      <c r="J33" t="s">
        <v>383</v>
      </c>
      <c r="K33" s="73" t="s">
        <v>326</v>
      </c>
      <c r="L33" s="73"/>
      <c r="M33" s="164">
        <v>45070</v>
      </c>
      <c r="N33" s="164">
        <v>45014</v>
      </c>
      <c r="O33" s="162" t="s">
        <v>327</v>
      </c>
      <c r="P33" s="164" t="s">
        <v>328</v>
      </c>
    </row>
    <row r="34" spans="1:16" ht="25" x14ac:dyDescent="0.25">
      <c r="A34" s="163" t="str">
        <f ca="1">HYPERLINK(MID(CELL("filename",A1),FIND("[",CELL("filename",A1)),FIND("]",CELL("filename",A1)) - FIND("[",CELL("filename",A1)) + 1) &amp; "'x-310'!TABLE_CLIENT_1","x-310 1")</f>
        <v>x-310 1</v>
      </c>
      <c r="B34" s="162" t="s">
        <v>319</v>
      </c>
      <c r="C34" s="162">
        <v>2015</v>
      </c>
      <c r="D34" s="162" t="s">
        <v>368</v>
      </c>
      <c r="E34" s="162" t="s">
        <v>369</v>
      </c>
      <c r="F34" s="162" t="s">
        <v>329</v>
      </c>
      <c r="G34" s="162" t="s">
        <v>324</v>
      </c>
      <c r="H34" s="162">
        <v>0</v>
      </c>
      <c r="I34" s="156">
        <v>310</v>
      </c>
      <c r="J34" t="s">
        <v>384</v>
      </c>
      <c r="K34" s="73" t="s">
        <v>331</v>
      </c>
      <c r="L34" s="73"/>
      <c r="M34" s="164">
        <v>45070</v>
      </c>
      <c r="N34" s="164">
        <v>45014</v>
      </c>
      <c r="O34" s="162" t="s">
        <v>327</v>
      </c>
      <c r="P34" s="164" t="s">
        <v>328</v>
      </c>
    </row>
    <row r="35" spans="1:16" ht="25" x14ac:dyDescent="0.25">
      <c r="A35" s="163" t="str">
        <f ca="1">HYPERLINK(MID(CELL("filename",A1),FIND("[",CELL("filename",A1)),FIND("]",CELL("filename",A1)) - FIND("[",CELL("filename",A1)) + 1) &amp; "'x-311'!TABLE_CLIENT_1","x-311 1")</f>
        <v>x-311 1</v>
      </c>
      <c r="B35" s="162" t="s">
        <v>319</v>
      </c>
      <c r="C35" s="162">
        <v>2015</v>
      </c>
      <c r="D35" s="162" t="s">
        <v>368</v>
      </c>
      <c r="E35" s="162" t="s">
        <v>374</v>
      </c>
      <c r="F35" s="162" t="s">
        <v>323</v>
      </c>
      <c r="G35" s="162" t="s">
        <v>324</v>
      </c>
      <c r="H35" s="162">
        <v>0</v>
      </c>
      <c r="I35" s="156">
        <v>311</v>
      </c>
      <c r="J35" t="s">
        <v>385</v>
      </c>
      <c r="K35" s="73" t="s">
        <v>340</v>
      </c>
      <c r="L35" s="73"/>
      <c r="M35" s="164">
        <v>45070</v>
      </c>
      <c r="N35" s="164">
        <v>45014</v>
      </c>
      <c r="O35" s="162" t="s">
        <v>327</v>
      </c>
      <c r="P35" s="164" t="s">
        <v>328</v>
      </c>
    </row>
    <row r="36" spans="1:16" ht="25" x14ac:dyDescent="0.25">
      <c r="A36" s="163" t="str">
        <f ca="1">HYPERLINK(MID(CELL("filename",A1),FIND("[",CELL("filename",A1)),FIND("]",CELL("filename",A1)) - FIND("[",CELL("filename",A1)) + 1) &amp; "'x-312'!TABLE_CLIENT_1","x-312 1")</f>
        <v>x-312 1</v>
      </c>
      <c r="B36" s="162" t="s">
        <v>319</v>
      </c>
      <c r="C36" s="162">
        <v>2015</v>
      </c>
      <c r="D36" s="162" t="s">
        <v>368</v>
      </c>
      <c r="E36" s="162" t="s">
        <v>374</v>
      </c>
      <c r="F36" s="162" t="s">
        <v>329</v>
      </c>
      <c r="G36" s="162" t="s">
        <v>324</v>
      </c>
      <c r="H36" s="162">
        <v>0</v>
      </c>
      <c r="I36" s="156">
        <v>312</v>
      </c>
      <c r="J36" t="s">
        <v>386</v>
      </c>
      <c r="K36" s="73" t="s">
        <v>342</v>
      </c>
      <c r="L36" s="73"/>
      <c r="M36" s="164">
        <v>45070</v>
      </c>
      <c r="N36" s="164">
        <v>45014</v>
      </c>
      <c r="O36" s="162" t="s">
        <v>327</v>
      </c>
      <c r="P36" s="164" t="s">
        <v>328</v>
      </c>
    </row>
    <row r="37" spans="1:16" ht="25" x14ac:dyDescent="0.25">
      <c r="A37" s="163" t="str">
        <f ca="1">HYPERLINK(MID(CELL("filename",A1),FIND("[",CELL("filename",A1)),FIND("]",CELL("filename",A1)) - FIND("[",CELL("filename",A1)) + 1) &amp; "'x-313'!TABLE_CLIENT_1","x-313 1")</f>
        <v>x-313 1</v>
      </c>
      <c r="B37" s="162" t="s">
        <v>319</v>
      </c>
      <c r="C37" s="162" t="s">
        <v>320</v>
      </c>
      <c r="D37" s="162" t="s">
        <v>387</v>
      </c>
      <c r="E37" s="162" t="s">
        <v>388</v>
      </c>
      <c r="F37" s="162" t="s">
        <v>389</v>
      </c>
      <c r="G37" s="162" t="s">
        <v>324</v>
      </c>
      <c r="H37" s="162">
        <v>2</v>
      </c>
      <c r="I37" s="156">
        <v>313</v>
      </c>
      <c r="J37" t="s">
        <v>390</v>
      </c>
      <c r="K37" s="73" t="s">
        <v>391</v>
      </c>
      <c r="L37" s="73"/>
      <c r="M37" s="164">
        <v>45070</v>
      </c>
      <c r="N37" s="164">
        <v>45014</v>
      </c>
      <c r="O37" s="162" t="s">
        <v>327</v>
      </c>
      <c r="P37" s="164" t="s">
        <v>328</v>
      </c>
    </row>
    <row r="38" spans="1:16" ht="25" x14ac:dyDescent="0.25">
      <c r="A38" s="163" t="str">
        <f ca="1">HYPERLINK(MID(CELL("filename",A1),FIND("[",CELL("filename",A1)),FIND("]",CELL("filename",A1)) - FIND("[",CELL("filename",A1)) + 1) &amp; "'x-314'!TABLE_CLIENT_1","x-314 1")</f>
        <v>x-314 1</v>
      </c>
      <c r="B38" s="162" t="s">
        <v>319</v>
      </c>
      <c r="C38" s="162" t="s">
        <v>332</v>
      </c>
      <c r="D38" s="162" t="s">
        <v>387</v>
      </c>
      <c r="E38" s="162" t="s">
        <v>388</v>
      </c>
      <c r="F38" s="162" t="s">
        <v>389</v>
      </c>
      <c r="G38" s="162" t="s">
        <v>324</v>
      </c>
      <c r="H38" s="162">
        <v>1</v>
      </c>
      <c r="I38" s="156">
        <v>314</v>
      </c>
      <c r="J38" t="s">
        <v>392</v>
      </c>
      <c r="K38" s="73" t="s">
        <v>391</v>
      </c>
      <c r="L38" s="73"/>
      <c r="M38" s="164">
        <v>45070</v>
      </c>
      <c r="N38" s="164">
        <v>45014</v>
      </c>
      <c r="O38" s="162" t="s">
        <v>327</v>
      </c>
      <c r="P38" s="164" t="s">
        <v>328</v>
      </c>
    </row>
    <row r="39" spans="1:16" ht="25" x14ac:dyDescent="0.25">
      <c r="A39" s="163" t="str">
        <f ca="1">HYPERLINK(MID(CELL("filename",A1),FIND("[",CELL("filename",A1)),FIND("]",CELL("filename",A1)) - FIND("[",CELL("filename",A1)) + 1) &amp; "'x-315'!TABLE_CLIENT_1","x-315 1")</f>
        <v>x-315 1</v>
      </c>
      <c r="B39" s="162" t="s">
        <v>319</v>
      </c>
      <c r="C39" s="162" t="s">
        <v>332</v>
      </c>
      <c r="D39" s="162" t="s">
        <v>387</v>
      </c>
      <c r="E39" s="162" t="s">
        <v>393</v>
      </c>
      <c r="F39" s="162" t="s">
        <v>389</v>
      </c>
      <c r="G39" s="162" t="s">
        <v>324</v>
      </c>
      <c r="H39" s="162">
        <v>1</v>
      </c>
      <c r="I39" s="156">
        <v>315</v>
      </c>
      <c r="J39" t="s">
        <v>394</v>
      </c>
      <c r="K39" s="73" t="s">
        <v>395</v>
      </c>
      <c r="L39" s="73"/>
      <c r="M39" s="164">
        <v>45070</v>
      </c>
      <c r="N39" s="164">
        <v>45014</v>
      </c>
      <c r="O39" s="162" t="s">
        <v>327</v>
      </c>
      <c r="P39" s="164" t="s">
        <v>328</v>
      </c>
    </row>
    <row r="40" spans="1:16" ht="25" x14ac:dyDescent="0.25">
      <c r="A40" s="163" t="str">
        <f ca="1">HYPERLINK(MID(CELL("filename",A1),FIND("[",CELL("filename",A1)),FIND("]",CELL("filename",A1)) - FIND("[",CELL("filename",A1)) + 1) &amp; "'x-316'!TABLE_CLIENT_1","x-316 1")</f>
        <v>x-316 1</v>
      </c>
      <c r="B40" s="162" t="s">
        <v>319</v>
      </c>
      <c r="C40" s="162">
        <v>2015</v>
      </c>
      <c r="D40" s="162" t="s">
        <v>387</v>
      </c>
      <c r="E40" s="162" t="s">
        <v>396</v>
      </c>
      <c r="F40" s="162" t="s">
        <v>329</v>
      </c>
      <c r="G40" s="162" t="s">
        <v>324</v>
      </c>
      <c r="H40" s="162">
        <v>0</v>
      </c>
      <c r="I40" s="156">
        <v>316</v>
      </c>
      <c r="J40" t="s">
        <v>397</v>
      </c>
      <c r="K40" s="73" t="s">
        <v>398</v>
      </c>
      <c r="L40" s="73"/>
      <c r="M40" s="164">
        <v>45070</v>
      </c>
      <c r="N40" s="164">
        <v>45014</v>
      </c>
      <c r="O40" s="162" t="s">
        <v>327</v>
      </c>
      <c r="P40" s="164" t="s">
        <v>328</v>
      </c>
    </row>
    <row r="41" spans="1:16" ht="25" x14ac:dyDescent="0.25">
      <c r="A41" s="163" t="str">
        <f ca="1">HYPERLINK(MID(CELL("filename",A1),FIND("[",CELL("filename",A1)),FIND("]",CELL("filename",A1)) - FIND("[",CELL("filename",A1)) + 1) &amp; "'x-317'!TABLE_CLIENT_1","x-317 1")</f>
        <v>x-317 1</v>
      </c>
      <c r="B41" s="162" t="s">
        <v>319</v>
      </c>
      <c r="C41" s="162">
        <v>2015</v>
      </c>
      <c r="D41" s="162" t="s">
        <v>387</v>
      </c>
      <c r="E41" s="162" t="s">
        <v>399</v>
      </c>
      <c r="F41" s="162" t="s">
        <v>323</v>
      </c>
      <c r="G41" s="162" t="s">
        <v>324</v>
      </c>
      <c r="H41" s="162">
        <v>0</v>
      </c>
      <c r="I41" s="156">
        <v>317</v>
      </c>
      <c r="J41" t="s">
        <v>400</v>
      </c>
      <c r="K41" s="73" t="s">
        <v>401</v>
      </c>
      <c r="L41" s="73"/>
      <c r="M41" s="164">
        <v>45070</v>
      </c>
      <c r="N41" s="164">
        <v>45014</v>
      </c>
      <c r="O41" s="162" t="s">
        <v>327</v>
      </c>
      <c r="P41" s="164" t="s">
        <v>328</v>
      </c>
    </row>
    <row r="42" spans="1:16" ht="25" x14ac:dyDescent="0.25">
      <c r="A42" s="163" t="str">
        <f ca="1">HYPERLINK(MID(CELL("filename",A1),FIND("[",CELL("filename",A1)),FIND("]",CELL("filename",A1)) - FIND("[",CELL("filename",A1)) + 1) &amp; "'x-318'!TABLE_CLIENT_1","x-318 1")</f>
        <v>x-318 1</v>
      </c>
      <c r="B42" s="162" t="s">
        <v>319</v>
      </c>
      <c r="C42" s="162" t="s">
        <v>320</v>
      </c>
      <c r="D42" s="162" t="s">
        <v>402</v>
      </c>
      <c r="E42" s="162" t="s">
        <v>403</v>
      </c>
      <c r="F42" s="162" t="s">
        <v>404</v>
      </c>
      <c r="G42" s="162" t="s">
        <v>405</v>
      </c>
      <c r="H42" s="162">
        <v>2</v>
      </c>
      <c r="I42" s="156">
        <v>318</v>
      </c>
      <c r="J42" t="s">
        <v>406</v>
      </c>
      <c r="K42" s="73" t="s">
        <v>407</v>
      </c>
      <c r="L42" s="73"/>
      <c r="M42" s="164">
        <v>45070</v>
      </c>
      <c r="N42" s="164">
        <v>45014</v>
      </c>
      <c r="O42" s="162" t="s">
        <v>327</v>
      </c>
      <c r="P42" s="164" t="s">
        <v>328</v>
      </c>
    </row>
    <row r="43" spans="1:16" ht="25" x14ac:dyDescent="0.25">
      <c r="A43" s="163" t="str">
        <f ca="1">HYPERLINK(MID(CELL("filename",A1),FIND("[",CELL("filename",A1)),FIND("]",CELL("filename",A1)) - FIND("[",CELL("filename",A1)) + 1) &amp; "'x-319'!TABLE_CLIENT_1","x-319 1")</f>
        <v>x-319 1</v>
      </c>
      <c r="B43" s="162" t="s">
        <v>319</v>
      </c>
      <c r="C43" s="162" t="s">
        <v>320</v>
      </c>
      <c r="D43" s="162" t="s">
        <v>402</v>
      </c>
      <c r="E43" s="162" t="s">
        <v>408</v>
      </c>
      <c r="F43" s="162" t="s">
        <v>404</v>
      </c>
      <c r="G43" s="162" t="s">
        <v>405</v>
      </c>
      <c r="H43" s="162">
        <v>2</v>
      </c>
      <c r="I43" s="156">
        <v>319</v>
      </c>
      <c r="J43" t="s">
        <v>409</v>
      </c>
      <c r="K43" s="73" t="s">
        <v>410</v>
      </c>
      <c r="L43" s="73"/>
      <c r="M43" s="164">
        <v>45070</v>
      </c>
      <c r="N43" s="164">
        <v>45014</v>
      </c>
      <c r="O43" s="162" t="s">
        <v>327</v>
      </c>
      <c r="P43" s="164" t="s">
        <v>328</v>
      </c>
    </row>
    <row r="44" spans="1:16" ht="25" x14ac:dyDescent="0.25">
      <c r="A44" s="163" t="str">
        <f ca="1">HYPERLINK(MID(CELL("filename",A1),FIND("[",CELL("filename",A1)),FIND("]",CELL("filename",A1)) - FIND("[",CELL("filename",A1)) + 1) &amp; "'x-320'!TABLE_CLIENT_1","x-320 1")</f>
        <v>x-320 1</v>
      </c>
      <c r="B44" s="162" t="s">
        <v>319</v>
      </c>
      <c r="C44" s="162" t="s">
        <v>320</v>
      </c>
      <c r="D44" s="162" t="s">
        <v>402</v>
      </c>
      <c r="E44" s="162" t="s">
        <v>411</v>
      </c>
      <c r="F44" s="162" t="s">
        <v>404</v>
      </c>
      <c r="G44" s="162" t="s">
        <v>405</v>
      </c>
      <c r="H44" s="162">
        <v>2</v>
      </c>
      <c r="I44" s="156">
        <v>320</v>
      </c>
      <c r="J44" t="s">
        <v>412</v>
      </c>
      <c r="K44" s="73" t="s">
        <v>413</v>
      </c>
      <c r="L44" s="73"/>
      <c r="M44" s="164">
        <v>45070</v>
      </c>
      <c r="N44" s="164">
        <v>45014</v>
      </c>
      <c r="O44" s="162" t="s">
        <v>327</v>
      </c>
      <c r="P44" s="164" t="s">
        <v>328</v>
      </c>
    </row>
    <row r="45" spans="1:16" ht="25" x14ac:dyDescent="0.25">
      <c r="A45" s="163" t="str">
        <f ca="1">HYPERLINK(MID(CELL("filename",A1),FIND("[",CELL("filename",A1)),FIND("]",CELL("filename",A1)) - FIND("[",CELL("filename",A1)) + 1) &amp; "'x-321'!TABLE_CLIENT_1","x-321 1")</f>
        <v>x-321 1</v>
      </c>
      <c r="B45" s="162" t="s">
        <v>319</v>
      </c>
      <c r="C45" s="162" t="s">
        <v>332</v>
      </c>
      <c r="D45" s="162" t="s">
        <v>402</v>
      </c>
      <c r="E45" s="162" t="s">
        <v>414</v>
      </c>
      <c r="F45" s="162" t="s">
        <v>404</v>
      </c>
      <c r="G45" s="162" t="s">
        <v>415</v>
      </c>
      <c r="H45" s="162">
        <v>1</v>
      </c>
      <c r="I45" s="156">
        <v>321</v>
      </c>
      <c r="J45" t="s">
        <v>416</v>
      </c>
      <c r="K45" s="73" t="s">
        <v>407</v>
      </c>
      <c r="L45" s="73"/>
      <c r="M45" s="164">
        <v>45070</v>
      </c>
      <c r="N45" s="164">
        <v>45014</v>
      </c>
      <c r="O45" s="162" t="s">
        <v>327</v>
      </c>
      <c r="P45" s="164" t="s">
        <v>328</v>
      </c>
    </row>
    <row r="46" spans="1:16" ht="25" x14ac:dyDescent="0.25">
      <c r="A46" s="163" t="str">
        <f ca="1">HYPERLINK(MID(CELL("filename",A1),FIND("[",CELL("filename",A1)),FIND("]",CELL("filename",A1)) - FIND("[",CELL("filename",A1)) + 1) &amp; "'x-322'!TABLE_CLIENT_1","x-322 1")</f>
        <v>x-322 1</v>
      </c>
      <c r="B46" s="162" t="s">
        <v>319</v>
      </c>
      <c r="C46" s="162" t="s">
        <v>332</v>
      </c>
      <c r="D46" s="162" t="s">
        <v>402</v>
      </c>
      <c r="E46" s="162" t="s">
        <v>417</v>
      </c>
      <c r="F46" s="162" t="s">
        <v>404</v>
      </c>
      <c r="G46" s="162" t="s">
        <v>415</v>
      </c>
      <c r="H46" s="162">
        <v>1</v>
      </c>
      <c r="I46" s="156">
        <v>322</v>
      </c>
      <c r="J46" t="s">
        <v>418</v>
      </c>
      <c r="K46" s="73" t="s">
        <v>419</v>
      </c>
      <c r="L46" s="73"/>
      <c r="M46" s="164">
        <v>45070</v>
      </c>
      <c r="N46" s="164">
        <v>45014</v>
      </c>
      <c r="O46" s="162" t="s">
        <v>327</v>
      </c>
      <c r="P46" s="164" t="s">
        <v>328</v>
      </c>
    </row>
    <row r="47" spans="1:16" ht="25" x14ac:dyDescent="0.25">
      <c r="A47" s="163" t="str">
        <f ca="1">HYPERLINK(MID(CELL("filename",A1),FIND("[",CELL("filename",A1)),FIND("]",CELL("filename",A1)) - FIND("[",CELL("filename",A1)) + 1) &amp; "'x-323'!TABLE_CLIENT_1","x-323 1")</f>
        <v>x-323 1</v>
      </c>
      <c r="B47" s="162" t="s">
        <v>319</v>
      </c>
      <c r="C47" s="162" t="s">
        <v>332</v>
      </c>
      <c r="D47" s="162" t="s">
        <v>402</v>
      </c>
      <c r="E47" s="162" t="s">
        <v>420</v>
      </c>
      <c r="F47" s="162" t="s">
        <v>404</v>
      </c>
      <c r="G47" s="162" t="s">
        <v>415</v>
      </c>
      <c r="H47" s="162">
        <v>1</v>
      </c>
      <c r="I47" s="156">
        <v>323</v>
      </c>
      <c r="J47" t="s">
        <v>421</v>
      </c>
      <c r="K47" s="73" t="s">
        <v>410</v>
      </c>
      <c r="L47" s="73"/>
      <c r="M47" s="164">
        <v>45070</v>
      </c>
      <c r="N47" s="164">
        <v>45014</v>
      </c>
      <c r="O47" s="162" t="s">
        <v>327</v>
      </c>
      <c r="P47" s="164" t="s">
        <v>328</v>
      </c>
    </row>
    <row r="48" spans="1:16" ht="25" x14ac:dyDescent="0.25">
      <c r="A48" s="163" t="str">
        <f ca="1">HYPERLINK(MID(CELL("filename",A1),FIND("[",CELL("filename",A1)),FIND("]",CELL("filename",A1)) - FIND("[",CELL("filename",A1)) + 1) &amp; "'x-324'!TABLE_CLIENT_1","x-324 1")</f>
        <v>x-324 1</v>
      </c>
      <c r="B48" s="162" t="s">
        <v>319</v>
      </c>
      <c r="C48" s="162" t="s">
        <v>332</v>
      </c>
      <c r="D48" s="162" t="s">
        <v>402</v>
      </c>
      <c r="E48" s="162" t="s">
        <v>422</v>
      </c>
      <c r="F48" s="162" t="s">
        <v>404</v>
      </c>
      <c r="G48" s="162" t="s">
        <v>415</v>
      </c>
      <c r="H48" s="162">
        <v>1</v>
      </c>
      <c r="I48" s="156">
        <v>324</v>
      </c>
      <c r="J48" t="s">
        <v>423</v>
      </c>
      <c r="K48" s="73" t="s">
        <v>424</v>
      </c>
      <c r="L48" s="73"/>
      <c r="M48" s="164">
        <v>45070</v>
      </c>
      <c r="N48" s="164">
        <v>45014</v>
      </c>
      <c r="O48" s="162" t="s">
        <v>327</v>
      </c>
      <c r="P48" s="164" t="s">
        <v>328</v>
      </c>
    </row>
    <row r="49" spans="1:16" ht="25" x14ac:dyDescent="0.25">
      <c r="A49" s="163" t="str">
        <f ca="1">HYPERLINK(MID(CELL("filename",A1),FIND("[",CELL("filename",A1)),FIND("]",CELL("filename",A1)) - FIND("[",CELL("filename",A1)) + 1) &amp; "'x-325'!TABLE_CLIENT_1","x-325 1")</f>
        <v>x-325 1</v>
      </c>
      <c r="B49" s="162" t="s">
        <v>319</v>
      </c>
      <c r="C49" s="162" t="s">
        <v>332</v>
      </c>
      <c r="D49" s="162" t="s">
        <v>402</v>
      </c>
      <c r="E49" s="162" t="s">
        <v>425</v>
      </c>
      <c r="F49" s="162" t="s">
        <v>404</v>
      </c>
      <c r="G49" s="162" t="s">
        <v>415</v>
      </c>
      <c r="H49" s="162">
        <v>1</v>
      </c>
      <c r="I49" s="156">
        <v>325</v>
      </c>
      <c r="J49" t="s">
        <v>426</v>
      </c>
      <c r="K49" s="73" t="s">
        <v>413</v>
      </c>
      <c r="L49" s="73"/>
      <c r="M49" s="164">
        <v>45070</v>
      </c>
      <c r="N49" s="164">
        <v>45014</v>
      </c>
      <c r="O49" s="162" t="s">
        <v>327</v>
      </c>
      <c r="P49" s="164" t="s">
        <v>328</v>
      </c>
    </row>
    <row r="50" spans="1:16" ht="25" x14ac:dyDescent="0.25">
      <c r="A50" s="163" t="str">
        <f ca="1">HYPERLINK(MID(CELL("filename",A1),FIND("[",CELL("filename",A1)),FIND("]",CELL("filename",A1)) - FIND("[",CELL("filename",A1)) + 1) &amp; "'x-326'!TABLE_CLIENT_1","x-326 1")</f>
        <v>x-326 1</v>
      </c>
      <c r="B50" s="162" t="s">
        <v>319</v>
      </c>
      <c r="C50" s="162" t="s">
        <v>332</v>
      </c>
      <c r="D50" s="162" t="s">
        <v>402</v>
      </c>
      <c r="E50" s="162" t="s">
        <v>427</v>
      </c>
      <c r="F50" s="162" t="s">
        <v>404</v>
      </c>
      <c r="G50" s="162" t="s">
        <v>415</v>
      </c>
      <c r="H50" s="162">
        <v>1</v>
      </c>
      <c r="I50" s="156">
        <v>326</v>
      </c>
      <c r="J50" t="s">
        <v>428</v>
      </c>
      <c r="K50" s="73" t="s">
        <v>429</v>
      </c>
      <c r="L50" s="73"/>
      <c r="M50" s="164">
        <v>45070</v>
      </c>
      <c r="N50" s="164">
        <v>45014</v>
      </c>
      <c r="O50" s="162" t="s">
        <v>327</v>
      </c>
      <c r="P50" s="164" t="s">
        <v>328</v>
      </c>
    </row>
    <row r="51" spans="1:16" ht="25" x14ac:dyDescent="0.25">
      <c r="A51" s="163" t="str">
        <f ca="1">HYPERLINK(MID(CELL("filename",A1),FIND("[",CELL("filename",A1)),FIND("]",CELL("filename",A1)) - FIND("[",CELL("filename",A1)) + 1) &amp; "'x-327'!TABLE_CLIENT_1","x-327 1")</f>
        <v>x-327 1</v>
      </c>
      <c r="B51" s="162" t="s">
        <v>319</v>
      </c>
      <c r="C51" s="162">
        <v>2015</v>
      </c>
      <c r="D51" s="162" t="s">
        <v>402</v>
      </c>
      <c r="E51" s="162" t="s">
        <v>430</v>
      </c>
      <c r="F51" s="162" t="s">
        <v>404</v>
      </c>
      <c r="G51" s="162" t="s">
        <v>431</v>
      </c>
      <c r="H51" s="162">
        <v>0</v>
      </c>
      <c r="I51" s="156">
        <v>327</v>
      </c>
      <c r="J51" t="s">
        <v>432</v>
      </c>
      <c r="K51" s="73" t="s">
        <v>433</v>
      </c>
      <c r="L51" s="73"/>
      <c r="M51" s="164">
        <v>45070</v>
      </c>
      <c r="N51" s="164">
        <v>45014</v>
      </c>
      <c r="O51" s="162" t="s">
        <v>327</v>
      </c>
      <c r="P51" s="164" t="s">
        <v>328</v>
      </c>
    </row>
    <row r="52" spans="1:16" ht="25" x14ac:dyDescent="0.25">
      <c r="A52" s="163" t="str">
        <f ca="1">HYPERLINK(MID(CELL("filename",A1),FIND("[",CELL("filename",A1)),FIND("]",CELL("filename",A1)) - FIND("[",CELL("filename",A1)) + 1) &amp; "'x-328'!TABLE_CLIENT_1","x-328 1")</f>
        <v>x-328 1</v>
      </c>
      <c r="B52" s="162" t="s">
        <v>319</v>
      </c>
      <c r="C52" s="162">
        <v>2015</v>
      </c>
      <c r="D52" s="162" t="s">
        <v>402</v>
      </c>
      <c r="E52" s="162" t="s">
        <v>434</v>
      </c>
      <c r="F52" s="162" t="s">
        <v>404</v>
      </c>
      <c r="G52" s="162" t="s">
        <v>431</v>
      </c>
      <c r="H52" s="162">
        <v>0</v>
      </c>
      <c r="I52" s="156">
        <v>328</v>
      </c>
      <c r="J52" t="s">
        <v>435</v>
      </c>
      <c r="K52" s="73" t="s">
        <v>436</v>
      </c>
      <c r="L52" s="73"/>
      <c r="M52" s="164">
        <v>45070</v>
      </c>
      <c r="N52" s="164">
        <v>45014</v>
      </c>
      <c r="O52" s="162" t="s">
        <v>327</v>
      </c>
      <c r="P52" s="164" t="s">
        <v>328</v>
      </c>
    </row>
    <row r="53" spans="1:16" ht="37.5" x14ac:dyDescent="0.25">
      <c r="A53" s="163" t="str">
        <f ca="1">HYPERLINK(MID(CELL("filename",A1),FIND("[",CELL("filename",A1)),FIND("]",CELL("filename",A1)) - FIND("[",CELL("filename",A1)) + 1) &amp; "'x-401'!TABLE_CLIENT_1","x-401 1")</f>
        <v>x-401 1</v>
      </c>
      <c r="B53" s="162" t="s">
        <v>319</v>
      </c>
      <c r="C53" s="162" t="s">
        <v>332</v>
      </c>
      <c r="D53" s="162" t="s">
        <v>437</v>
      </c>
      <c r="E53" s="162" t="s">
        <v>438</v>
      </c>
      <c r="F53" s="162" t="s">
        <v>404</v>
      </c>
      <c r="G53" s="162" t="s">
        <v>415</v>
      </c>
      <c r="H53" s="162">
        <v>1</v>
      </c>
      <c r="I53" s="156">
        <v>401</v>
      </c>
      <c r="J53" t="s">
        <v>439</v>
      </c>
      <c r="K53" s="73" t="s">
        <v>440</v>
      </c>
      <c r="L53" s="73"/>
      <c r="M53" s="164">
        <v>45106</v>
      </c>
      <c r="N53" s="164">
        <v>45106</v>
      </c>
      <c r="O53" s="162" t="s">
        <v>327</v>
      </c>
      <c r="P53" s="164" t="s">
        <v>328</v>
      </c>
    </row>
    <row r="54" spans="1:16" ht="25" x14ac:dyDescent="0.25">
      <c r="A54" s="163" t="str">
        <f ca="1">HYPERLINK(MID(CELL("filename",A1),FIND("[",CELL("filename",A1)),FIND("]",CELL("filename",A1)) - FIND("[",CELL("filename",A1)) + 1) &amp; "'x-403'!TABLE_CLIENT_1","x-403 1")</f>
        <v>x-403 1</v>
      </c>
      <c r="B54" s="162" t="s">
        <v>319</v>
      </c>
      <c r="C54" s="162">
        <v>2015</v>
      </c>
      <c r="D54" s="162" t="s">
        <v>437</v>
      </c>
      <c r="E54" s="162" t="s">
        <v>441</v>
      </c>
      <c r="F54" s="162" t="s">
        <v>404</v>
      </c>
      <c r="G54" s="162" t="s">
        <v>442</v>
      </c>
      <c r="H54" s="162">
        <v>0</v>
      </c>
      <c r="I54" s="156">
        <v>403</v>
      </c>
      <c r="J54" t="s">
        <v>443</v>
      </c>
      <c r="K54" s="73" t="s">
        <v>444</v>
      </c>
      <c r="L54" s="73"/>
      <c r="M54" s="164">
        <v>45106</v>
      </c>
      <c r="N54" s="164">
        <v>45110</v>
      </c>
      <c r="O54" s="162" t="s">
        <v>327</v>
      </c>
      <c r="P54" s="164" t="s">
        <v>328</v>
      </c>
    </row>
    <row r="55" spans="1:16" ht="25" x14ac:dyDescent="0.25">
      <c r="A55" s="163" t="str">
        <f ca="1">HYPERLINK(MID(CELL("filename",A1),FIND("[",CELL("filename",A1)),FIND("]",CELL("filename",A1)) - FIND("[",CELL("filename",A1)) + 1) &amp; "'x-404'!TABLE_CLIENT_1","x-404 1")</f>
        <v>x-404 1</v>
      </c>
      <c r="B55" s="162" t="s">
        <v>319</v>
      </c>
      <c r="C55" s="162">
        <v>2015</v>
      </c>
      <c r="D55" s="162" t="s">
        <v>445</v>
      </c>
      <c r="E55" s="162" t="s">
        <v>446</v>
      </c>
      <c r="F55" s="162" t="s">
        <v>404</v>
      </c>
      <c r="G55" s="162" t="s">
        <v>447</v>
      </c>
      <c r="H55" s="162">
        <v>0</v>
      </c>
      <c r="I55" s="156">
        <v>404</v>
      </c>
      <c r="J55" t="s">
        <v>448</v>
      </c>
      <c r="K55" s="73" t="s">
        <v>449</v>
      </c>
      <c r="L55" s="73"/>
      <c r="M55" s="164">
        <v>45106</v>
      </c>
      <c r="N55" s="164">
        <v>45106</v>
      </c>
      <c r="O55" s="162" t="s">
        <v>327</v>
      </c>
      <c r="P55" s="164" t="s">
        <v>328</v>
      </c>
    </row>
    <row r="56" spans="1:16" ht="25" x14ac:dyDescent="0.25">
      <c r="A56" s="163" t="str">
        <f ca="1">HYPERLINK(MID(CELL("filename",A1),FIND("[",CELL("filename",A1)),FIND("]",CELL("filename",A1)) - FIND("[",CELL("filename",A1)) + 1) &amp; "'x-405'!TABLE_CLIENT_1","x-405 1")</f>
        <v>x-405 1</v>
      </c>
      <c r="B56" s="162" t="s">
        <v>319</v>
      </c>
      <c r="C56" s="162">
        <v>2015</v>
      </c>
      <c r="D56" s="162" t="s">
        <v>445</v>
      </c>
      <c r="E56" s="162" t="s">
        <v>450</v>
      </c>
      <c r="F56" s="162" t="s">
        <v>404</v>
      </c>
      <c r="G56" s="162" t="s">
        <v>451</v>
      </c>
      <c r="H56" s="162">
        <v>0</v>
      </c>
      <c r="I56" s="156">
        <v>405</v>
      </c>
      <c r="J56" t="s">
        <v>452</v>
      </c>
      <c r="K56" s="73" t="s">
        <v>453</v>
      </c>
      <c r="L56" s="73"/>
      <c r="M56" s="164">
        <v>45106</v>
      </c>
      <c r="N56" s="164">
        <v>45106</v>
      </c>
      <c r="O56" s="162" t="s">
        <v>327</v>
      </c>
      <c r="P56" s="164" t="s">
        <v>328</v>
      </c>
    </row>
    <row r="57" spans="1:16" ht="50" x14ac:dyDescent="0.25">
      <c r="A57" s="163" t="str">
        <f ca="1">HYPERLINK(MID(CELL("filename",A1),FIND("[",CELL("filename",A1)),FIND("]",CELL("filename",A1)) - FIND("[",CELL("filename",A1)) + 1) &amp; "'x-406'!TABLE_CLIENT_1","x-406 1")</f>
        <v>x-406 1</v>
      </c>
      <c r="B57" s="162" t="s">
        <v>319</v>
      </c>
      <c r="C57" s="162">
        <v>2015</v>
      </c>
      <c r="D57" s="162" t="s">
        <v>445</v>
      </c>
      <c r="E57" s="162" t="s">
        <v>454</v>
      </c>
      <c r="F57" s="162" t="s">
        <v>404</v>
      </c>
      <c r="G57" s="162" t="s">
        <v>455</v>
      </c>
      <c r="H57" s="162">
        <v>0</v>
      </c>
      <c r="I57" s="156">
        <v>406</v>
      </c>
      <c r="J57" t="s">
        <v>456</v>
      </c>
      <c r="K57" s="73" t="s">
        <v>457</v>
      </c>
      <c r="L57" s="73"/>
      <c r="M57" s="164">
        <v>45106</v>
      </c>
      <c r="N57" s="164">
        <v>45106</v>
      </c>
      <c r="O57" s="162" t="s">
        <v>327</v>
      </c>
      <c r="P57" s="164" t="s">
        <v>328</v>
      </c>
    </row>
    <row r="58" spans="1:16" ht="50" x14ac:dyDescent="0.25">
      <c r="A58" s="163" t="str">
        <f ca="1">HYPERLINK(MID(CELL("filename",A1),FIND("[",CELL("filename",A1)),FIND("]",CELL("filename",A1)) - FIND("[",CELL("filename",A1)) + 1) &amp; "'x-407'!TABLE_CLIENT_1","x-407 1")</f>
        <v>x-407 1</v>
      </c>
      <c r="B58" s="162" t="s">
        <v>319</v>
      </c>
      <c r="C58" s="162">
        <v>2015</v>
      </c>
      <c r="D58" s="162" t="s">
        <v>445</v>
      </c>
      <c r="E58" s="162" t="s">
        <v>458</v>
      </c>
      <c r="F58" s="162" t="s">
        <v>404</v>
      </c>
      <c r="G58" s="162" t="s">
        <v>455</v>
      </c>
      <c r="H58" s="162">
        <v>0</v>
      </c>
      <c r="I58" s="156">
        <v>407</v>
      </c>
      <c r="J58" t="s">
        <v>459</v>
      </c>
      <c r="K58" s="73" t="s">
        <v>460</v>
      </c>
      <c r="L58" s="73"/>
      <c r="M58" s="164">
        <v>45106</v>
      </c>
      <c r="N58" s="164">
        <v>45106</v>
      </c>
      <c r="O58" s="162" t="s">
        <v>327</v>
      </c>
      <c r="P58" s="164" t="s">
        <v>328</v>
      </c>
    </row>
    <row r="59" spans="1:16" ht="25" x14ac:dyDescent="0.25">
      <c r="A59" s="163" t="str">
        <f ca="1">HYPERLINK(MID(CELL("filename",A1),FIND("[",CELL("filename",A1)),FIND("]",CELL("filename",A1)) - FIND("[",CELL("filename",A1)) + 1) &amp; "'x-501'!TABLE_CLIENT_1","x-501 1")</f>
        <v>x-501 1</v>
      </c>
      <c r="B59" s="162" t="s">
        <v>319</v>
      </c>
      <c r="C59" s="162" t="s">
        <v>461</v>
      </c>
      <c r="D59" s="162" t="s">
        <v>462</v>
      </c>
      <c r="E59" s="162" t="s">
        <v>463</v>
      </c>
      <c r="F59" s="162" t="s">
        <v>404</v>
      </c>
      <c r="G59" s="162" t="s">
        <v>464</v>
      </c>
      <c r="H59" s="162">
        <v>1</v>
      </c>
      <c r="I59" s="156">
        <v>501</v>
      </c>
      <c r="J59" t="s">
        <v>465</v>
      </c>
      <c r="K59" s="73" t="s">
        <v>466</v>
      </c>
      <c r="L59" s="73"/>
      <c r="M59" s="164">
        <v>45135</v>
      </c>
      <c r="N59" s="164">
        <v>45135</v>
      </c>
      <c r="O59" s="162" t="s">
        <v>327</v>
      </c>
      <c r="P59" s="164" t="s">
        <v>328</v>
      </c>
    </row>
    <row r="60" spans="1:16" ht="37.5" x14ac:dyDescent="0.25">
      <c r="A60" s="163" t="str">
        <f ca="1">HYPERLINK(MID(CELL("filename",A1),FIND("[",CELL("filename",A1)),FIND("]",CELL("filename",A1)) - FIND("[",CELL("filename",A1)) + 1) &amp; "'x-502'!TABLE_CLIENT_1","x-502 1")</f>
        <v>x-502 1</v>
      </c>
      <c r="B60" s="162" t="s">
        <v>319</v>
      </c>
      <c r="C60" s="162" t="s">
        <v>461</v>
      </c>
      <c r="D60" s="162" t="s">
        <v>462</v>
      </c>
      <c r="E60" s="162" t="s">
        <v>467</v>
      </c>
      <c r="F60" s="162" t="s">
        <v>404</v>
      </c>
      <c r="G60" s="162" t="s">
        <v>464</v>
      </c>
      <c r="H60" s="162">
        <v>1</v>
      </c>
      <c r="I60" s="156">
        <v>502</v>
      </c>
      <c r="J60" t="s">
        <v>468</v>
      </c>
      <c r="K60" s="73" t="s">
        <v>469</v>
      </c>
      <c r="L60" s="73"/>
      <c r="M60" s="164">
        <v>45135</v>
      </c>
      <c r="N60" s="164">
        <v>45135</v>
      </c>
      <c r="O60" s="162" t="s">
        <v>327</v>
      </c>
      <c r="P60" s="164" t="s">
        <v>328</v>
      </c>
    </row>
    <row r="61" spans="1:16" ht="25" x14ac:dyDescent="0.25">
      <c r="A61" s="163" t="str">
        <f ca="1">HYPERLINK(MID(CELL("filename",A1),FIND("[",CELL("filename",A1)),FIND("]",CELL("filename",A1)) - FIND("[",CELL("filename",A1)) + 1) &amp; "'x-503'!TABLE_CLIENT_1","x-503 1")</f>
        <v>x-503 1</v>
      </c>
      <c r="B61" s="162" t="s">
        <v>319</v>
      </c>
      <c r="C61" s="162">
        <v>2015</v>
      </c>
      <c r="D61" s="162" t="s">
        <v>462</v>
      </c>
      <c r="E61" s="162" t="s">
        <v>470</v>
      </c>
      <c r="F61" s="162" t="s">
        <v>404</v>
      </c>
      <c r="G61" s="162" t="s">
        <v>464</v>
      </c>
      <c r="H61" s="162">
        <v>0</v>
      </c>
      <c r="I61" s="156">
        <v>503</v>
      </c>
      <c r="J61" t="s">
        <v>471</v>
      </c>
      <c r="K61" s="73" t="s">
        <v>466</v>
      </c>
      <c r="L61" s="73"/>
      <c r="M61" s="164">
        <v>45135</v>
      </c>
      <c r="N61" s="164">
        <v>45135</v>
      </c>
      <c r="O61" s="162" t="s">
        <v>327</v>
      </c>
      <c r="P61" s="164" t="s">
        <v>328</v>
      </c>
    </row>
    <row r="62" spans="1:16" ht="25" x14ac:dyDescent="0.25">
      <c r="A62" s="163" t="str">
        <f ca="1">HYPERLINK(MID(CELL("filename",A1),FIND("[",CELL("filename",A1)),FIND("]",CELL("filename",A1)) - FIND("[",CELL("filename",A1)) + 1) &amp; "'x-504'!TABLE_CLIENT_1","x-504 1")</f>
        <v>x-504 1</v>
      </c>
      <c r="B62" s="162" t="s">
        <v>319</v>
      </c>
      <c r="C62" s="162">
        <v>2015</v>
      </c>
      <c r="D62" s="162" t="s">
        <v>462</v>
      </c>
      <c r="E62" s="162" t="s">
        <v>472</v>
      </c>
      <c r="F62" s="162" t="s">
        <v>404</v>
      </c>
      <c r="G62" s="162" t="s">
        <v>464</v>
      </c>
      <c r="H62" s="162">
        <v>0</v>
      </c>
      <c r="I62" s="156">
        <v>504</v>
      </c>
      <c r="J62" t="s">
        <v>473</v>
      </c>
      <c r="K62" s="73" t="s">
        <v>469</v>
      </c>
      <c r="L62" s="73"/>
      <c r="M62" s="164">
        <v>45135</v>
      </c>
      <c r="N62" s="164">
        <v>45135</v>
      </c>
      <c r="O62" s="162" t="s">
        <v>327</v>
      </c>
      <c r="P62" s="164" t="s">
        <v>328</v>
      </c>
    </row>
    <row r="63" spans="1:16" ht="25" x14ac:dyDescent="0.25">
      <c r="A63" s="163" t="str">
        <f ca="1">HYPERLINK(MID(CELL("filename",A1),FIND("[",CELL("filename",A1)),FIND("]",CELL("filename",A1)) - FIND("[",CELL("filename",A1)) + 1) &amp; "'x-505'!TABLE_CLIENT_1","x-505 1")</f>
        <v>x-505 1</v>
      </c>
      <c r="B63" s="162" t="s">
        <v>319</v>
      </c>
      <c r="C63" s="162" t="s">
        <v>320</v>
      </c>
      <c r="D63" s="162" t="s">
        <v>474</v>
      </c>
      <c r="E63" s="162" t="s">
        <v>475</v>
      </c>
      <c r="F63" s="162" t="s">
        <v>404</v>
      </c>
      <c r="G63" s="162" t="s">
        <v>476</v>
      </c>
      <c r="H63" s="162">
        <v>0</v>
      </c>
      <c r="I63" s="156">
        <v>505</v>
      </c>
      <c r="J63" t="s">
        <v>477</v>
      </c>
      <c r="K63" s="73" t="s">
        <v>466</v>
      </c>
      <c r="L63" s="73"/>
      <c r="M63" s="164">
        <v>45019</v>
      </c>
      <c r="N63" s="164">
        <v>45019</v>
      </c>
      <c r="O63" s="162" t="s">
        <v>327</v>
      </c>
      <c r="P63" s="164" t="s">
        <v>328</v>
      </c>
    </row>
    <row r="64" spans="1:16" ht="50" x14ac:dyDescent="0.25">
      <c r="A64" s="163" t="str">
        <f ca="1">HYPERLINK(MID(CELL("filename",A1),FIND("[",CELL("filename",A1)),FIND("]",CELL("filename",A1)) - FIND("[",CELL("filename",A1)) + 1) &amp; "'x-506'!TABLE_CLIENT_1","x-506 1")</f>
        <v>x-506 1</v>
      </c>
      <c r="B64" s="162" t="s">
        <v>319</v>
      </c>
      <c r="C64" s="162" t="s">
        <v>478</v>
      </c>
      <c r="D64" s="162" t="s">
        <v>462</v>
      </c>
      <c r="E64" s="162" t="s">
        <v>479</v>
      </c>
      <c r="F64" s="162" t="s">
        <v>404</v>
      </c>
      <c r="G64" s="162" t="s">
        <v>480</v>
      </c>
      <c r="H64" s="162">
        <v>0</v>
      </c>
      <c r="I64" s="156">
        <v>506</v>
      </c>
      <c r="J64" t="s">
        <v>481</v>
      </c>
      <c r="K64" s="73" t="s">
        <v>344</v>
      </c>
      <c r="L64" s="73"/>
      <c r="M64" s="164">
        <v>45135</v>
      </c>
      <c r="N64" s="164">
        <v>45135</v>
      </c>
      <c r="O64" s="162" t="s">
        <v>327</v>
      </c>
      <c r="P64" s="164" t="s">
        <v>328</v>
      </c>
    </row>
    <row r="65" spans="1:16" ht="25" x14ac:dyDescent="0.25">
      <c r="A65" s="163" t="str">
        <f ca="1">HYPERLINK(MID(CELL("filename",A1),FIND("[",CELL("filename",A1)),FIND("]",CELL("filename",A1)) - FIND("[",CELL("filename",A1)) + 1) &amp; "'x-603'!TABLE_CLIENT_1","x-603 1")</f>
        <v>x-603 1</v>
      </c>
      <c r="B65" s="162" t="s">
        <v>319</v>
      </c>
      <c r="C65" s="162" t="s">
        <v>320</v>
      </c>
      <c r="D65" s="162" t="s">
        <v>482</v>
      </c>
      <c r="E65" s="162" t="s">
        <v>483</v>
      </c>
      <c r="F65" s="162" t="s">
        <v>484</v>
      </c>
      <c r="G65" s="162" t="s">
        <v>485</v>
      </c>
      <c r="H65" s="162">
        <v>2</v>
      </c>
      <c r="I65" s="156">
        <v>603</v>
      </c>
      <c r="J65" t="s">
        <v>486</v>
      </c>
      <c r="K65" s="73" t="s">
        <v>326</v>
      </c>
      <c r="L65" s="73"/>
      <c r="M65" s="164">
        <v>45135</v>
      </c>
      <c r="N65" s="164">
        <v>45135</v>
      </c>
      <c r="O65" s="162" t="s">
        <v>327</v>
      </c>
      <c r="P65" s="164" t="s">
        <v>328</v>
      </c>
    </row>
    <row r="66" spans="1:16" ht="25" x14ac:dyDescent="0.25">
      <c r="A66" s="163" t="str">
        <f ca="1">HYPERLINK(MID(CELL("filename",A1),FIND("[",CELL("filename",A1)),FIND("]",CELL("filename",A1)) - FIND("[",CELL("filename",A1)) + 1) &amp; "'x-604'!TABLE_CLIENT_1","x-604 1")</f>
        <v>x-604 1</v>
      </c>
      <c r="B66" s="162" t="s">
        <v>319</v>
      </c>
      <c r="C66" s="162" t="s">
        <v>320</v>
      </c>
      <c r="D66" s="162" t="s">
        <v>482</v>
      </c>
      <c r="E66" s="162" t="s">
        <v>487</v>
      </c>
      <c r="F66" s="162" t="s">
        <v>484</v>
      </c>
      <c r="G66" s="162" t="s">
        <v>485</v>
      </c>
      <c r="H66" s="162">
        <v>2</v>
      </c>
      <c r="I66" s="156">
        <v>604</v>
      </c>
      <c r="J66" t="s">
        <v>488</v>
      </c>
      <c r="K66" s="73" t="s">
        <v>331</v>
      </c>
      <c r="L66" s="73"/>
      <c r="M66" s="164">
        <v>45135</v>
      </c>
      <c r="N66" s="164">
        <v>45135</v>
      </c>
      <c r="O66" s="162" t="s">
        <v>327</v>
      </c>
      <c r="P66" s="164" t="s">
        <v>328</v>
      </c>
    </row>
    <row r="67" spans="1:16" ht="25" x14ac:dyDescent="0.25">
      <c r="A67" s="163" t="str">
        <f ca="1">HYPERLINK(MID(CELL("filename",A1),FIND("[",CELL("filename",A1)),FIND("]",CELL("filename",A1)) - FIND("[",CELL("filename",A1)) + 1) &amp; "'x-605'!TABLE_CLIENT_1","x-605 1")</f>
        <v>x-605 1</v>
      </c>
      <c r="B67" s="162" t="s">
        <v>319</v>
      </c>
      <c r="C67" s="162" t="s">
        <v>332</v>
      </c>
      <c r="D67" s="162" t="s">
        <v>482</v>
      </c>
      <c r="E67" s="162" t="s">
        <v>489</v>
      </c>
      <c r="F67" s="162" t="s">
        <v>484</v>
      </c>
      <c r="G67" s="162" t="s">
        <v>485</v>
      </c>
      <c r="H67" s="162">
        <v>1</v>
      </c>
      <c r="I67" s="156">
        <v>605</v>
      </c>
      <c r="J67" t="s">
        <v>490</v>
      </c>
      <c r="K67" s="73" t="s">
        <v>326</v>
      </c>
      <c r="L67" s="73"/>
      <c r="M67" s="164">
        <v>45135</v>
      </c>
      <c r="N67" s="164">
        <v>45135</v>
      </c>
      <c r="O67" s="162" t="s">
        <v>327</v>
      </c>
      <c r="P67" s="164" t="s">
        <v>328</v>
      </c>
    </row>
    <row r="68" spans="1:16" ht="25" x14ac:dyDescent="0.25">
      <c r="A68" s="163" t="str">
        <f ca="1">HYPERLINK(MID(CELL("filename",A1),FIND("[",CELL("filename",A1)),FIND("]",CELL("filename",A1)) - FIND("[",CELL("filename",A1)) + 1) &amp; "'x-606'!TABLE_CLIENT_1","x-606 1")</f>
        <v>x-606 1</v>
      </c>
      <c r="B68" s="162" t="s">
        <v>319</v>
      </c>
      <c r="C68" s="162" t="s">
        <v>332</v>
      </c>
      <c r="D68" s="162" t="s">
        <v>482</v>
      </c>
      <c r="E68" s="162" t="s">
        <v>491</v>
      </c>
      <c r="F68" s="162" t="s">
        <v>484</v>
      </c>
      <c r="G68" s="162" t="s">
        <v>485</v>
      </c>
      <c r="H68" s="162">
        <v>1</v>
      </c>
      <c r="I68" s="156">
        <v>606</v>
      </c>
      <c r="J68" t="s">
        <v>492</v>
      </c>
      <c r="K68" s="73" t="s">
        <v>331</v>
      </c>
      <c r="L68" s="73"/>
      <c r="M68" s="164">
        <v>45135</v>
      </c>
      <c r="N68" s="164">
        <v>45135</v>
      </c>
      <c r="O68" s="162" t="s">
        <v>327</v>
      </c>
      <c r="P68" s="164" t="s">
        <v>328</v>
      </c>
    </row>
    <row r="69" spans="1:16" ht="25" x14ac:dyDescent="0.25">
      <c r="A69" s="163" t="str">
        <f ca="1">HYPERLINK(MID(CELL("filename",A1),FIND("[",CELL("filename",A1)),FIND("]",CELL("filename",A1)) - FIND("[",CELL("filename",A1)) + 1) &amp; "'x-607'!TABLE_CLIENT_1","x-607 1")</f>
        <v>x-607 1</v>
      </c>
      <c r="B69" s="162" t="s">
        <v>319</v>
      </c>
      <c r="C69" s="162">
        <v>2015</v>
      </c>
      <c r="D69" s="162" t="s">
        <v>482</v>
      </c>
      <c r="E69" s="162" t="s">
        <v>493</v>
      </c>
      <c r="F69" s="162" t="s">
        <v>323</v>
      </c>
      <c r="G69" s="162" t="s">
        <v>485</v>
      </c>
      <c r="H69" s="162">
        <v>0</v>
      </c>
      <c r="I69" s="156">
        <v>607</v>
      </c>
      <c r="J69" t="s">
        <v>494</v>
      </c>
      <c r="K69" s="73" t="s">
        <v>326</v>
      </c>
      <c r="L69" s="73"/>
      <c r="M69" s="164">
        <v>45135</v>
      </c>
      <c r="N69" s="164">
        <v>45135</v>
      </c>
      <c r="O69" s="162" t="s">
        <v>327</v>
      </c>
      <c r="P69" s="164" t="s">
        <v>328</v>
      </c>
    </row>
    <row r="70" spans="1:16" ht="25" x14ac:dyDescent="0.25">
      <c r="A70" s="163" t="str">
        <f ca="1">HYPERLINK(MID(CELL("filename",A1),FIND("[",CELL("filename",A1)),FIND("]",CELL("filename",A1)) - FIND("[",CELL("filename",A1)) + 1) &amp; "'x-608'!TABLE_CLIENT_1","x-608 1")</f>
        <v>x-608 1</v>
      </c>
      <c r="B70" s="162" t="s">
        <v>319</v>
      </c>
      <c r="C70" s="162">
        <v>2015</v>
      </c>
      <c r="D70" s="162" t="s">
        <v>482</v>
      </c>
      <c r="E70" s="162" t="s">
        <v>493</v>
      </c>
      <c r="F70" s="162" t="s">
        <v>329</v>
      </c>
      <c r="G70" s="162" t="s">
        <v>485</v>
      </c>
      <c r="H70" s="162">
        <v>0</v>
      </c>
      <c r="I70" s="156">
        <v>608</v>
      </c>
      <c r="J70" t="s">
        <v>495</v>
      </c>
      <c r="K70" s="73" t="s">
        <v>331</v>
      </c>
      <c r="L70" s="73"/>
      <c r="M70" s="164">
        <v>45135</v>
      </c>
      <c r="N70" s="164">
        <v>45135</v>
      </c>
      <c r="O70" s="162" t="s">
        <v>327</v>
      </c>
      <c r="P70" s="164" t="s">
        <v>328</v>
      </c>
    </row>
    <row r="71" spans="1:16" ht="25" x14ac:dyDescent="0.25">
      <c r="A71" s="163" t="str">
        <f ca="1">HYPERLINK(MID(CELL("filename",A1),FIND("[",CELL("filename",A1)),FIND("]",CELL("filename",A1)) - FIND("[",CELL("filename",A1)) + 1) &amp; "'x-609'!TABLE_CLIENT_1","x-609 1")</f>
        <v>x-609 1</v>
      </c>
      <c r="B71" s="162" t="s">
        <v>319</v>
      </c>
      <c r="C71" s="162">
        <v>2015</v>
      </c>
      <c r="D71" s="162" t="s">
        <v>482</v>
      </c>
      <c r="E71" s="162" t="s">
        <v>496</v>
      </c>
      <c r="F71" s="162" t="s">
        <v>484</v>
      </c>
      <c r="G71" s="162" t="s">
        <v>324</v>
      </c>
      <c r="H71" s="162">
        <v>0</v>
      </c>
      <c r="I71" s="156">
        <v>609</v>
      </c>
      <c r="J71" t="s">
        <v>497</v>
      </c>
      <c r="K71" s="73" t="s">
        <v>398</v>
      </c>
      <c r="L71" s="73"/>
      <c r="M71" s="164">
        <v>45135</v>
      </c>
      <c r="N71" s="164">
        <v>45135</v>
      </c>
      <c r="O71" s="162" t="s">
        <v>327</v>
      </c>
      <c r="P71" s="164" t="s">
        <v>328</v>
      </c>
    </row>
    <row r="72" spans="1:16" ht="25" x14ac:dyDescent="0.25">
      <c r="A72" s="163" t="str">
        <f ca="1">HYPERLINK(MID(CELL("filename",A1),FIND("[",CELL("filename",A1)),FIND("]",CELL("filename",A1)) - FIND("[",CELL("filename",A1)) + 1) &amp; "'x-610'!TABLE_CLIENT_1","x-610 1")</f>
        <v>x-610 1</v>
      </c>
      <c r="B72" s="162" t="s">
        <v>319</v>
      </c>
      <c r="C72" s="162">
        <v>2015</v>
      </c>
      <c r="D72" s="162" t="s">
        <v>482</v>
      </c>
      <c r="E72" s="162" t="s">
        <v>498</v>
      </c>
      <c r="F72" s="162" t="s">
        <v>484</v>
      </c>
      <c r="G72" s="162" t="s">
        <v>324</v>
      </c>
      <c r="H72" s="162">
        <v>0</v>
      </c>
      <c r="I72" s="156">
        <v>610</v>
      </c>
      <c r="J72" t="s">
        <v>499</v>
      </c>
      <c r="K72" s="73" t="s">
        <v>500</v>
      </c>
      <c r="L72" s="73"/>
      <c r="M72" s="164">
        <v>45135</v>
      </c>
      <c r="N72" s="164">
        <v>45135</v>
      </c>
      <c r="O72" s="162" t="s">
        <v>327</v>
      </c>
      <c r="P72" s="164" t="s">
        <v>328</v>
      </c>
    </row>
    <row r="73" spans="1:16" ht="25" x14ac:dyDescent="0.25">
      <c r="A73" s="163" t="str">
        <f ca="1">HYPERLINK(MID(CELL("filename",A1),FIND("[",CELL("filename",A1)),FIND("]",CELL("filename",A1)) - FIND("[",CELL("filename",A1)) + 1) &amp; "'x-611'!TABLE_CLIENT_1","x-611 1")</f>
        <v>x-611 1</v>
      </c>
      <c r="B73" s="162" t="s">
        <v>319</v>
      </c>
      <c r="C73" s="162" t="s">
        <v>320</v>
      </c>
      <c r="D73" s="162" t="s">
        <v>482</v>
      </c>
      <c r="E73" s="162" t="s">
        <v>501</v>
      </c>
      <c r="F73" s="162" t="s">
        <v>404</v>
      </c>
      <c r="G73" s="162" t="s">
        <v>405</v>
      </c>
      <c r="H73" s="162">
        <v>2</v>
      </c>
      <c r="I73" s="156">
        <v>611</v>
      </c>
      <c r="J73" t="s">
        <v>502</v>
      </c>
      <c r="K73" s="73" t="s">
        <v>340</v>
      </c>
      <c r="L73" s="73"/>
      <c r="M73" s="164">
        <v>45135</v>
      </c>
      <c r="N73" s="164">
        <v>45135</v>
      </c>
      <c r="O73" s="162" t="s">
        <v>327</v>
      </c>
      <c r="P73" s="164" t="s">
        <v>328</v>
      </c>
    </row>
    <row r="74" spans="1:16" ht="25" x14ac:dyDescent="0.25">
      <c r="A74" s="163" t="str">
        <f ca="1">HYPERLINK(MID(CELL("filename",A1),FIND("[",CELL("filename",A1)),FIND("]",CELL("filename",A1)) - FIND("[",CELL("filename",A1)) + 1) &amp; "'x-612'!TABLE_CLIENT_1","x-612 1")</f>
        <v>x-612 1</v>
      </c>
      <c r="B74" s="162" t="s">
        <v>319</v>
      </c>
      <c r="C74" s="162" t="s">
        <v>320</v>
      </c>
      <c r="D74" s="162" t="s">
        <v>482</v>
      </c>
      <c r="E74" s="162" t="s">
        <v>503</v>
      </c>
      <c r="F74" s="162" t="s">
        <v>404</v>
      </c>
      <c r="G74" s="162" t="s">
        <v>405</v>
      </c>
      <c r="H74" s="162">
        <v>2</v>
      </c>
      <c r="I74" s="156">
        <v>612</v>
      </c>
      <c r="J74" t="s">
        <v>504</v>
      </c>
      <c r="K74" s="73" t="s">
        <v>342</v>
      </c>
      <c r="L74" s="73"/>
      <c r="M74" s="164">
        <v>45135</v>
      </c>
      <c r="N74" s="164">
        <v>45135</v>
      </c>
      <c r="O74" s="162" t="s">
        <v>327</v>
      </c>
      <c r="P74" s="164" t="s">
        <v>328</v>
      </c>
    </row>
    <row r="75" spans="1:16" ht="25" x14ac:dyDescent="0.25">
      <c r="A75" s="163" t="str">
        <f ca="1">HYPERLINK(MID(CELL("filename",A1),FIND("[",CELL("filename",A1)),FIND("]",CELL("filename",A1)) - FIND("[",CELL("filename",A1)) + 1) &amp; "'x-613'!TABLE_CLIENT_1","x-613 1")</f>
        <v>x-613 1</v>
      </c>
      <c r="B75" s="162" t="s">
        <v>319</v>
      </c>
      <c r="C75" s="162" t="s">
        <v>320</v>
      </c>
      <c r="D75" s="162" t="s">
        <v>482</v>
      </c>
      <c r="E75" s="162" t="s">
        <v>505</v>
      </c>
      <c r="F75" s="162" t="s">
        <v>404</v>
      </c>
      <c r="G75" s="162" t="s">
        <v>405</v>
      </c>
      <c r="H75" s="162">
        <v>2</v>
      </c>
      <c r="I75" s="156">
        <v>613</v>
      </c>
      <c r="J75" t="s">
        <v>506</v>
      </c>
      <c r="K75" s="73" t="s">
        <v>507</v>
      </c>
      <c r="L75" s="73"/>
      <c r="M75" s="164">
        <v>45135</v>
      </c>
      <c r="N75" s="164">
        <v>45135</v>
      </c>
      <c r="O75" s="162" t="s">
        <v>327</v>
      </c>
      <c r="P75" s="164" t="s">
        <v>328</v>
      </c>
    </row>
    <row r="76" spans="1:16" ht="37.5" x14ac:dyDescent="0.25">
      <c r="A76" s="163" t="str">
        <f ca="1">HYPERLINK(MID(CELL("filename",A1),FIND("[",CELL("filename",A1)),FIND("]",CELL("filename",A1)) - FIND("[",CELL("filename",A1)) + 1) &amp; "'x-614'!TABLE_CLIENT_1","x-614 1")</f>
        <v>x-614 1</v>
      </c>
      <c r="B76" s="162" t="s">
        <v>319</v>
      </c>
      <c r="C76" s="162" t="s">
        <v>332</v>
      </c>
      <c r="D76" s="162" t="s">
        <v>482</v>
      </c>
      <c r="E76" s="162" t="s">
        <v>508</v>
      </c>
      <c r="F76" s="162" t="s">
        <v>404</v>
      </c>
      <c r="G76" s="162" t="s">
        <v>509</v>
      </c>
      <c r="H76" s="162">
        <v>1</v>
      </c>
      <c r="I76" s="156">
        <v>614</v>
      </c>
      <c r="J76" t="s">
        <v>510</v>
      </c>
      <c r="K76" s="73" t="s">
        <v>340</v>
      </c>
      <c r="L76" s="73"/>
      <c r="M76" s="164">
        <v>45135</v>
      </c>
      <c r="N76" s="164">
        <v>45135</v>
      </c>
      <c r="O76" s="162" t="s">
        <v>327</v>
      </c>
      <c r="P76" s="164" t="s">
        <v>328</v>
      </c>
    </row>
    <row r="77" spans="1:16" ht="25" x14ac:dyDescent="0.25">
      <c r="A77" s="163" t="str">
        <f ca="1">HYPERLINK(MID(CELL("filename",A1),FIND("[",CELL("filename",A1)),FIND("]",CELL("filename",A1)) - FIND("[",CELL("filename",A1)) + 1) &amp; "'x-615'!TABLE_CLIENT_1","x-615 1")</f>
        <v>x-615 1</v>
      </c>
      <c r="B77" s="162" t="s">
        <v>319</v>
      </c>
      <c r="C77" s="162" t="s">
        <v>332</v>
      </c>
      <c r="D77" s="162" t="s">
        <v>482</v>
      </c>
      <c r="E77" s="162" t="s">
        <v>511</v>
      </c>
      <c r="F77" s="162" t="s">
        <v>404</v>
      </c>
      <c r="G77" s="162" t="s">
        <v>509</v>
      </c>
      <c r="H77" s="162">
        <v>1</v>
      </c>
      <c r="I77" s="156">
        <v>615</v>
      </c>
      <c r="J77" t="s">
        <v>512</v>
      </c>
      <c r="K77" s="73" t="s">
        <v>342</v>
      </c>
      <c r="L77" s="73"/>
      <c r="M77" s="164">
        <v>45135</v>
      </c>
      <c r="N77" s="164">
        <v>45135</v>
      </c>
      <c r="O77" s="162" t="s">
        <v>327</v>
      </c>
      <c r="P77" s="164" t="s">
        <v>328</v>
      </c>
    </row>
    <row r="78" spans="1:16" ht="37.5" x14ac:dyDescent="0.25">
      <c r="A78" s="163" t="str">
        <f ca="1">HYPERLINK(MID(CELL("filename",A1),FIND("[",CELL("filename",A1)),FIND("]",CELL("filename",A1)) - FIND("[",CELL("filename",A1)) + 1) &amp; "'x-616'!TABLE_CLIENT_1","x-616 1")</f>
        <v>x-616 1</v>
      </c>
      <c r="B78" s="162" t="s">
        <v>319</v>
      </c>
      <c r="C78" s="162" t="s">
        <v>332</v>
      </c>
      <c r="D78" s="162" t="s">
        <v>482</v>
      </c>
      <c r="E78" s="162" t="s">
        <v>513</v>
      </c>
      <c r="F78" s="162" t="s">
        <v>404</v>
      </c>
      <c r="G78" s="162" t="s">
        <v>509</v>
      </c>
      <c r="H78" s="162">
        <v>1</v>
      </c>
      <c r="I78" s="156">
        <v>616</v>
      </c>
      <c r="J78" t="s">
        <v>514</v>
      </c>
      <c r="K78" s="73" t="s">
        <v>515</v>
      </c>
      <c r="L78" s="73"/>
      <c r="M78" s="164">
        <v>45135</v>
      </c>
      <c r="N78" s="164">
        <v>45135</v>
      </c>
      <c r="O78" s="162" t="s">
        <v>327</v>
      </c>
      <c r="P78" s="164" t="s">
        <v>328</v>
      </c>
    </row>
    <row r="79" spans="1:16" ht="37.5" x14ac:dyDescent="0.25">
      <c r="A79" s="163" t="str">
        <f ca="1">HYPERLINK(MID(CELL("filename",A1),FIND("[",CELL("filename",A1)),FIND("]",CELL("filename",A1)) - FIND("[",CELL("filename",A1)) + 1) &amp; "'x-617'!TABLE_CLIENT_1","x-617 1")</f>
        <v>x-617 1</v>
      </c>
      <c r="B79" s="162" t="s">
        <v>319</v>
      </c>
      <c r="C79" s="162" t="s">
        <v>332</v>
      </c>
      <c r="D79" s="162" t="s">
        <v>482</v>
      </c>
      <c r="E79" s="162" t="s">
        <v>516</v>
      </c>
      <c r="F79" s="162" t="s">
        <v>404</v>
      </c>
      <c r="G79" s="162" t="s">
        <v>509</v>
      </c>
      <c r="H79" s="162">
        <v>1</v>
      </c>
      <c r="I79" s="156">
        <v>617</v>
      </c>
      <c r="J79" t="s">
        <v>517</v>
      </c>
      <c r="K79" s="73" t="s">
        <v>518</v>
      </c>
      <c r="L79" s="73"/>
      <c r="M79" s="164">
        <v>45135</v>
      </c>
      <c r="N79" s="164">
        <v>45135</v>
      </c>
      <c r="O79" s="162" t="s">
        <v>327</v>
      </c>
      <c r="P79" s="164" t="s">
        <v>328</v>
      </c>
    </row>
    <row r="80" spans="1:16" ht="25" x14ac:dyDescent="0.25">
      <c r="A80" s="163" t="str">
        <f ca="1">HYPERLINK(MID(CELL("filename",A1),FIND("[",CELL("filename",A1)),FIND("]",CELL("filename",A1)) - FIND("[",CELL("filename",A1)) + 1) &amp; "'x-618'!TABLE_CLIENT_1","x-618 1")</f>
        <v>x-618 1</v>
      </c>
      <c r="B80" s="162" t="s">
        <v>319</v>
      </c>
      <c r="C80" s="162" t="s">
        <v>332</v>
      </c>
      <c r="D80" s="162" t="s">
        <v>482</v>
      </c>
      <c r="E80" s="162" t="s">
        <v>519</v>
      </c>
      <c r="F80" s="162" t="s">
        <v>404</v>
      </c>
      <c r="G80" s="162" t="s">
        <v>509</v>
      </c>
      <c r="H80" s="162">
        <v>1</v>
      </c>
      <c r="I80" s="156">
        <v>618</v>
      </c>
      <c r="J80" t="s">
        <v>520</v>
      </c>
      <c r="K80" s="73" t="s">
        <v>507</v>
      </c>
      <c r="L80" s="73"/>
      <c r="M80" s="164">
        <v>45135</v>
      </c>
      <c r="N80" s="164">
        <v>45135</v>
      </c>
      <c r="O80" s="162" t="s">
        <v>327</v>
      </c>
      <c r="P80" s="164" t="s">
        <v>328</v>
      </c>
    </row>
    <row r="81" spans="1:16" ht="37.5" x14ac:dyDescent="0.25">
      <c r="A81" s="163" t="str">
        <f ca="1">HYPERLINK(MID(CELL("filename",A1),FIND("[",CELL("filename",A1)),FIND("]",CELL("filename",A1)) - FIND("[",CELL("filename",A1)) + 1) &amp; "'x-619'!TABLE_CLIENT_1","x-619 1")</f>
        <v>x-619 1</v>
      </c>
      <c r="B81" s="162" t="s">
        <v>319</v>
      </c>
      <c r="C81" s="162" t="s">
        <v>332</v>
      </c>
      <c r="D81" s="162" t="s">
        <v>482</v>
      </c>
      <c r="E81" s="162" t="s">
        <v>521</v>
      </c>
      <c r="F81" s="162" t="s">
        <v>404</v>
      </c>
      <c r="G81" s="162" t="s">
        <v>509</v>
      </c>
      <c r="H81" s="162">
        <v>1</v>
      </c>
      <c r="I81" s="156">
        <v>619</v>
      </c>
      <c r="J81" t="s">
        <v>522</v>
      </c>
      <c r="K81" s="73" t="s">
        <v>523</v>
      </c>
      <c r="L81" s="73"/>
      <c r="M81" s="164">
        <v>45135</v>
      </c>
      <c r="N81" s="164">
        <v>45135</v>
      </c>
      <c r="O81" s="162" t="s">
        <v>327</v>
      </c>
      <c r="P81" s="164" t="s">
        <v>328</v>
      </c>
    </row>
    <row r="82" spans="1:16" ht="25" x14ac:dyDescent="0.25">
      <c r="A82" s="163" t="str">
        <f ca="1">HYPERLINK(MID(CELL("filename",A1),FIND("[",CELL("filename",A1)),FIND("]",CELL("filename",A1)) - FIND("[",CELL("filename",A1)) + 1) &amp; "'x-620'!TABLE_CLIENT_1","x-620 1")</f>
        <v>x-620 1</v>
      </c>
      <c r="B82" s="162" t="s">
        <v>319</v>
      </c>
      <c r="C82" s="162">
        <v>2015</v>
      </c>
      <c r="D82" s="162" t="s">
        <v>482</v>
      </c>
      <c r="E82" s="162" t="s">
        <v>524</v>
      </c>
      <c r="F82" s="162" t="s">
        <v>404</v>
      </c>
      <c r="G82" s="162" t="s">
        <v>431</v>
      </c>
      <c r="H82" s="162">
        <v>0</v>
      </c>
      <c r="I82" s="156">
        <v>620</v>
      </c>
      <c r="J82" t="s">
        <v>525</v>
      </c>
      <c r="K82" s="73" t="s">
        <v>340</v>
      </c>
      <c r="L82" s="73"/>
      <c r="M82" s="164">
        <v>45135</v>
      </c>
      <c r="N82" s="164">
        <v>45135</v>
      </c>
      <c r="O82" s="162" t="s">
        <v>327</v>
      </c>
      <c r="P82" s="164" t="s">
        <v>328</v>
      </c>
    </row>
    <row r="83" spans="1:16" ht="25" x14ac:dyDescent="0.25">
      <c r="A83" s="163" t="str">
        <f ca="1">HYPERLINK(MID(CELL("filename",A1),FIND("[",CELL("filename",A1)),FIND("]",CELL("filename",A1)) - FIND("[",CELL("filename",A1)) + 1) &amp; "'x-621'!TABLE_CLIENT_1","x-621 1")</f>
        <v>x-621 1</v>
      </c>
      <c r="B83" s="162" t="s">
        <v>319</v>
      </c>
      <c r="C83" s="162">
        <v>2015</v>
      </c>
      <c r="D83" s="162" t="s">
        <v>482</v>
      </c>
      <c r="E83" s="162" t="s">
        <v>526</v>
      </c>
      <c r="F83" s="162" t="s">
        <v>404</v>
      </c>
      <c r="G83" s="162" t="s">
        <v>431</v>
      </c>
      <c r="H83" s="162">
        <v>0</v>
      </c>
      <c r="I83" s="156">
        <v>621</v>
      </c>
      <c r="J83" t="s">
        <v>527</v>
      </c>
      <c r="K83" s="73" t="s">
        <v>342</v>
      </c>
      <c r="L83" s="73"/>
      <c r="M83" s="164">
        <v>45135</v>
      </c>
      <c r="N83" s="164">
        <v>45135</v>
      </c>
      <c r="O83" s="162" t="s">
        <v>327</v>
      </c>
      <c r="P83" s="164" t="s">
        <v>328</v>
      </c>
    </row>
    <row r="84" spans="1:16" ht="25" x14ac:dyDescent="0.25">
      <c r="A84" s="163" t="str">
        <f ca="1">HYPERLINK(MID(CELL("filename",A1),FIND("[",CELL("filename",A1)),FIND("]",CELL("filename",A1)) - FIND("[",CELL("filename",A1)) + 1) &amp; "'x-622'!TABLE_CLIENT_1","x-622 1")</f>
        <v>x-622 1</v>
      </c>
      <c r="B84" s="162" t="s">
        <v>319</v>
      </c>
      <c r="C84" s="162" t="s">
        <v>320</v>
      </c>
      <c r="D84" s="162" t="s">
        <v>528</v>
      </c>
      <c r="E84" s="162" t="s">
        <v>529</v>
      </c>
      <c r="F84" s="162" t="s">
        <v>484</v>
      </c>
      <c r="G84" s="162" t="s">
        <v>530</v>
      </c>
      <c r="H84" s="162">
        <v>2</v>
      </c>
      <c r="I84" s="156">
        <v>622</v>
      </c>
      <c r="J84" t="s">
        <v>531</v>
      </c>
      <c r="K84" s="73" t="s">
        <v>433</v>
      </c>
      <c r="L84" s="73"/>
      <c r="M84" s="164">
        <v>45135</v>
      </c>
      <c r="N84" s="164">
        <v>45135</v>
      </c>
      <c r="O84" s="162" t="s">
        <v>532</v>
      </c>
      <c r="P84" s="164" t="s">
        <v>328</v>
      </c>
    </row>
    <row r="85" spans="1:16" ht="25" x14ac:dyDescent="0.25">
      <c r="A85" s="163" t="str">
        <f ca="1">HYPERLINK(MID(CELL("filename",A1),FIND("[",CELL("filename",A1)),FIND("]",CELL("filename",A1)) - FIND("[",CELL("filename",A1)) + 1) &amp; "'x-623'!TABLE_CLIENT_1","x-623 1")</f>
        <v>x-623 1</v>
      </c>
      <c r="B85" s="162" t="s">
        <v>319</v>
      </c>
      <c r="C85" s="162" t="s">
        <v>320</v>
      </c>
      <c r="D85" s="162" t="s">
        <v>528</v>
      </c>
      <c r="E85" s="162" t="s">
        <v>533</v>
      </c>
      <c r="F85" s="162" t="s">
        <v>484</v>
      </c>
      <c r="G85" s="162" t="s">
        <v>530</v>
      </c>
      <c r="H85" s="162">
        <v>2</v>
      </c>
      <c r="I85" s="156">
        <v>623</v>
      </c>
      <c r="J85" t="s">
        <v>534</v>
      </c>
      <c r="K85" s="73" t="s">
        <v>436</v>
      </c>
      <c r="L85" s="73"/>
      <c r="M85" s="164">
        <v>45135</v>
      </c>
      <c r="N85" s="164">
        <v>45135</v>
      </c>
      <c r="O85" s="162" t="s">
        <v>532</v>
      </c>
      <c r="P85" s="164" t="s">
        <v>328</v>
      </c>
    </row>
    <row r="86" spans="1:16" ht="25" x14ac:dyDescent="0.25">
      <c r="A86" s="163" t="str">
        <f ca="1">HYPERLINK(MID(CELL("filename",A1),FIND("[",CELL("filename",A1)),FIND("]",CELL("filename",A1)) - FIND("[",CELL("filename",A1)) + 1) &amp; "'x-624'!TABLE_CLIENT_1","x-624 1")</f>
        <v>x-624 1</v>
      </c>
      <c r="B86" s="162" t="s">
        <v>319</v>
      </c>
      <c r="C86" s="162" t="s">
        <v>332</v>
      </c>
      <c r="D86" s="162" t="s">
        <v>528</v>
      </c>
      <c r="E86" s="162" t="s">
        <v>535</v>
      </c>
      <c r="F86" s="162" t="s">
        <v>484</v>
      </c>
      <c r="G86" s="162" t="s">
        <v>530</v>
      </c>
      <c r="H86" s="162">
        <v>1</v>
      </c>
      <c r="I86" s="156">
        <v>624</v>
      </c>
      <c r="J86" t="s">
        <v>536</v>
      </c>
      <c r="K86" s="73" t="s">
        <v>433</v>
      </c>
      <c r="L86" s="73"/>
      <c r="M86" s="164">
        <v>45135</v>
      </c>
      <c r="N86" s="164">
        <v>45135</v>
      </c>
      <c r="O86" s="162" t="s">
        <v>532</v>
      </c>
      <c r="P86" s="164" t="s">
        <v>328</v>
      </c>
    </row>
    <row r="87" spans="1:16" ht="25" x14ac:dyDescent="0.25">
      <c r="A87" s="163" t="str">
        <f ca="1">HYPERLINK(MID(CELL("filename",A1),FIND("[",CELL("filename",A1)),FIND("]",CELL("filename",A1)) - FIND("[",CELL("filename",A1)) + 1) &amp; "'x-625'!TABLE_CLIENT_1","x-625 1")</f>
        <v>x-625 1</v>
      </c>
      <c r="B87" s="162" t="s">
        <v>319</v>
      </c>
      <c r="C87" s="162" t="s">
        <v>332</v>
      </c>
      <c r="D87" s="162" t="s">
        <v>528</v>
      </c>
      <c r="E87" s="162" t="s">
        <v>537</v>
      </c>
      <c r="F87" s="162" t="s">
        <v>484</v>
      </c>
      <c r="G87" s="162" t="s">
        <v>530</v>
      </c>
      <c r="H87" s="162">
        <v>1</v>
      </c>
      <c r="I87" s="156">
        <v>625</v>
      </c>
      <c r="J87" t="s">
        <v>538</v>
      </c>
      <c r="K87" s="73" t="s">
        <v>436</v>
      </c>
      <c r="L87" s="73"/>
      <c r="M87" s="164">
        <v>45135</v>
      </c>
      <c r="N87" s="164">
        <v>45135</v>
      </c>
      <c r="O87" s="162" t="s">
        <v>532</v>
      </c>
      <c r="P87" s="164" t="s">
        <v>328</v>
      </c>
    </row>
    <row r="88" spans="1:16" ht="25" x14ac:dyDescent="0.25">
      <c r="A88" s="163" t="str">
        <f ca="1">HYPERLINK(MID(CELL("filename",A1),FIND("[",CELL("filename",A1)),FIND("]",CELL("filename",A1)) - FIND("[",CELL("filename",A1)) + 1) &amp; "'x-626'!TABLE_CLIENT_1","x-626 1")</f>
        <v>x-626 1</v>
      </c>
      <c r="B88" s="162" t="s">
        <v>319</v>
      </c>
      <c r="C88" s="162">
        <v>2015</v>
      </c>
      <c r="D88" s="162" t="s">
        <v>528</v>
      </c>
      <c r="E88" s="162" t="s">
        <v>535</v>
      </c>
      <c r="F88" s="162" t="s">
        <v>484</v>
      </c>
      <c r="G88" s="162" t="s">
        <v>530</v>
      </c>
      <c r="H88" s="162">
        <v>0</v>
      </c>
      <c r="I88" s="156">
        <v>626</v>
      </c>
      <c r="J88" t="s">
        <v>539</v>
      </c>
      <c r="K88" s="73" t="s">
        <v>540</v>
      </c>
      <c r="L88" s="73"/>
      <c r="M88" s="164">
        <v>45135</v>
      </c>
      <c r="N88" s="164">
        <v>45135</v>
      </c>
      <c r="O88" s="162" t="s">
        <v>532</v>
      </c>
      <c r="P88" s="164" t="s">
        <v>328</v>
      </c>
    </row>
    <row r="89" spans="1:16" ht="25" x14ac:dyDescent="0.25">
      <c r="A89" s="163" t="str">
        <f ca="1">HYPERLINK(MID(CELL("filename",A1),FIND("[",CELL("filename",A1)),FIND("]",CELL("filename",A1)) - FIND("[",CELL("filename",A1)) + 1) &amp; "'x-627'!TABLE_CLIENT_1","x-627 1")</f>
        <v>x-627 1</v>
      </c>
      <c r="B89" s="162" t="s">
        <v>319</v>
      </c>
      <c r="C89" s="162">
        <v>2015</v>
      </c>
      <c r="D89" s="162" t="s">
        <v>528</v>
      </c>
      <c r="E89" s="162" t="s">
        <v>541</v>
      </c>
      <c r="F89" s="162" t="s">
        <v>484</v>
      </c>
      <c r="G89" s="162" t="s">
        <v>530</v>
      </c>
      <c r="H89" s="162">
        <v>0</v>
      </c>
      <c r="I89" s="156">
        <v>627</v>
      </c>
      <c r="J89" t="s">
        <v>542</v>
      </c>
      <c r="K89" s="73" t="s">
        <v>543</v>
      </c>
      <c r="L89" s="73"/>
      <c r="M89" s="164">
        <v>45135</v>
      </c>
      <c r="N89" s="164">
        <v>45135</v>
      </c>
      <c r="O89" s="162" t="s">
        <v>532</v>
      </c>
      <c r="P89" s="164" t="s">
        <v>328</v>
      </c>
    </row>
    <row r="90" spans="1:16" ht="25" x14ac:dyDescent="0.25">
      <c r="A90" s="163" t="str">
        <f ca="1">HYPERLINK(MID(CELL("filename",A1),FIND("[",CELL("filename",A1)),FIND("]",CELL("filename",A1)) - FIND("[",CELL("filename",A1)) + 1) &amp; "'x-701'!TABLE_CLIENT_1","x-701 1")</f>
        <v>x-701 1</v>
      </c>
      <c r="B90" s="162" t="s">
        <v>319</v>
      </c>
      <c r="C90" s="162">
        <v>2015</v>
      </c>
      <c r="D90" s="162" t="s">
        <v>544</v>
      </c>
      <c r="E90" s="162" t="s">
        <v>545</v>
      </c>
      <c r="F90" s="162" t="s">
        <v>404</v>
      </c>
      <c r="G90" s="162" t="s">
        <v>546</v>
      </c>
      <c r="H90" s="162">
        <v>0</v>
      </c>
      <c r="I90" s="156" t="s">
        <v>547</v>
      </c>
      <c r="J90" t="s">
        <v>548</v>
      </c>
      <c r="K90" s="73" t="s">
        <v>466</v>
      </c>
      <c r="L90" s="73"/>
      <c r="M90" s="164">
        <v>45196</v>
      </c>
      <c r="N90" s="164">
        <v>45196</v>
      </c>
      <c r="O90" s="162" t="s">
        <v>327</v>
      </c>
      <c r="P90" s="164" t="s">
        <v>328</v>
      </c>
    </row>
    <row r="91" spans="1:16" ht="25" x14ac:dyDescent="0.25">
      <c r="A91" s="163" t="str">
        <f ca="1">HYPERLINK(MID(CELL("filename",A1),FIND("[",CELL("filename",A1)),FIND("]",CELL("filename",A1)) - FIND("[",CELL("filename",A1)) + 1) &amp; "'x-701'!TABLE_CLIENT_2","x-701 2")</f>
        <v>x-701 2</v>
      </c>
      <c r="B91" s="162" t="s">
        <v>319</v>
      </c>
      <c r="C91" s="162">
        <v>2015</v>
      </c>
      <c r="D91" s="162" t="s">
        <v>544</v>
      </c>
      <c r="E91" s="162" t="s">
        <v>545</v>
      </c>
      <c r="F91" s="162" t="s">
        <v>404</v>
      </c>
      <c r="G91" s="162" t="s">
        <v>546</v>
      </c>
      <c r="H91" s="162">
        <v>0</v>
      </c>
      <c r="I91" s="156" t="s">
        <v>549</v>
      </c>
      <c r="J91" t="s">
        <v>550</v>
      </c>
      <c r="K91" s="73" t="s">
        <v>466</v>
      </c>
      <c r="L91" s="73"/>
      <c r="M91" s="164">
        <v>45196</v>
      </c>
      <c r="N91" s="164">
        <v>45196</v>
      </c>
      <c r="O91" s="162" t="s">
        <v>327</v>
      </c>
      <c r="P91" s="164" t="s">
        <v>328</v>
      </c>
    </row>
    <row r="92" spans="1:16" ht="25" x14ac:dyDescent="0.25">
      <c r="A92" s="163" t="str">
        <f ca="1">HYPERLINK(MID(CELL("filename",A1),FIND("[",CELL("filename",A1)),FIND("]",CELL("filename",A1)) - FIND("[",CELL("filename",A1)) + 1) &amp; "'x-702'!TABLE_CLIENT_1","x-702 1")</f>
        <v>x-702 1</v>
      </c>
      <c r="B92" s="162" t="s">
        <v>319</v>
      </c>
      <c r="C92" s="162">
        <v>2015</v>
      </c>
      <c r="D92" s="162" t="s">
        <v>544</v>
      </c>
      <c r="E92" s="162" t="s">
        <v>551</v>
      </c>
      <c r="F92" s="162" t="s">
        <v>404</v>
      </c>
      <c r="G92" s="162" t="s">
        <v>552</v>
      </c>
      <c r="H92" s="162">
        <v>0</v>
      </c>
      <c r="I92" s="156">
        <v>702</v>
      </c>
      <c r="J92" t="s">
        <v>553</v>
      </c>
      <c r="K92" s="73" t="s">
        <v>469</v>
      </c>
      <c r="L92" s="73"/>
      <c r="M92" s="164">
        <v>45196</v>
      </c>
      <c r="N92" s="164">
        <v>45196</v>
      </c>
      <c r="O92" s="162" t="s">
        <v>327</v>
      </c>
      <c r="P92" s="164" t="s">
        <v>328</v>
      </c>
    </row>
    <row r="93" spans="1:16" x14ac:dyDescent="0.25">
      <c r="A93" s="163" t="str">
        <f ca="1">HYPERLINK(MID(CELL("filename",A1),FIND("[",CELL("filename",A1)),FIND("]",CELL("filename",A1)) - FIND("[",CELL("filename",A1)) + 1) &amp; "'x-802'!TABLE_CLIENT_1","x-802 1")</f>
        <v>x-802 1</v>
      </c>
      <c r="B93" s="162" t="s">
        <v>319</v>
      </c>
      <c r="C93" s="162">
        <v>2007</v>
      </c>
      <c r="D93" s="162" t="s">
        <v>554</v>
      </c>
      <c r="E93" s="162" t="s">
        <v>555</v>
      </c>
      <c r="F93" s="162" t="s">
        <v>404</v>
      </c>
      <c r="G93" s="162" t="s">
        <v>530</v>
      </c>
      <c r="H93" s="162">
        <v>0</v>
      </c>
      <c r="I93" s="156">
        <v>802</v>
      </c>
      <c r="J93" t="s">
        <v>556</v>
      </c>
      <c r="K93" s="73" t="s">
        <v>540</v>
      </c>
      <c r="L93" s="73"/>
      <c r="M93" s="164"/>
      <c r="N93" s="164"/>
      <c r="O93" s="162" t="s">
        <v>557</v>
      </c>
      <c r="P93" s="164"/>
    </row>
    <row r="94" spans="1:16" x14ac:dyDescent="0.25">
      <c r="A94" s="163" t="str">
        <f ca="1">HYPERLINK(MID(CELL("filename",A1),FIND("[",CELL("filename",A1)),FIND("]",CELL("filename",A1)) - FIND("[",CELL("filename",A1)) + 1) &amp; "'x-802'!TABLE_CLIENT_2","x-802 2")</f>
        <v>x-802 2</v>
      </c>
      <c r="B94" s="162" t="s">
        <v>319</v>
      </c>
      <c r="C94" s="162">
        <v>2007</v>
      </c>
      <c r="D94" s="162" t="s">
        <v>554</v>
      </c>
      <c r="E94" s="162" t="s">
        <v>558</v>
      </c>
      <c r="F94" s="162" t="s">
        <v>404</v>
      </c>
      <c r="G94" s="162" t="s">
        <v>530</v>
      </c>
      <c r="H94" s="162">
        <v>0</v>
      </c>
      <c r="I94" s="156">
        <v>802</v>
      </c>
      <c r="J94" t="s">
        <v>559</v>
      </c>
      <c r="K94" s="73" t="s">
        <v>543</v>
      </c>
      <c r="L94" s="73"/>
      <c r="M94" s="164"/>
      <c r="N94" s="164"/>
      <c r="O94" s="162" t="s">
        <v>557</v>
      </c>
      <c r="P94" s="164"/>
    </row>
    <row r="95" spans="1:16" x14ac:dyDescent="0.25">
      <c r="A95" s="163" t="str">
        <f ca="1">HYPERLINK(MID(CELL("filename",A1),FIND("[",CELL("filename",A1)),FIND("]",CELL("filename",A1)) - FIND("[",CELL("filename",A1)) + 1) &amp; "'x-802'!TABLE_CLIENT_3","x-802 3")</f>
        <v>x-802 3</v>
      </c>
      <c r="B95" s="162" t="s">
        <v>319</v>
      </c>
      <c r="C95" s="162">
        <v>2007</v>
      </c>
      <c r="D95" s="162" t="s">
        <v>554</v>
      </c>
      <c r="E95" s="162" t="s">
        <v>560</v>
      </c>
      <c r="F95" s="162" t="s">
        <v>404</v>
      </c>
      <c r="G95" s="162" t="s">
        <v>530</v>
      </c>
      <c r="H95" s="162">
        <v>0</v>
      </c>
      <c r="I95" s="156">
        <v>802</v>
      </c>
      <c r="J95" t="s">
        <v>561</v>
      </c>
      <c r="K95" s="73" t="s">
        <v>507</v>
      </c>
      <c r="L95" s="73"/>
      <c r="M95" s="164"/>
      <c r="N95" s="164"/>
      <c r="O95" s="162" t="s">
        <v>557</v>
      </c>
      <c r="P95" s="164"/>
    </row>
  </sheetData>
  <autoFilter ref="A7:P7" xr:uid="{00000000-0001-0000-0500-000000000000}"/>
  <sortState xmlns:xlrd2="http://schemas.microsoft.com/office/spreadsheetml/2017/richdata2" ref="B8:P34">
    <sortCondition ref="I8:I34"/>
    <sortCondition ref="H8:H34"/>
    <sortCondition ref="J8:J34"/>
    <sortCondition ref="F8:F34"/>
  </sortState>
  <phoneticPr fontId="22" type="noConversion"/>
  <conditionalFormatting sqref="J9:J95">
    <cfRule type="expression" dxfId="1632" priority="23" stopIfTrue="1">
      <formula>COUNTIF($J$8:$J$95,J9) &gt; 1</formula>
    </cfRule>
  </conditionalFormatting>
  <conditionalFormatting sqref="C8:C95 L8:L95 A8:A95">
    <cfRule type="expression" dxfId="1631" priority="15" stopIfTrue="1">
      <formula>MOD(ROW(),2)=0</formula>
    </cfRule>
    <cfRule type="expression" dxfId="1630" priority="16" stopIfTrue="1">
      <formula>MOD(ROW(),2)&lt;&gt;0</formula>
    </cfRule>
  </conditionalFormatting>
  <conditionalFormatting sqref="D8:J95 M8:O95">
    <cfRule type="expression" dxfId="1629" priority="13" stopIfTrue="1">
      <formula>MOD(ROW(),2)=0</formula>
    </cfRule>
    <cfRule type="expression" dxfId="1628" priority="14" stopIfTrue="1">
      <formula>MOD(ROW(),2)&lt;&gt;0</formula>
    </cfRule>
  </conditionalFormatting>
  <conditionalFormatting sqref="B8:B95">
    <cfRule type="expression" dxfId="1627" priority="11" stopIfTrue="1">
      <formula>MOD(ROW(),2)=0</formula>
    </cfRule>
    <cfRule type="expression" dxfId="1626" priority="12" stopIfTrue="1">
      <formula>MOD(ROW(),2)&lt;&gt;0</formula>
    </cfRule>
  </conditionalFormatting>
  <conditionalFormatting sqref="L8:O95 A8:J95">
    <cfRule type="expression" priority="17" stopIfTrue="1">
      <formula>MOD(ROW(),2)=0</formula>
    </cfRule>
    <cfRule type="expression" priority="18" stopIfTrue="1">
      <formula>MOD(ROW(),2)&lt;&gt;0</formula>
    </cfRule>
    <cfRule type="expression" priority="19" stopIfTrue="1">
      <formula>MOD(ROW(),2)=0</formula>
    </cfRule>
    <cfRule type="expression" priority="20" stopIfTrue="1">
      <formula>MOD(ROW(),2)&lt;&gt;0</formula>
    </cfRule>
    <cfRule type="expression" priority="21" stopIfTrue="1">
      <formula>MOD(ROW(),2)=0</formula>
    </cfRule>
    <cfRule type="expression" priority="22" stopIfTrue="1">
      <formula>MOD(ROW(),2)&lt;&gt;0</formula>
    </cfRule>
  </conditionalFormatting>
  <conditionalFormatting sqref="K8:K95">
    <cfRule type="expression" dxfId="1625" priority="9" stopIfTrue="1">
      <formula>MOD(ROW(),2)=0</formula>
    </cfRule>
    <cfRule type="expression" dxfId="1624" priority="10" stopIfTrue="1">
      <formula>MOD(ROW(),2)&lt;&gt;0</formula>
    </cfRule>
  </conditionalFormatting>
  <conditionalFormatting sqref="P8:P95">
    <cfRule type="expression" priority="3" stopIfTrue="1">
      <formula>MOD(ROW(),2)=0</formula>
    </cfRule>
    <cfRule type="expression" priority="4" stopIfTrue="1">
      <formula>MOD(ROW(),2)&lt;&gt;0</formula>
    </cfRule>
    <cfRule type="expression" priority="5" stopIfTrue="1">
      <formula>MOD(ROW(),2)=0</formula>
    </cfRule>
    <cfRule type="expression" priority="6" stopIfTrue="1">
      <formula>MOD(ROW(),2)&lt;&gt;0</formula>
    </cfRule>
    <cfRule type="expression" priority="7" stopIfTrue="1">
      <formula>MOD(ROW(),2)=0</formula>
    </cfRule>
    <cfRule type="expression" priority="8" stopIfTrue="1">
      <formula>MOD(ROW(),2)&lt;&gt;0</formula>
    </cfRule>
  </conditionalFormatting>
  <conditionalFormatting sqref="P8:P95">
    <cfRule type="expression" dxfId="1623" priority="1" stopIfTrue="1">
      <formula>MOD(ROW(),2)=0</formula>
    </cfRule>
    <cfRule type="expression" dxfId="1622" priority="2" stopIfTrue="1">
      <formula>MOD(ROW(),2)&lt;&gt;0</formula>
    </cfRule>
  </conditionalFormatting>
  <pageMargins left="0.7" right="0.7" top="0.75" bottom="0.75" header="0.3" footer="0.3"/>
  <pageSetup paperSize="9" orientation="portrait" horizontalDpi="1200" verticalDpi="1200" r:id="rId1"/>
  <headerFooter>
    <oddHeader>&amp;L&amp;Z&amp;F  [&amp;A]</oddHeader>
    <oddFooter>&amp;LPage &amp;P of &amp;N&amp;R&amp;T &amp;D</oddFooter>
  </headerFooter>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codeName="Sheet75"/>
  <dimension ref="A1:I46"/>
  <sheetViews>
    <sheetView showGridLines="0" zoomScale="85" zoomScaleNormal="85" workbookViewId="0">
      <selection activeCell="B18" sqref="B18"/>
    </sheetView>
  </sheetViews>
  <sheetFormatPr defaultColWidth="10" defaultRowHeight="12.5" x14ac:dyDescent="0.25"/>
  <cols>
    <col min="1" max="1" width="31.81640625" style="28" customWidth="1"/>
    <col min="2" max="2" width="22.81640625" style="28" customWidth="1"/>
    <col min="3" max="3" width="28.453125" style="28" customWidth="1"/>
    <col min="4" max="4" width="10" style="28" customWidth="1"/>
    <col min="5" max="16384" width="10" style="28"/>
  </cols>
  <sheetData>
    <row r="1" spans="1:9" ht="20" x14ac:dyDescent="0.4">
      <c r="A1" s="40" t="s">
        <v>227</v>
      </c>
      <c r="B1" s="41"/>
      <c r="C1" s="41"/>
      <c r="D1" s="41"/>
      <c r="E1" s="41"/>
      <c r="F1" s="41"/>
      <c r="G1" s="41"/>
      <c r="H1" s="41"/>
      <c r="I1" s="41"/>
    </row>
    <row r="2" spans="1:9" ht="15.5" x14ac:dyDescent="0.35">
      <c r="A2" s="42" t="str">
        <f>IF(title="&gt; Enter workbook title here","Enter workbook title in Cover sheet",title)</f>
        <v>Fire Northern Ireland - Consolidated Factor Spreadsheet</v>
      </c>
      <c r="B2" s="43"/>
      <c r="C2" s="43"/>
      <c r="D2" s="43"/>
      <c r="E2" s="43"/>
      <c r="F2" s="43"/>
      <c r="G2" s="43"/>
      <c r="H2" s="43"/>
      <c r="I2" s="43"/>
    </row>
    <row r="3" spans="1:9" ht="15.5" x14ac:dyDescent="0.35">
      <c r="A3" s="44" t="str">
        <f>TABLE_FACTOR_TYPE_1&amp;" - x-"&amp;TABLE_SERIES_NUMBER_1</f>
        <v>Triv Comm - x-501</v>
      </c>
      <c r="B3" s="43"/>
      <c r="C3" s="43"/>
      <c r="D3" s="43"/>
      <c r="E3" s="43"/>
      <c r="F3" s="43"/>
      <c r="G3" s="43"/>
      <c r="H3" s="43"/>
      <c r="I3" s="43"/>
    </row>
    <row r="4" spans="1:9" x14ac:dyDescent="0.25">
      <c r="A4" s="45"/>
    </row>
    <row r="6" spans="1:9" ht="13" x14ac:dyDescent="0.3">
      <c r="A6" s="75" t="s">
        <v>562</v>
      </c>
      <c r="B6" s="159" t="s">
        <v>563</v>
      </c>
      <c r="C6" s="159"/>
    </row>
    <row r="7" spans="1:9" x14ac:dyDescent="0.25">
      <c r="A7" s="77" t="s">
        <v>305</v>
      </c>
      <c r="B7" s="159" t="s">
        <v>319</v>
      </c>
      <c r="C7" s="159"/>
    </row>
    <row r="8" spans="1:9" x14ac:dyDescent="0.25">
      <c r="A8" s="77" t="s">
        <v>306</v>
      </c>
      <c r="B8" s="159" t="s">
        <v>461</v>
      </c>
      <c r="C8" s="159"/>
    </row>
    <row r="9" spans="1:9" x14ac:dyDescent="0.25">
      <c r="A9" s="77" t="s">
        <v>307</v>
      </c>
      <c r="B9" s="159" t="s">
        <v>462</v>
      </c>
      <c r="C9" s="159"/>
    </row>
    <row r="10" spans="1:9" x14ac:dyDescent="0.25">
      <c r="A10" s="77" t="s">
        <v>233</v>
      </c>
      <c r="B10" s="159" t="s">
        <v>463</v>
      </c>
      <c r="C10" s="159"/>
    </row>
    <row r="11" spans="1:9" x14ac:dyDescent="0.25">
      <c r="A11" s="77" t="s">
        <v>308</v>
      </c>
      <c r="B11" s="159" t="s">
        <v>404</v>
      </c>
      <c r="C11" s="159"/>
    </row>
    <row r="12" spans="1:9" x14ac:dyDescent="0.25">
      <c r="A12" s="77" t="s">
        <v>309</v>
      </c>
      <c r="B12" s="159" t="s">
        <v>464</v>
      </c>
      <c r="C12" s="159"/>
    </row>
    <row r="13" spans="1:9" x14ac:dyDescent="0.25">
      <c r="A13" s="77" t="s">
        <v>570</v>
      </c>
      <c r="B13" s="159">
        <v>1</v>
      </c>
      <c r="C13" s="159"/>
    </row>
    <row r="14" spans="1:9" x14ac:dyDescent="0.25">
      <c r="A14" s="77" t="s">
        <v>311</v>
      </c>
      <c r="B14" s="159">
        <v>501</v>
      </c>
      <c r="C14" s="159"/>
    </row>
    <row r="15" spans="1:9" x14ac:dyDescent="0.25">
      <c r="A15" s="77" t="s">
        <v>573</v>
      </c>
      <c r="B15" s="159" t="s">
        <v>465</v>
      </c>
      <c r="C15" s="159"/>
    </row>
    <row r="16" spans="1:9" x14ac:dyDescent="0.25">
      <c r="A16" s="77" t="s">
        <v>313</v>
      </c>
      <c r="B16" s="159" t="s">
        <v>466</v>
      </c>
      <c r="C16" s="159"/>
    </row>
    <row r="17" spans="1:4" ht="114" customHeight="1" x14ac:dyDescent="0.25">
      <c r="A17" s="77" t="s">
        <v>642</v>
      </c>
      <c r="B17" s="159"/>
      <c r="C17" s="159"/>
    </row>
    <row r="18" spans="1:4" x14ac:dyDescent="0.25">
      <c r="A18" s="77" t="s">
        <v>315</v>
      </c>
      <c r="B18" s="161">
        <v>45135</v>
      </c>
      <c r="C18" s="159"/>
    </row>
    <row r="19" spans="1:4" x14ac:dyDescent="0.25">
      <c r="A19" s="77" t="s">
        <v>316</v>
      </c>
      <c r="B19" s="161">
        <v>45135</v>
      </c>
      <c r="C19" s="159"/>
    </row>
    <row r="20" spans="1:4" x14ac:dyDescent="0.25">
      <c r="A20" s="77" t="s">
        <v>317</v>
      </c>
      <c r="B20" s="159" t="s">
        <v>327</v>
      </c>
      <c r="C20" s="159"/>
    </row>
    <row r="21" spans="1:4" x14ac:dyDescent="0.25">
      <c r="A21" s="77" t="s">
        <v>318</v>
      </c>
      <c r="B21" s="159" t="s">
        <v>328</v>
      </c>
      <c r="C21" s="159"/>
    </row>
    <row r="23" spans="1:4" x14ac:dyDescent="0.25">
      <c r="B23" s="91" t="str">
        <f>HYPERLINK("#'Factor List'!A1","Back to Factor List")</f>
        <v>Back to Factor List</v>
      </c>
    </row>
    <row r="24" spans="1:4" x14ac:dyDescent="0.25">
      <c r="B24" s="91" t="s">
        <v>240</v>
      </c>
    </row>
    <row r="25" spans="1:4" x14ac:dyDescent="0.25">
      <c r="B25" s="91"/>
    </row>
    <row r="26" spans="1:4" ht="39" x14ac:dyDescent="0.25">
      <c r="A26" s="87" t="s">
        <v>643</v>
      </c>
      <c r="B26" s="87" t="s">
        <v>673</v>
      </c>
      <c r="C26" s="87" t="s">
        <v>674</v>
      </c>
    </row>
    <row r="27" spans="1:4" x14ac:dyDescent="0.25">
      <c r="A27" s="88">
        <v>60</v>
      </c>
      <c r="B27" s="90">
        <v>20.321000000000002</v>
      </c>
      <c r="C27" s="90">
        <v>3.8380000000000001</v>
      </c>
      <c r="D27" s="83"/>
    </row>
    <row r="28" spans="1:4" x14ac:dyDescent="0.25">
      <c r="A28" s="88">
        <v>61</v>
      </c>
      <c r="B28" s="90">
        <v>19.702999999999999</v>
      </c>
      <c r="C28" s="90">
        <v>3.8559999999999999</v>
      </c>
    </row>
    <row r="29" spans="1:4" x14ac:dyDescent="0.25">
      <c r="A29" s="88">
        <v>62</v>
      </c>
      <c r="B29" s="90">
        <v>19.081</v>
      </c>
      <c r="C29" s="90">
        <v>3.87</v>
      </c>
    </row>
    <row r="30" spans="1:4" x14ac:dyDescent="0.25">
      <c r="A30" s="88">
        <v>63</v>
      </c>
      <c r="B30" s="90">
        <v>18.456</v>
      </c>
      <c r="C30" s="90">
        <v>3.8820000000000001</v>
      </c>
    </row>
    <row r="31" spans="1:4" x14ac:dyDescent="0.25">
      <c r="A31" s="88">
        <v>64</v>
      </c>
      <c r="B31" s="90">
        <v>17.829000000000001</v>
      </c>
      <c r="C31" s="90">
        <v>3.8889999999999998</v>
      </c>
    </row>
    <row r="32" spans="1:4" x14ac:dyDescent="0.25">
      <c r="A32" s="88">
        <v>65</v>
      </c>
      <c r="B32" s="90">
        <v>17.2</v>
      </c>
      <c r="C32" s="90">
        <v>3.8919999999999999</v>
      </c>
    </row>
    <row r="33" spans="1:3" x14ac:dyDescent="0.25">
      <c r="A33" s="88">
        <v>66</v>
      </c>
      <c r="B33" s="90">
        <v>16.568999999999999</v>
      </c>
      <c r="C33" s="90">
        <v>3.8919999999999999</v>
      </c>
    </row>
    <row r="34" spans="1:3" x14ac:dyDescent="0.25">
      <c r="A34" s="88">
        <v>67</v>
      </c>
      <c r="B34" s="90">
        <v>15.938000000000001</v>
      </c>
      <c r="C34" s="90">
        <v>3.8860000000000001</v>
      </c>
    </row>
    <row r="35" spans="1:3" x14ac:dyDescent="0.25">
      <c r="A35" s="88">
        <v>68</v>
      </c>
      <c r="B35" s="90">
        <v>15.305999999999999</v>
      </c>
      <c r="C35" s="90">
        <v>3.8769999999999998</v>
      </c>
    </row>
    <row r="36" spans="1:3" x14ac:dyDescent="0.25">
      <c r="A36" s="88">
        <v>69</v>
      </c>
      <c r="B36" s="90">
        <v>14.675000000000001</v>
      </c>
      <c r="C36" s="90">
        <v>3.8620000000000001</v>
      </c>
    </row>
    <row r="37" spans="1:3" x14ac:dyDescent="0.25">
      <c r="A37" s="88">
        <v>70</v>
      </c>
      <c r="B37" s="90">
        <v>14.044</v>
      </c>
      <c r="C37" s="90">
        <v>3.843</v>
      </c>
    </row>
    <row r="38" spans="1:3" x14ac:dyDescent="0.25">
      <c r="A38" s="88">
        <v>71</v>
      </c>
      <c r="B38" s="90">
        <v>13.416</v>
      </c>
      <c r="C38" s="90">
        <v>3.819</v>
      </c>
    </row>
    <row r="39" spans="1:3" x14ac:dyDescent="0.25">
      <c r="A39" s="88">
        <v>72</v>
      </c>
      <c r="B39" s="90">
        <v>12.792</v>
      </c>
      <c r="C39" s="90">
        <v>3.7890000000000001</v>
      </c>
    </row>
    <row r="40" spans="1:3" x14ac:dyDescent="0.25">
      <c r="A40" s="88">
        <v>73</v>
      </c>
      <c r="B40" s="90">
        <v>12.173</v>
      </c>
      <c r="C40" s="90">
        <v>3.7519999999999998</v>
      </c>
    </row>
    <row r="41" spans="1:3" x14ac:dyDescent="0.25">
      <c r="A41" s="88">
        <v>74</v>
      </c>
      <c r="B41" s="90">
        <v>11.56</v>
      </c>
      <c r="C41" s="90">
        <v>3.6120000000000001</v>
      </c>
    </row>
    <row r="44" spans="1:3" ht="39.65" customHeight="1" x14ac:dyDescent="0.25"/>
    <row r="46" spans="1:3" ht="27.65" customHeight="1" x14ac:dyDescent="0.25"/>
  </sheetData>
  <sheetProtection algorithmName="SHA-512" hashValue="qdQBm24m3YhY1fBAHYniFOWbk5Y5e5qM8ZGsoKXdSIZmGNNWUEus2kRnFJzJX7Shxpe/JeNVOGKe5uiBYwQK3A==" saltValue="Gndm1I2omGldZjalNE+XJA==" spinCount="100000" sheet="1" objects="1" scenarios="1"/>
  <conditionalFormatting sqref="A6:A16">
    <cfRule type="expression" dxfId="617" priority="21" stopIfTrue="1">
      <formula>MOD(ROW(),2)=0</formula>
    </cfRule>
    <cfRule type="expression" dxfId="616" priority="22" stopIfTrue="1">
      <formula>MOD(ROW(),2)&lt;&gt;0</formula>
    </cfRule>
  </conditionalFormatting>
  <conditionalFormatting sqref="B6:C21">
    <cfRule type="expression" dxfId="615" priority="23" stopIfTrue="1">
      <formula>MOD(ROW(),2)=0</formula>
    </cfRule>
    <cfRule type="expression" dxfId="614" priority="24" stopIfTrue="1">
      <formula>MOD(ROW(),2)&lt;&gt;0</formula>
    </cfRule>
  </conditionalFormatting>
  <conditionalFormatting sqref="A17:A20">
    <cfRule type="expression" dxfId="613" priority="13" stopIfTrue="1">
      <formula>MOD(ROW(),2)=0</formula>
    </cfRule>
    <cfRule type="expression" dxfId="612" priority="14" stopIfTrue="1">
      <formula>MOD(ROW(),2)&lt;&gt;0</formula>
    </cfRule>
  </conditionalFormatting>
  <conditionalFormatting sqref="B17:B18 B20:B21">
    <cfRule type="expression" dxfId="611" priority="15" stopIfTrue="1">
      <formula>MOD(ROW(),2)=0</formula>
    </cfRule>
    <cfRule type="expression" dxfId="610" priority="16" stopIfTrue="1">
      <formula>MOD(ROW(),2)&lt;&gt;0</formula>
    </cfRule>
  </conditionalFormatting>
  <conditionalFormatting sqref="B19">
    <cfRule type="expression" dxfId="609" priority="9" stopIfTrue="1">
      <formula>MOD(ROW(),2)=0</formula>
    </cfRule>
    <cfRule type="expression" dxfId="608" priority="10" stopIfTrue="1">
      <formula>MOD(ROW(),2)&lt;&gt;0</formula>
    </cfRule>
  </conditionalFormatting>
  <conditionalFormatting sqref="A26:A41">
    <cfRule type="expression" dxfId="607" priority="5" stopIfTrue="1">
      <formula>MOD(ROW(),2)=0</formula>
    </cfRule>
    <cfRule type="expression" dxfId="606" priority="6" stopIfTrue="1">
      <formula>MOD(ROW(),2)&lt;&gt;0</formula>
    </cfRule>
  </conditionalFormatting>
  <conditionalFormatting sqref="B26:C41">
    <cfRule type="expression" dxfId="605" priority="7" stopIfTrue="1">
      <formula>MOD(ROW(),2)=0</formula>
    </cfRule>
    <cfRule type="expression" dxfId="604" priority="8" stopIfTrue="1">
      <formula>MOD(ROW(),2)&lt;&gt;0</formula>
    </cfRule>
  </conditionalFormatting>
  <conditionalFormatting sqref="A21">
    <cfRule type="expression" dxfId="603" priority="1" stopIfTrue="1">
      <formula>MOD(ROW(),2)=0</formula>
    </cfRule>
    <cfRule type="expression" dxfId="602" priority="2" stopIfTrue="1">
      <formula>MOD(ROW(),2)&lt;&gt;0</formula>
    </cfRule>
  </conditionalFormatting>
  <hyperlinks>
    <hyperlink ref="B24" location="Assumptions!A1" display="Assumptions" xr:uid="{9401C617-6F20-45F6-B87C-560143DD850B}"/>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codeName="Sheet76"/>
  <dimension ref="A1:I101"/>
  <sheetViews>
    <sheetView showGridLines="0" zoomScale="85" zoomScaleNormal="85" workbookViewId="0">
      <selection activeCell="B18" sqref="B18"/>
    </sheetView>
  </sheetViews>
  <sheetFormatPr defaultColWidth="10" defaultRowHeight="12.5" x14ac:dyDescent="0.25"/>
  <cols>
    <col min="1" max="1" width="31.81640625" style="28" customWidth="1"/>
    <col min="2" max="2" width="51.81640625" style="28" customWidth="1"/>
    <col min="3" max="3" width="10.1796875" style="28" customWidth="1"/>
    <col min="4" max="4" width="10" style="28" customWidth="1"/>
    <col min="5" max="16384" width="10" style="28"/>
  </cols>
  <sheetData>
    <row r="1" spans="1:9" ht="20" x14ac:dyDescent="0.4">
      <c r="A1" s="40" t="s">
        <v>227</v>
      </c>
      <c r="B1" s="41"/>
      <c r="C1" s="41"/>
      <c r="D1" s="41"/>
      <c r="E1" s="41"/>
      <c r="F1" s="41"/>
      <c r="G1" s="41"/>
      <c r="H1" s="41"/>
      <c r="I1" s="41"/>
    </row>
    <row r="2" spans="1:9" ht="15.5" x14ac:dyDescent="0.35">
      <c r="A2" s="42" t="str">
        <f>IF(title="&gt; Enter workbook title here","Enter workbook title in Cover sheet",title)</f>
        <v>Fire Northern Ireland - Consolidated Factor Spreadsheet</v>
      </c>
      <c r="B2" s="43"/>
      <c r="C2" s="43"/>
      <c r="D2" s="43"/>
      <c r="E2" s="43"/>
      <c r="F2" s="43"/>
      <c r="G2" s="43"/>
      <c r="H2" s="43"/>
      <c r="I2" s="43"/>
    </row>
    <row r="3" spans="1:9" ht="15.5" x14ac:dyDescent="0.35">
      <c r="A3" s="44" t="str">
        <f>TABLE_FACTOR_TYPE_1&amp;" - x-"&amp;TABLE_SERIES_NUMBER_1</f>
        <v>Triv Comm - x-502</v>
      </c>
      <c r="B3" s="43"/>
      <c r="C3" s="43"/>
      <c r="D3" s="43"/>
      <c r="E3" s="43"/>
      <c r="F3" s="43"/>
      <c r="G3" s="43"/>
      <c r="H3" s="43"/>
      <c r="I3" s="43"/>
    </row>
    <row r="4" spans="1:9" x14ac:dyDescent="0.25">
      <c r="A4" s="45"/>
    </row>
    <row r="6" spans="1:9" ht="13" x14ac:dyDescent="0.3">
      <c r="A6" s="75" t="s">
        <v>562</v>
      </c>
      <c r="B6" s="159" t="s">
        <v>563</v>
      </c>
    </row>
    <row r="7" spans="1:9" x14ac:dyDescent="0.25">
      <c r="A7" s="77" t="s">
        <v>305</v>
      </c>
      <c r="B7" s="159" t="s">
        <v>319</v>
      </c>
    </row>
    <row r="8" spans="1:9" x14ac:dyDescent="0.25">
      <c r="A8" s="77" t="s">
        <v>306</v>
      </c>
      <c r="B8" s="159" t="s">
        <v>461</v>
      </c>
    </row>
    <row r="9" spans="1:9" x14ac:dyDescent="0.25">
      <c r="A9" s="77" t="s">
        <v>307</v>
      </c>
      <c r="B9" s="159" t="s">
        <v>462</v>
      </c>
    </row>
    <row r="10" spans="1:9" ht="31" customHeight="1" x14ac:dyDescent="0.25">
      <c r="A10" s="77" t="s">
        <v>233</v>
      </c>
      <c r="B10" s="159" t="s">
        <v>467</v>
      </c>
    </row>
    <row r="11" spans="1:9" x14ac:dyDescent="0.25">
      <c r="A11" s="77" t="s">
        <v>308</v>
      </c>
      <c r="B11" s="159" t="s">
        <v>404</v>
      </c>
    </row>
    <row r="12" spans="1:9" x14ac:dyDescent="0.25">
      <c r="A12" s="77" t="s">
        <v>309</v>
      </c>
      <c r="B12" s="159" t="s">
        <v>464</v>
      </c>
    </row>
    <row r="13" spans="1:9" x14ac:dyDescent="0.25">
      <c r="A13" s="77" t="s">
        <v>570</v>
      </c>
      <c r="B13" s="159">
        <v>1</v>
      </c>
    </row>
    <row r="14" spans="1:9" x14ac:dyDescent="0.25">
      <c r="A14" s="77" t="s">
        <v>311</v>
      </c>
      <c r="B14" s="159">
        <v>502</v>
      </c>
    </row>
    <row r="15" spans="1:9" x14ac:dyDescent="0.25">
      <c r="A15" s="77" t="s">
        <v>573</v>
      </c>
      <c r="B15" s="159" t="s">
        <v>468</v>
      </c>
    </row>
    <row r="16" spans="1:9" x14ac:dyDescent="0.25">
      <c r="A16" s="77" t="s">
        <v>313</v>
      </c>
      <c r="B16" s="159" t="s">
        <v>469</v>
      </c>
    </row>
    <row r="17" spans="1:2" ht="106.5" customHeight="1" x14ac:dyDescent="0.25">
      <c r="A17" s="77" t="s">
        <v>642</v>
      </c>
      <c r="B17" s="159"/>
    </row>
    <row r="18" spans="1:2" x14ac:dyDescent="0.25">
      <c r="A18" s="77" t="s">
        <v>315</v>
      </c>
      <c r="B18" s="161">
        <v>45135</v>
      </c>
    </row>
    <row r="19" spans="1:2" x14ac:dyDescent="0.25">
      <c r="A19" s="77" t="s">
        <v>316</v>
      </c>
      <c r="B19" s="161">
        <v>45135</v>
      </c>
    </row>
    <row r="20" spans="1:2" x14ac:dyDescent="0.25">
      <c r="A20" s="77" t="s">
        <v>317</v>
      </c>
      <c r="B20" s="159" t="s">
        <v>327</v>
      </c>
    </row>
    <row r="21" spans="1:2" x14ac:dyDescent="0.25">
      <c r="A21" s="77" t="s">
        <v>318</v>
      </c>
      <c r="B21" s="159" t="s">
        <v>328</v>
      </c>
    </row>
    <row r="23" spans="1:2" x14ac:dyDescent="0.25">
      <c r="B23" s="91" t="str">
        <f>HYPERLINK("#'Factor List'!A1","Back to Factor List")</f>
        <v>Back to Factor List</v>
      </c>
    </row>
    <row r="24" spans="1:2" x14ac:dyDescent="0.25">
      <c r="B24" s="91" t="s">
        <v>240</v>
      </c>
    </row>
    <row r="25" spans="1:2" x14ac:dyDescent="0.25">
      <c r="B25" s="91"/>
    </row>
    <row r="26" spans="1:2" ht="13" x14ac:dyDescent="0.25">
      <c r="A26" s="87" t="s">
        <v>643</v>
      </c>
      <c r="B26" s="87" t="s">
        <v>675</v>
      </c>
    </row>
    <row r="27" spans="1:2" x14ac:dyDescent="0.25">
      <c r="A27" s="88">
        <v>25</v>
      </c>
      <c r="B27" s="90">
        <v>38.481999999999999</v>
      </c>
    </row>
    <row r="28" spans="1:2" x14ac:dyDescent="0.25">
      <c r="A28" s="88">
        <v>26</v>
      </c>
      <c r="B28" s="90">
        <v>38.1</v>
      </c>
    </row>
    <row r="29" spans="1:2" x14ac:dyDescent="0.25">
      <c r="A29" s="88">
        <v>27</v>
      </c>
      <c r="B29" s="90">
        <v>37.710999999999999</v>
      </c>
    </row>
    <row r="30" spans="1:2" x14ac:dyDescent="0.25">
      <c r="A30" s="88">
        <v>28</v>
      </c>
      <c r="B30" s="90">
        <v>37.314999999999998</v>
      </c>
    </row>
    <row r="31" spans="1:2" x14ac:dyDescent="0.25">
      <c r="A31" s="88">
        <v>29</v>
      </c>
      <c r="B31" s="90">
        <v>36.912999999999997</v>
      </c>
    </row>
    <row r="32" spans="1:2" x14ac:dyDescent="0.25">
      <c r="A32" s="88">
        <v>30</v>
      </c>
      <c r="B32" s="90">
        <v>36.505000000000003</v>
      </c>
    </row>
    <row r="33" spans="1:2" x14ac:dyDescent="0.25">
      <c r="A33" s="88">
        <v>31</v>
      </c>
      <c r="B33" s="90">
        <v>36.090000000000003</v>
      </c>
    </row>
    <row r="34" spans="1:2" x14ac:dyDescent="0.25">
      <c r="A34" s="88">
        <v>32</v>
      </c>
      <c r="B34" s="90">
        <v>35.667999999999999</v>
      </c>
    </row>
    <row r="35" spans="1:2" x14ac:dyDescent="0.25">
      <c r="A35" s="88">
        <v>33</v>
      </c>
      <c r="B35" s="90">
        <v>35.24</v>
      </c>
    </row>
    <row r="36" spans="1:2" x14ac:dyDescent="0.25">
      <c r="A36" s="88">
        <v>34</v>
      </c>
      <c r="B36" s="90">
        <v>34.805</v>
      </c>
    </row>
    <row r="37" spans="1:2" x14ac:dyDescent="0.25">
      <c r="A37" s="88">
        <v>35</v>
      </c>
      <c r="B37" s="90">
        <v>34.363999999999997</v>
      </c>
    </row>
    <row r="38" spans="1:2" x14ac:dyDescent="0.25">
      <c r="A38" s="88">
        <v>36</v>
      </c>
      <c r="B38" s="90">
        <v>33.917000000000002</v>
      </c>
    </row>
    <row r="39" spans="1:2" x14ac:dyDescent="0.25">
      <c r="A39" s="88">
        <v>37</v>
      </c>
      <c r="B39" s="90">
        <v>33.463000000000001</v>
      </c>
    </row>
    <row r="40" spans="1:2" x14ac:dyDescent="0.25">
      <c r="A40" s="88">
        <v>38</v>
      </c>
      <c r="B40" s="90">
        <v>33.003</v>
      </c>
    </row>
    <row r="41" spans="1:2" x14ac:dyDescent="0.25">
      <c r="A41" s="88">
        <v>39</v>
      </c>
      <c r="B41" s="90">
        <v>32.536999999999999</v>
      </c>
    </row>
    <row r="42" spans="1:2" x14ac:dyDescent="0.25">
      <c r="A42" s="88">
        <v>40</v>
      </c>
      <c r="B42" s="90">
        <v>32.064</v>
      </c>
    </row>
    <row r="43" spans="1:2" x14ac:dyDescent="0.25">
      <c r="A43" s="88">
        <v>41</v>
      </c>
      <c r="B43" s="90">
        <v>31.585000000000001</v>
      </c>
    </row>
    <row r="44" spans="1:2" x14ac:dyDescent="0.25">
      <c r="A44" s="88">
        <v>42</v>
      </c>
      <c r="B44" s="90">
        <v>31.1</v>
      </c>
    </row>
    <row r="45" spans="1:2" x14ac:dyDescent="0.25">
      <c r="A45" s="88">
        <v>43</v>
      </c>
      <c r="B45" s="90">
        <v>30.609000000000002</v>
      </c>
    </row>
    <row r="46" spans="1:2" x14ac:dyDescent="0.25">
      <c r="A46" s="88">
        <v>44</v>
      </c>
      <c r="B46" s="90">
        <v>30.113</v>
      </c>
    </row>
    <row r="47" spans="1:2" x14ac:dyDescent="0.25">
      <c r="A47" s="88">
        <v>45</v>
      </c>
      <c r="B47" s="90">
        <v>29.611999999999998</v>
      </c>
    </row>
    <row r="48" spans="1:2" x14ac:dyDescent="0.25">
      <c r="A48" s="88">
        <v>46</v>
      </c>
      <c r="B48" s="90">
        <v>29.106999999999999</v>
      </c>
    </row>
    <row r="49" spans="1:2" x14ac:dyDescent="0.25">
      <c r="A49" s="88">
        <v>47</v>
      </c>
      <c r="B49" s="90">
        <v>28.597000000000001</v>
      </c>
    </row>
    <row r="50" spans="1:2" x14ac:dyDescent="0.25">
      <c r="A50" s="88">
        <v>48</v>
      </c>
      <c r="B50" s="90">
        <v>28.082000000000001</v>
      </c>
    </row>
    <row r="51" spans="1:2" x14ac:dyDescent="0.25">
      <c r="A51" s="88">
        <v>49</v>
      </c>
      <c r="B51" s="90">
        <v>27.561</v>
      </c>
    </row>
    <row r="52" spans="1:2" x14ac:dyDescent="0.25">
      <c r="A52" s="88">
        <v>50</v>
      </c>
      <c r="B52" s="90">
        <v>27.035</v>
      </c>
    </row>
    <row r="53" spans="1:2" x14ac:dyDescent="0.25">
      <c r="A53" s="88">
        <v>51</v>
      </c>
      <c r="B53" s="90">
        <v>26.501999999999999</v>
      </c>
    </row>
    <row r="54" spans="1:2" x14ac:dyDescent="0.25">
      <c r="A54" s="88">
        <v>52</v>
      </c>
      <c r="B54" s="90">
        <v>25.963999999999999</v>
      </c>
    </row>
    <row r="55" spans="1:2" x14ac:dyDescent="0.25">
      <c r="A55" s="88">
        <v>53</v>
      </c>
      <c r="B55" s="90">
        <v>25.419</v>
      </c>
    </row>
    <row r="56" spans="1:2" x14ac:dyDescent="0.25">
      <c r="A56" s="88">
        <v>54</v>
      </c>
      <c r="B56" s="90">
        <v>24.869</v>
      </c>
    </row>
    <row r="57" spans="1:2" x14ac:dyDescent="0.25">
      <c r="A57" s="88">
        <v>55</v>
      </c>
      <c r="B57" s="90">
        <v>24.312000000000001</v>
      </c>
    </row>
    <row r="58" spans="1:2" x14ac:dyDescent="0.25">
      <c r="A58" s="88">
        <v>56</v>
      </c>
      <c r="B58" s="90">
        <v>23.748999999999999</v>
      </c>
    </row>
    <row r="59" spans="1:2" x14ac:dyDescent="0.25">
      <c r="A59" s="88">
        <v>57</v>
      </c>
      <c r="B59" s="90">
        <v>23.181000000000001</v>
      </c>
    </row>
    <row r="60" spans="1:2" x14ac:dyDescent="0.25">
      <c r="A60" s="88">
        <v>58</v>
      </c>
      <c r="B60" s="90">
        <v>22.606000000000002</v>
      </c>
    </row>
    <row r="61" spans="1:2" x14ac:dyDescent="0.25">
      <c r="A61" s="88">
        <v>59</v>
      </c>
      <c r="B61" s="90">
        <v>22.027000000000001</v>
      </c>
    </row>
    <row r="62" spans="1:2" x14ac:dyDescent="0.25">
      <c r="A62" s="88">
        <v>60</v>
      </c>
      <c r="B62" s="90">
        <v>21.440999999999999</v>
      </c>
    </row>
    <row r="63" spans="1:2" x14ac:dyDescent="0.25">
      <c r="A63" s="88">
        <v>61</v>
      </c>
      <c r="B63" s="90">
        <v>20.85</v>
      </c>
    </row>
    <row r="64" spans="1:2" x14ac:dyDescent="0.25">
      <c r="A64" s="88">
        <v>62</v>
      </c>
      <c r="B64" s="90">
        <v>20.254000000000001</v>
      </c>
    </row>
    <row r="65" spans="1:2" x14ac:dyDescent="0.25">
      <c r="A65" s="88">
        <v>63</v>
      </c>
      <c r="B65" s="90">
        <v>19.654</v>
      </c>
    </row>
    <row r="66" spans="1:2" x14ac:dyDescent="0.25">
      <c r="A66" s="88">
        <v>64</v>
      </c>
      <c r="B66" s="90">
        <v>19.048999999999999</v>
      </c>
    </row>
    <row r="67" spans="1:2" x14ac:dyDescent="0.25">
      <c r="A67" s="88">
        <v>65</v>
      </c>
      <c r="B67" s="90">
        <v>18.440999999999999</v>
      </c>
    </row>
    <row r="68" spans="1:2" x14ac:dyDescent="0.25">
      <c r="A68" s="88">
        <v>66</v>
      </c>
      <c r="B68" s="90">
        <v>17.829000000000001</v>
      </c>
    </row>
    <row r="69" spans="1:2" x14ac:dyDescent="0.25">
      <c r="A69" s="88">
        <v>67</v>
      </c>
      <c r="B69" s="90">
        <v>17.213999999999999</v>
      </c>
    </row>
    <row r="70" spans="1:2" x14ac:dyDescent="0.25">
      <c r="A70" s="88">
        <v>68</v>
      </c>
      <c r="B70" s="90">
        <v>16.596</v>
      </c>
    </row>
    <row r="71" spans="1:2" x14ac:dyDescent="0.25">
      <c r="A71" s="88">
        <v>69</v>
      </c>
      <c r="B71" s="90">
        <v>15.975</v>
      </c>
    </row>
    <row r="72" spans="1:2" x14ac:dyDescent="0.25">
      <c r="A72" s="88">
        <v>70</v>
      </c>
      <c r="B72" s="90">
        <v>15.349</v>
      </c>
    </row>
    <row r="73" spans="1:2" x14ac:dyDescent="0.25">
      <c r="A73" s="88">
        <v>71</v>
      </c>
      <c r="B73" s="90">
        <v>14.723000000000001</v>
      </c>
    </row>
    <row r="74" spans="1:2" x14ac:dyDescent="0.25">
      <c r="A74" s="88">
        <v>72</v>
      </c>
      <c r="B74" s="90">
        <v>14.101000000000001</v>
      </c>
    </row>
    <row r="75" spans="1:2" x14ac:dyDescent="0.25">
      <c r="A75" s="88">
        <v>73</v>
      </c>
      <c r="B75" s="90">
        <v>13.478999999999999</v>
      </c>
    </row>
    <row r="76" spans="1:2" x14ac:dyDescent="0.25">
      <c r="A76" s="88">
        <v>74</v>
      </c>
      <c r="B76" s="90">
        <v>12.859</v>
      </c>
    </row>
    <row r="77" spans="1:2" x14ac:dyDescent="0.25">
      <c r="A77" s="88">
        <v>75</v>
      </c>
      <c r="B77" s="90">
        <v>12.242000000000001</v>
      </c>
    </row>
    <row r="78" spans="1:2" x14ac:dyDescent="0.25">
      <c r="A78" s="88">
        <v>76</v>
      </c>
      <c r="B78" s="90">
        <v>11.629</v>
      </c>
    </row>
    <row r="79" spans="1:2" x14ac:dyDescent="0.25">
      <c r="A79" s="88">
        <v>77</v>
      </c>
      <c r="B79" s="90">
        <v>11.023</v>
      </c>
    </row>
    <row r="80" spans="1:2" x14ac:dyDescent="0.25">
      <c r="A80" s="88">
        <v>78</v>
      </c>
      <c r="B80" s="90">
        <v>10.423999999999999</v>
      </c>
    </row>
    <row r="81" spans="1:2" x14ac:dyDescent="0.25">
      <c r="A81" s="88">
        <v>79</v>
      </c>
      <c r="B81" s="90">
        <v>9.8350000000000009</v>
      </c>
    </row>
    <row r="82" spans="1:2" x14ac:dyDescent="0.25">
      <c r="A82" s="88">
        <v>80</v>
      </c>
      <c r="B82" s="90">
        <v>9.2569999999999997</v>
      </c>
    </row>
    <row r="83" spans="1:2" x14ac:dyDescent="0.25">
      <c r="A83" s="88">
        <v>81</v>
      </c>
      <c r="B83" s="90">
        <v>8.6920000000000002</v>
      </c>
    </row>
    <row r="84" spans="1:2" x14ac:dyDescent="0.25">
      <c r="A84" s="88">
        <v>82</v>
      </c>
      <c r="B84" s="90">
        <v>8.141</v>
      </c>
    </row>
    <row r="85" spans="1:2" x14ac:dyDescent="0.25">
      <c r="A85" s="88">
        <v>83</v>
      </c>
      <c r="B85" s="90">
        <v>7.6050000000000004</v>
      </c>
    </row>
    <row r="86" spans="1:2" x14ac:dyDescent="0.25">
      <c r="A86" s="88">
        <v>84</v>
      </c>
      <c r="B86" s="90">
        <v>7.085</v>
      </c>
    </row>
    <row r="87" spans="1:2" x14ac:dyDescent="0.25">
      <c r="A87" s="88">
        <v>85</v>
      </c>
      <c r="B87" s="90">
        <v>6.5830000000000002</v>
      </c>
    </row>
    <row r="88" spans="1:2" x14ac:dyDescent="0.25">
      <c r="A88" s="88">
        <v>86</v>
      </c>
      <c r="B88" s="90">
        <v>6.1040000000000001</v>
      </c>
    </row>
    <row r="89" spans="1:2" x14ac:dyDescent="0.25">
      <c r="A89" s="88">
        <v>87</v>
      </c>
      <c r="B89" s="90">
        <v>5.6509999999999998</v>
      </c>
    </row>
    <row r="90" spans="1:2" x14ac:dyDescent="0.25">
      <c r="A90" s="88">
        <v>88</v>
      </c>
      <c r="B90" s="90">
        <v>5.226</v>
      </c>
    </row>
    <row r="91" spans="1:2" x14ac:dyDescent="0.25">
      <c r="A91" s="88">
        <v>89</v>
      </c>
      <c r="B91" s="90">
        <v>4.827</v>
      </c>
    </row>
    <row r="92" spans="1:2" x14ac:dyDescent="0.25">
      <c r="A92" s="88">
        <v>90</v>
      </c>
      <c r="B92" s="90">
        <v>4.4530000000000003</v>
      </c>
    </row>
    <row r="93" spans="1:2" x14ac:dyDescent="0.25">
      <c r="A93" s="88">
        <v>91</v>
      </c>
      <c r="B93" s="90">
        <v>4.1079999999999997</v>
      </c>
    </row>
    <row r="94" spans="1:2" x14ac:dyDescent="0.25">
      <c r="A94" s="88">
        <v>92</v>
      </c>
      <c r="B94" s="90">
        <v>3.79</v>
      </c>
    </row>
    <row r="95" spans="1:2" x14ac:dyDescent="0.25">
      <c r="A95" s="88">
        <v>93</v>
      </c>
      <c r="B95" s="90">
        <v>3.5009999999999999</v>
      </c>
    </row>
    <row r="96" spans="1:2" x14ac:dyDescent="0.25">
      <c r="A96" s="88">
        <v>94</v>
      </c>
      <c r="B96" s="90">
        <v>3.2370000000000001</v>
      </c>
    </row>
    <row r="97" spans="1:2" x14ac:dyDescent="0.25">
      <c r="A97" s="88">
        <v>95</v>
      </c>
      <c r="B97" s="90">
        <v>2.9980000000000002</v>
      </c>
    </row>
    <row r="98" spans="1:2" x14ac:dyDescent="0.25">
      <c r="A98" s="88">
        <v>96</v>
      </c>
      <c r="B98" s="90">
        <v>2.7839999999999998</v>
      </c>
    </row>
    <row r="99" spans="1:2" x14ac:dyDescent="0.25">
      <c r="A99" s="88">
        <v>97</v>
      </c>
      <c r="B99" s="90">
        <v>2.5939999999999999</v>
      </c>
    </row>
    <row r="100" spans="1:2" x14ac:dyDescent="0.25">
      <c r="A100" s="88">
        <v>98</v>
      </c>
      <c r="B100" s="90">
        <v>2.4300000000000002</v>
      </c>
    </row>
    <row r="101" spans="1:2" x14ac:dyDescent="0.25">
      <c r="A101" s="88">
        <v>99</v>
      </c>
      <c r="B101" s="90">
        <v>2.2989999999999999</v>
      </c>
    </row>
  </sheetData>
  <sheetProtection algorithmName="SHA-512" hashValue="ISF8cb57rJkYNsM+hrwWJdfU1kJ61IfbFq212UXQ0Yc/GpWbAFdUdBPKKoLzqsTIrXK8BgahUjpR7ifF7yjeRg==" saltValue="tDf3qIMzf8vBXEH2XVYAvA==" spinCount="100000" sheet="1" objects="1" scenarios="1"/>
  <conditionalFormatting sqref="A6:A16">
    <cfRule type="expression" dxfId="601" priority="19" stopIfTrue="1">
      <formula>MOD(ROW(),2)=0</formula>
    </cfRule>
    <cfRule type="expression" dxfId="600" priority="20" stopIfTrue="1">
      <formula>MOD(ROW(),2)&lt;&gt;0</formula>
    </cfRule>
  </conditionalFormatting>
  <conditionalFormatting sqref="B6:B21">
    <cfRule type="expression" dxfId="599" priority="21" stopIfTrue="1">
      <formula>MOD(ROW(),2)=0</formula>
    </cfRule>
    <cfRule type="expression" dxfId="598" priority="22" stopIfTrue="1">
      <formula>MOD(ROW(),2)&lt;&gt;0</formula>
    </cfRule>
  </conditionalFormatting>
  <conditionalFormatting sqref="A17:A20">
    <cfRule type="expression" dxfId="597" priority="11" stopIfTrue="1">
      <formula>MOD(ROW(),2)=0</formula>
    </cfRule>
    <cfRule type="expression" dxfId="596" priority="12" stopIfTrue="1">
      <formula>MOD(ROW(),2)&lt;&gt;0</formula>
    </cfRule>
  </conditionalFormatting>
  <conditionalFormatting sqref="B17:B18 B20">
    <cfRule type="expression" dxfId="595" priority="13" stopIfTrue="1">
      <formula>MOD(ROW(),2)=0</formula>
    </cfRule>
    <cfRule type="expression" dxfId="594" priority="14" stopIfTrue="1">
      <formula>MOD(ROW(),2)&lt;&gt;0</formula>
    </cfRule>
  </conditionalFormatting>
  <conditionalFormatting sqref="B19">
    <cfRule type="expression" dxfId="593" priority="9" stopIfTrue="1">
      <formula>MOD(ROW(),2)=0</formula>
    </cfRule>
    <cfRule type="expression" dxfId="592" priority="10" stopIfTrue="1">
      <formula>MOD(ROW(),2)&lt;&gt;0</formula>
    </cfRule>
  </conditionalFormatting>
  <conditionalFormatting sqref="A26:A101">
    <cfRule type="expression" dxfId="591" priority="5" stopIfTrue="1">
      <formula>MOD(ROW(),2)=0</formula>
    </cfRule>
    <cfRule type="expression" dxfId="590" priority="6" stopIfTrue="1">
      <formula>MOD(ROW(),2)&lt;&gt;0</formula>
    </cfRule>
  </conditionalFormatting>
  <conditionalFormatting sqref="B26:B101">
    <cfRule type="expression" dxfId="589" priority="7" stopIfTrue="1">
      <formula>MOD(ROW(),2)=0</formula>
    </cfRule>
    <cfRule type="expression" dxfId="588" priority="8" stopIfTrue="1">
      <formula>MOD(ROW(),2)&lt;&gt;0</formula>
    </cfRule>
  </conditionalFormatting>
  <conditionalFormatting sqref="A21">
    <cfRule type="expression" dxfId="587" priority="1" stopIfTrue="1">
      <formula>MOD(ROW(),2)=0</formula>
    </cfRule>
    <cfRule type="expression" dxfId="586" priority="2" stopIfTrue="1">
      <formula>MOD(ROW(),2)&lt;&gt;0</formula>
    </cfRule>
  </conditionalFormatting>
  <conditionalFormatting sqref="B21">
    <cfRule type="expression" dxfId="585" priority="3" stopIfTrue="1">
      <formula>MOD(ROW(),2)=0</formula>
    </cfRule>
    <cfRule type="expression" dxfId="584" priority="4" stopIfTrue="1">
      <formula>MOD(ROW(),2)&lt;&gt;0</formula>
    </cfRule>
  </conditionalFormatting>
  <hyperlinks>
    <hyperlink ref="B24" location="Assumptions!A1" display="Assumptions" xr:uid="{E7814413-7D51-4029-91FF-CC8315BA0E30}"/>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sheetPr codeName="Sheet81"/>
  <dimension ref="A1:I46"/>
  <sheetViews>
    <sheetView showGridLines="0" zoomScale="85" zoomScaleNormal="85" workbookViewId="0">
      <selection activeCell="B18" sqref="B18"/>
    </sheetView>
  </sheetViews>
  <sheetFormatPr defaultColWidth="10" defaultRowHeight="12.5" x14ac:dyDescent="0.25"/>
  <cols>
    <col min="1" max="1" width="31.81640625" style="28" customWidth="1"/>
    <col min="2" max="2" width="22.81640625" style="28" customWidth="1"/>
    <col min="3" max="3" width="29.453125" style="28" customWidth="1"/>
    <col min="4" max="4" width="10" style="28" customWidth="1"/>
    <col min="5" max="16384" width="10" style="28"/>
  </cols>
  <sheetData>
    <row r="1" spans="1:9" ht="20" x14ac:dyDescent="0.4">
      <c r="A1" s="40" t="s">
        <v>227</v>
      </c>
      <c r="B1" s="41"/>
      <c r="C1" s="41"/>
      <c r="D1" s="41"/>
      <c r="E1" s="41"/>
      <c r="F1" s="41"/>
      <c r="G1" s="41"/>
      <c r="H1" s="41"/>
      <c r="I1" s="41"/>
    </row>
    <row r="2" spans="1:9" ht="15.5" x14ac:dyDescent="0.35">
      <c r="A2" s="42" t="str">
        <f>IF(title="&gt; Enter workbook title here","Enter workbook title in Cover sheet",title)</f>
        <v>Fire Northern Ireland - Consolidated Factor Spreadsheet</v>
      </c>
      <c r="B2" s="43"/>
      <c r="C2" s="43"/>
      <c r="D2" s="43"/>
      <c r="E2" s="43"/>
      <c r="F2" s="43"/>
      <c r="G2" s="43"/>
      <c r="H2" s="43"/>
      <c r="I2" s="43"/>
    </row>
    <row r="3" spans="1:9" ht="15.5" x14ac:dyDescent="0.35">
      <c r="A3" s="44" t="str">
        <f>TABLE_FACTOR_TYPE_1&amp;" - x-"&amp;TABLE_SERIES_NUMBER_1</f>
        <v>Triv Comm - x-503</v>
      </c>
      <c r="B3" s="43"/>
      <c r="C3" s="43"/>
      <c r="D3" s="43"/>
      <c r="E3" s="43"/>
      <c r="F3" s="43"/>
      <c r="G3" s="43"/>
      <c r="H3" s="43"/>
      <c r="I3" s="43"/>
    </row>
    <row r="4" spans="1:9" x14ac:dyDescent="0.25">
      <c r="A4" s="45"/>
    </row>
    <row r="6" spans="1:9" ht="13" x14ac:dyDescent="0.3">
      <c r="A6" s="75" t="s">
        <v>562</v>
      </c>
      <c r="B6" s="159" t="s">
        <v>563</v>
      </c>
      <c r="C6" s="159"/>
    </row>
    <row r="7" spans="1:9" x14ac:dyDescent="0.25">
      <c r="A7" s="77" t="s">
        <v>305</v>
      </c>
      <c r="B7" s="159" t="s">
        <v>319</v>
      </c>
      <c r="C7" s="159"/>
    </row>
    <row r="8" spans="1:9" x14ac:dyDescent="0.25">
      <c r="A8" s="77" t="s">
        <v>306</v>
      </c>
      <c r="B8" s="159">
        <v>2015</v>
      </c>
      <c r="C8" s="159"/>
    </row>
    <row r="9" spans="1:9" x14ac:dyDescent="0.25">
      <c r="A9" s="77" t="s">
        <v>307</v>
      </c>
      <c r="B9" s="159" t="s">
        <v>462</v>
      </c>
      <c r="C9" s="159"/>
    </row>
    <row r="10" spans="1:9" x14ac:dyDescent="0.25">
      <c r="A10" s="77" t="s">
        <v>233</v>
      </c>
      <c r="B10" s="159" t="s">
        <v>470</v>
      </c>
      <c r="C10" s="159"/>
    </row>
    <row r="11" spans="1:9" x14ac:dyDescent="0.25">
      <c r="A11" s="77" t="s">
        <v>308</v>
      </c>
      <c r="B11" s="159" t="s">
        <v>404</v>
      </c>
      <c r="C11" s="159"/>
    </row>
    <row r="12" spans="1:9" x14ac:dyDescent="0.25">
      <c r="A12" s="77" t="s">
        <v>309</v>
      </c>
      <c r="B12" s="159" t="s">
        <v>464</v>
      </c>
      <c r="C12" s="159"/>
    </row>
    <row r="13" spans="1:9" x14ac:dyDescent="0.25">
      <c r="A13" s="77" t="s">
        <v>570</v>
      </c>
      <c r="B13" s="159">
        <v>0</v>
      </c>
      <c r="C13" s="159"/>
    </row>
    <row r="14" spans="1:9" x14ac:dyDescent="0.25">
      <c r="A14" s="77" t="s">
        <v>311</v>
      </c>
      <c r="B14" s="159">
        <v>503</v>
      </c>
      <c r="C14" s="159"/>
    </row>
    <row r="15" spans="1:9" x14ac:dyDescent="0.25">
      <c r="A15" s="77" t="s">
        <v>573</v>
      </c>
      <c r="B15" s="159" t="s">
        <v>471</v>
      </c>
      <c r="C15" s="159"/>
    </row>
    <row r="16" spans="1:9" x14ac:dyDescent="0.25">
      <c r="A16" s="77" t="s">
        <v>313</v>
      </c>
      <c r="B16" s="159" t="s">
        <v>466</v>
      </c>
      <c r="C16" s="159"/>
    </row>
    <row r="17" spans="1:3" x14ac:dyDescent="0.25">
      <c r="A17" s="77" t="s">
        <v>642</v>
      </c>
      <c r="B17" s="159"/>
      <c r="C17" s="159"/>
    </row>
    <row r="18" spans="1:3" x14ac:dyDescent="0.25">
      <c r="A18" s="77" t="s">
        <v>315</v>
      </c>
      <c r="B18" s="161">
        <v>45135</v>
      </c>
      <c r="C18" s="159"/>
    </row>
    <row r="19" spans="1:3" x14ac:dyDescent="0.25">
      <c r="A19" s="77" t="s">
        <v>316</v>
      </c>
      <c r="B19" s="161">
        <v>45135</v>
      </c>
      <c r="C19" s="159"/>
    </row>
    <row r="20" spans="1:3" x14ac:dyDescent="0.25">
      <c r="A20" s="77" t="s">
        <v>317</v>
      </c>
      <c r="B20" s="159" t="s">
        <v>327</v>
      </c>
      <c r="C20" s="159"/>
    </row>
    <row r="21" spans="1:3" x14ac:dyDescent="0.25">
      <c r="A21" s="77" t="s">
        <v>318</v>
      </c>
      <c r="B21" s="159" t="s">
        <v>328</v>
      </c>
      <c r="C21" s="159"/>
    </row>
    <row r="23" spans="1:3" x14ac:dyDescent="0.25">
      <c r="B23" s="91" t="str">
        <f>HYPERLINK("#'Factor List'!A1","Back to Factor List")</f>
        <v>Back to Factor List</v>
      </c>
    </row>
    <row r="24" spans="1:3" x14ac:dyDescent="0.25">
      <c r="B24" s="91" t="s">
        <v>240</v>
      </c>
    </row>
    <row r="25" spans="1:3" x14ac:dyDescent="0.25">
      <c r="B25" s="91"/>
    </row>
    <row r="26" spans="1:3" ht="39" x14ac:dyDescent="0.25">
      <c r="A26" s="87" t="s">
        <v>643</v>
      </c>
      <c r="B26" s="87" t="s">
        <v>676</v>
      </c>
      <c r="C26" s="87" t="s">
        <v>677</v>
      </c>
    </row>
    <row r="27" spans="1:3" x14ac:dyDescent="0.25">
      <c r="A27" s="88">
        <v>55</v>
      </c>
      <c r="B27" s="90">
        <v>23.369</v>
      </c>
      <c r="C27" s="90">
        <v>3.9689999999999999</v>
      </c>
    </row>
    <row r="28" spans="1:3" x14ac:dyDescent="0.25">
      <c r="A28" s="88">
        <v>56</v>
      </c>
      <c r="B28" s="90">
        <v>22.783999999999999</v>
      </c>
      <c r="C28" s="90">
        <v>3.9980000000000002</v>
      </c>
    </row>
    <row r="29" spans="1:3" x14ac:dyDescent="0.25">
      <c r="A29" s="88">
        <v>57</v>
      </c>
      <c r="B29" s="90">
        <v>22.193000000000001</v>
      </c>
      <c r="C29" s="90">
        <v>4.024</v>
      </c>
    </row>
    <row r="30" spans="1:3" x14ac:dyDescent="0.25">
      <c r="A30" s="88">
        <v>58</v>
      </c>
      <c r="B30" s="90">
        <v>21.596</v>
      </c>
      <c r="C30" s="90">
        <v>4.0490000000000004</v>
      </c>
    </row>
    <row r="31" spans="1:3" x14ac:dyDescent="0.25">
      <c r="A31" s="88">
        <v>59</v>
      </c>
      <c r="B31" s="90">
        <v>20.992999999999999</v>
      </c>
      <c r="C31" s="90">
        <v>4.0730000000000004</v>
      </c>
    </row>
    <row r="32" spans="1:3" x14ac:dyDescent="0.25">
      <c r="A32" s="88">
        <v>60</v>
      </c>
      <c r="B32" s="90">
        <v>20.385999999999999</v>
      </c>
      <c r="C32" s="90">
        <v>4.0940000000000003</v>
      </c>
    </row>
    <row r="33" spans="1:3" x14ac:dyDescent="0.25">
      <c r="A33" s="88">
        <v>61</v>
      </c>
      <c r="B33" s="90">
        <v>19.774999999999999</v>
      </c>
      <c r="C33" s="90">
        <v>4.1130000000000004</v>
      </c>
    </row>
    <row r="34" spans="1:3" x14ac:dyDescent="0.25">
      <c r="A34" s="88">
        <v>62</v>
      </c>
      <c r="B34" s="90">
        <v>19.16</v>
      </c>
      <c r="C34" s="90">
        <v>4.1280000000000001</v>
      </c>
    </row>
    <row r="35" spans="1:3" x14ac:dyDescent="0.25">
      <c r="A35" s="88">
        <v>63</v>
      </c>
      <c r="B35" s="90">
        <v>18.544</v>
      </c>
      <c r="C35" s="90">
        <v>4.1399999999999997</v>
      </c>
    </row>
    <row r="36" spans="1:3" x14ac:dyDescent="0.25">
      <c r="A36" s="88">
        <v>64</v>
      </c>
      <c r="B36" s="90">
        <v>17.925000000000001</v>
      </c>
      <c r="C36" s="90">
        <v>4.1479999999999997</v>
      </c>
    </row>
    <row r="37" spans="1:3" x14ac:dyDescent="0.25">
      <c r="A37" s="88">
        <v>65</v>
      </c>
      <c r="B37" s="90">
        <v>17.306000000000001</v>
      </c>
      <c r="C37" s="90">
        <v>4.1520000000000001</v>
      </c>
    </row>
    <row r="38" spans="1:3" x14ac:dyDescent="0.25">
      <c r="A38" s="88">
        <v>66</v>
      </c>
      <c r="B38" s="90">
        <v>16.687000000000001</v>
      </c>
      <c r="C38" s="90">
        <v>4.1509999999999998</v>
      </c>
    </row>
    <row r="39" spans="1:3" x14ac:dyDescent="0.25">
      <c r="A39" s="88">
        <v>67</v>
      </c>
      <c r="B39" s="90">
        <v>16.068000000000001</v>
      </c>
      <c r="C39" s="90">
        <v>4.1449999999999996</v>
      </c>
    </row>
    <row r="40" spans="1:3" x14ac:dyDescent="0.25">
      <c r="A40" s="88">
        <v>68</v>
      </c>
      <c r="B40" s="90">
        <v>15.45</v>
      </c>
      <c r="C40" s="90">
        <v>4.1349999999999998</v>
      </c>
    </row>
    <row r="41" spans="1:3" x14ac:dyDescent="0.25">
      <c r="A41" s="88">
        <v>69</v>
      </c>
      <c r="B41" s="90">
        <v>14.834</v>
      </c>
      <c r="C41" s="90">
        <v>4.0679999999999996</v>
      </c>
    </row>
    <row r="42" spans="1:3" x14ac:dyDescent="0.25">
      <c r="A42" s="88">
        <v>70</v>
      </c>
      <c r="B42" s="90">
        <v>14.222</v>
      </c>
      <c r="C42" s="90">
        <v>3.9969999999999999</v>
      </c>
    </row>
    <row r="43" spans="1:3" x14ac:dyDescent="0.25">
      <c r="A43" s="88">
        <v>71</v>
      </c>
      <c r="B43" s="90">
        <v>13.616</v>
      </c>
      <c r="C43" s="90">
        <v>3.972</v>
      </c>
    </row>
    <row r="44" spans="1:3" x14ac:dyDescent="0.25">
      <c r="A44" s="88">
        <v>72</v>
      </c>
      <c r="B44" s="90">
        <v>13.016999999999999</v>
      </c>
      <c r="C44" s="90">
        <v>3.9409999999999998</v>
      </c>
    </row>
    <row r="45" spans="1:3" x14ac:dyDescent="0.25">
      <c r="A45" s="88">
        <v>73</v>
      </c>
      <c r="B45" s="90">
        <v>12.428000000000001</v>
      </c>
      <c r="C45" s="90">
        <v>3.9020000000000001</v>
      </c>
    </row>
    <row r="46" spans="1:3" x14ac:dyDescent="0.25">
      <c r="A46" s="88">
        <v>74</v>
      </c>
      <c r="B46" s="90">
        <v>11.848000000000001</v>
      </c>
      <c r="C46" s="90">
        <v>3.7349999999999999</v>
      </c>
    </row>
  </sheetData>
  <sheetProtection algorithmName="SHA-512" hashValue="R3MIYxQjlE2jqvDwJRB/VXaF/d8aKxx5zozjNLJoV+DcGcvextSZCWgVezdWQ67ryLqza14UR45JtsVi9eJrcw==" saltValue="rkfuXMafKAMlO7uetqKdfg==" spinCount="100000" sheet="1" objects="1" scenarios="1"/>
  <conditionalFormatting sqref="A6:A16">
    <cfRule type="expression" dxfId="583" priority="21" stopIfTrue="1">
      <formula>MOD(ROW(),2)=0</formula>
    </cfRule>
    <cfRule type="expression" dxfId="582" priority="22" stopIfTrue="1">
      <formula>MOD(ROW(),2)&lt;&gt;0</formula>
    </cfRule>
  </conditionalFormatting>
  <conditionalFormatting sqref="B6:C21">
    <cfRule type="expression" dxfId="581" priority="23" stopIfTrue="1">
      <formula>MOD(ROW(),2)=0</formula>
    </cfRule>
    <cfRule type="expression" dxfId="580" priority="24" stopIfTrue="1">
      <formula>MOD(ROW(),2)&lt;&gt;0</formula>
    </cfRule>
  </conditionalFormatting>
  <conditionalFormatting sqref="A17:A20">
    <cfRule type="expression" dxfId="579" priority="13" stopIfTrue="1">
      <formula>MOD(ROW(),2)=0</formula>
    </cfRule>
    <cfRule type="expression" dxfId="578" priority="14" stopIfTrue="1">
      <formula>MOD(ROW(),2)&lt;&gt;0</formula>
    </cfRule>
  </conditionalFormatting>
  <conditionalFormatting sqref="B17:B18 B20:B21">
    <cfRule type="expression" dxfId="577" priority="15" stopIfTrue="1">
      <formula>MOD(ROW(),2)=0</formula>
    </cfRule>
    <cfRule type="expression" dxfId="576" priority="16" stopIfTrue="1">
      <formula>MOD(ROW(),2)&lt;&gt;0</formula>
    </cfRule>
  </conditionalFormatting>
  <conditionalFormatting sqref="B19">
    <cfRule type="expression" dxfId="575" priority="9" stopIfTrue="1">
      <formula>MOD(ROW(),2)=0</formula>
    </cfRule>
    <cfRule type="expression" dxfId="574" priority="10" stopIfTrue="1">
      <formula>MOD(ROW(),2)&lt;&gt;0</formula>
    </cfRule>
  </conditionalFormatting>
  <conditionalFormatting sqref="A26:A46">
    <cfRule type="expression" dxfId="573" priority="5" stopIfTrue="1">
      <formula>MOD(ROW(),2)=0</formula>
    </cfRule>
    <cfRule type="expression" dxfId="572" priority="6" stopIfTrue="1">
      <formula>MOD(ROW(),2)&lt;&gt;0</formula>
    </cfRule>
  </conditionalFormatting>
  <conditionalFormatting sqref="B26:C46">
    <cfRule type="expression" dxfId="571" priority="7" stopIfTrue="1">
      <formula>MOD(ROW(),2)=0</formula>
    </cfRule>
    <cfRule type="expression" dxfId="570" priority="8" stopIfTrue="1">
      <formula>MOD(ROW(),2)&lt;&gt;0</formula>
    </cfRule>
  </conditionalFormatting>
  <conditionalFormatting sqref="A21">
    <cfRule type="expression" dxfId="569" priority="1" stopIfTrue="1">
      <formula>MOD(ROW(),2)=0</formula>
    </cfRule>
    <cfRule type="expression" dxfId="568" priority="2" stopIfTrue="1">
      <formula>MOD(ROW(),2)&lt;&gt;0</formula>
    </cfRule>
  </conditionalFormatting>
  <hyperlinks>
    <hyperlink ref="B24" location="Assumptions!A1" display="Assumptions" xr:uid="{D8C2608D-5E44-42B2-B8A0-CAFC468BB0CE}"/>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sheetPr codeName="Sheet82"/>
  <dimension ref="A1:I101"/>
  <sheetViews>
    <sheetView showGridLines="0" zoomScale="85" zoomScaleNormal="85" workbookViewId="0">
      <selection activeCell="B18" sqref="B18"/>
    </sheetView>
  </sheetViews>
  <sheetFormatPr defaultColWidth="10" defaultRowHeight="12.5" x14ac:dyDescent="0.25"/>
  <cols>
    <col min="1" max="1" width="31.81640625" style="28" customWidth="1"/>
    <col min="2" max="2" width="51" style="28" customWidth="1"/>
    <col min="3" max="3" width="10.1796875" style="28" customWidth="1"/>
    <col min="4" max="4" width="10" style="28" customWidth="1"/>
    <col min="5" max="16384" width="10" style="28"/>
  </cols>
  <sheetData>
    <row r="1" spans="1:9" ht="20" x14ac:dyDescent="0.4">
      <c r="A1" s="40" t="s">
        <v>227</v>
      </c>
      <c r="B1" s="41"/>
      <c r="C1" s="41"/>
      <c r="D1" s="41"/>
      <c r="E1" s="41"/>
      <c r="F1" s="41"/>
      <c r="G1" s="41"/>
      <c r="H1" s="41"/>
      <c r="I1" s="41"/>
    </row>
    <row r="2" spans="1:9" ht="15.5" x14ac:dyDescent="0.35">
      <c r="A2" s="42" t="str">
        <f>IF(title="&gt; Enter workbook title here","Enter workbook title in Cover sheet",title)</f>
        <v>Fire Northern Ireland - Consolidated Factor Spreadsheet</v>
      </c>
      <c r="B2" s="43"/>
      <c r="C2" s="43"/>
      <c r="D2" s="43"/>
      <c r="E2" s="43"/>
      <c r="F2" s="43"/>
      <c r="G2" s="43"/>
      <c r="H2" s="43"/>
      <c r="I2" s="43"/>
    </row>
    <row r="3" spans="1:9" ht="15.5" x14ac:dyDescent="0.35">
      <c r="A3" s="44" t="str">
        <f>TABLE_FACTOR_TYPE_1&amp;" - x-"&amp;TABLE_SERIES_NUMBER_1</f>
        <v>Triv Comm - x-504</v>
      </c>
      <c r="B3" s="43"/>
      <c r="C3" s="43"/>
      <c r="D3" s="43"/>
      <c r="E3" s="43"/>
      <c r="F3" s="43"/>
      <c r="G3" s="43"/>
      <c r="H3" s="43"/>
      <c r="I3" s="43"/>
    </row>
    <row r="4" spans="1:9" x14ac:dyDescent="0.25">
      <c r="A4" s="45"/>
    </row>
    <row r="6" spans="1:9" ht="13" x14ac:dyDescent="0.3">
      <c r="A6" s="75" t="s">
        <v>562</v>
      </c>
      <c r="B6" s="159" t="s">
        <v>563</v>
      </c>
    </row>
    <row r="7" spans="1:9" x14ac:dyDescent="0.25">
      <c r="A7" s="77" t="s">
        <v>305</v>
      </c>
      <c r="B7" s="159" t="s">
        <v>319</v>
      </c>
    </row>
    <row r="8" spans="1:9" x14ac:dyDescent="0.25">
      <c r="A8" s="77" t="s">
        <v>306</v>
      </c>
      <c r="B8" s="159">
        <v>2015</v>
      </c>
    </row>
    <row r="9" spans="1:9" x14ac:dyDescent="0.25">
      <c r="A9" s="77" t="s">
        <v>307</v>
      </c>
      <c r="B9" s="159" t="s">
        <v>462</v>
      </c>
    </row>
    <row r="10" spans="1:9" x14ac:dyDescent="0.25">
      <c r="A10" s="77" t="s">
        <v>233</v>
      </c>
      <c r="B10" s="159" t="s">
        <v>472</v>
      </c>
    </row>
    <row r="11" spans="1:9" x14ac:dyDescent="0.25">
      <c r="A11" s="77" t="s">
        <v>308</v>
      </c>
      <c r="B11" s="159" t="s">
        <v>404</v>
      </c>
    </row>
    <row r="12" spans="1:9" x14ac:dyDescent="0.25">
      <c r="A12" s="77" t="s">
        <v>309</v>
      </c>
      <c r="B12" s="159" t="s">
        <v>464</v>
      </c>
    </row>
    <row r="13" spans="1:9" x14ac:dyDescent="0.25">
      <c r="A13" s="77" t="s">
        <v>570</v>
      </c>
      <c r="B13" s="159">
        <v>0</v>
      </c>
    </row>
    <row r="14" spans="1:9" x14ac:dyDescent="0.25">
      <c r="A14" s="77" t="s">
        <v>311</v>
      </c>
      <c r="B14" s="159">
        <v>504</v>
      </c>
    </row>
    <row r="15" spans="1:9" x14ac:dyDescent="0.25">
      <c r="A15" s="77" t="s">
        <v>573</v>
      </c>
      <c r="B15" s="159" t="s">
        <v>473</v>
      </c>
    </row>
    <row r="16" spans="1:9" x14ac:dyDescent="0.25">
      <c r="A16" s="77" t="s">
        <v>313</v>
      </c>
      <c r="B16" s="159" t="s">
        <v>469</v>
      </c>
    </row>
    <row r="17" spans="1:2" x14ac:dyDescent="0.25">
      <c r="A17" s="77" t="s">
        <v>642</v>
      </c>
      <c r="B17" s="159"/>
    </row>
    <row r="18" spans="1:2" x14ac:dyDescent="0.25">
      <c r="A18" s="77" t="s">
        <v>315</v>
      </c>
      <c r="B18" s="161">
        <v>45135</v>
      </c>
    </row>
    <row r="19" spans="1:2" x14ac:dyDescent="0.25">
      <c r="A19" s="77" t="s">
        <v>316</v>
      </c>
      <c r="B19" s="161">
        <v>45135</v>
      </c>
    </row>
    <row r="20" spans="1:2" x14ac:dyDescent="0.25">
      <c r="A20" s="77" t="s">
        <v>317</v>
      </c>
      <c r="B20" s="159" t="s">
        <v>327</v>
      </c>
    </row>
    <row r="21" spans="1:2" x14ac:dyDescent="0.25">
      <c r="A21" s="77" t="s">
        <v>318</v>
      </c>
      <c r="B21" s="159" t="s">
        <v>328</v>
      </c>
    </row>
    <row r="23" spans="1:2" x14ac:dyDescent="0.25">
      <c r="B23" s="91" t="str">
        <f>HYPERLINK("#'Factor List'!A1","Back to Factor List")</f>
        <v>Back to Factor List</v>
      </c>
    </row>
    <row r="24" spans="1:2" x14ac:dyDescent="0.25">
      <c r="B24" s="91" t="s">
        <v>240</v>
      </c>
    </row>
    <row r="25" spans="1:2" x14ac:dyDescent="0.25">
      <c r="B25" s="91"/>
    </row>
    <row r="26" spans="1:2" ht="13" x14ac:dyDescent="0.25">
      <c r="A26" s="87" t="s">
        <v>643</v>
      </c>
      <c r="B26" s="87" t="s">
        <v>678</v>
      </c>
    </row>
    <row r="27" spans="1:2" x14ac:dyDescent="0.25">
      <c r="A27" s="88">
        <v>25</v>
      </c>
      <c r="B27" s="90">
        <v>38.481999999999999</v>
      </c>
    </row>
    <row r="28" spans="1:2" x14ac:dyDescent="0.25">
      <c r="A28" s="88">
        <v>26</v>
      </c>
      <c r="B28" s="90">
        <v>38.1</v>
      </c>
    </row>
    <row r="29" spans="1:2" x14ac:dyDescent="0.25">
      <c r="A29" s="88">
        <v>27</v>
      </c>
      <c r="B29" s="90">
        <v>37.710999999999999</v>
      </c>
    </row>
    <row r="30" spans="1:2" x14ac:dyDescent="0.25">
      <c r="A30" s="88">
        <v>28</v>
      </c>
      <c r="B30" s="90">
        <v>37.314999999999998</v>
      </c>
    </row>
    <row r="31" spans="1:2" x14ac:dyDescent="0.25">
      <c r="A31" s="88">
        <v>29</v>
      </c>
      <c r="B31" s="90">
        <v>36.912999999999997</v>
      </c>
    </row>
    <row r="32" spans="1:2" x14ac:dyDescent="0.25">
      <c r="A32" s="88">
        <v>30</v>
      </c>
      <c r="B32" s="90">
        <v>36.505000000000003</v>
      </c>
    </row>
    <row r="33" spans="1:2" x14ac:dyDescent="0.25">
      <c r="A33" s="88">
        <v>31</v>
      </c>
      <c r="B33" s="90">
        <v>36.090000000000003</v>
      </c>
    </row>
    <row r="34" spans="1:2" x14ac:dyDescent="0.25">
      <c r="A34" s="88">
        <v>32</v>
      </c>
      <c r="B34" s="90">
        <v>35.667999999999999</v>
      </c>
    </row>
    <row r="35" spans="1:2" x14ac:dyDescent="0.25">
      <c r="A35" s="88">
        <v>33</v>
      </c>
      <c r="B35" s="90">
        <v>35.24</v>
      </c>
    </row>
    <row r="36" spans="1:2" x14ac:dyDescent="0.25">
      <c r="A36" s="88">
        <v>34</v>
      </c>
      <c r="B36" s="90">
        <v>34.805</v>
      </c>
    </row>
    <row r="37" spans="1:2" x14ac:dyDescent="0.25">
      <c r="A37" s="88">
        <v>35</v>
      </c>
      <c r="B37" s="90">
        <v>34.363999999999997</v>
      </c>
    </row>
    <row r="38" spans="1:2" x14ac:dyDescent="0.25">
      <c r="A38" s="88">
        <v>36</v>
      </c>
      <c r="B38" s="90">
        <v>33.917000000000002</v>
      </c>
    </row>
    <row r="39" spans="1:2" x14ac:dyDescent="0.25">
      <c r="A39" s="88">
        <v>37</v>
      </c>
      <c r="B39" s="90">
        <v>33.463000000000001</v>
      </c>
    </row>
    <row r="40" spans="1:2" x14ac:dyDescent="0.25">
      <c r="A40" s="88">
        <v>38</v>
      </c>
      <c r="B40" s="90">
        <v>33.003</v>
      </c>
    </row>
    <row r="41" spans="1:2" x14ac:dyDescent="0.25">
      <c r="A41" s="88">
        <v>39</v>
      </c>
      <c r="B41" s="90">
        <v>32.536999999999999</v>
      </c>
    </row>
    <row r="42" spans="1:2" x14ac:dyDescent="0.25">
      <c r="A42" s="88">
        <v>40</v>
      </c>
      <c r="B42" s="90">
        <v>32.064</v>
      </c>
    </row>
    <row r="43" spans="1:2" x14ac:dyDescent="0.25">
      <c r="A43" s="88">
        <v>41</v>
      </c>
      <c r="B43" s="90">
        <v>31.585000000000001</v>
      </c>
    </row>
    <row r="44" spans="1:2" x14ac:dyDescent="0.25">
      <c r="A44" s="88">
        <v>42</v>
      </c>
      <c r="B44" s="90">
        <v>31.1</v>
      </c>
    </row>
    <row r="45" spans="1:2" x14ac:dyDescent="0.25">
      <c r="A45" s="88">
        <v>43</v>
      </c>
      <c r="B45" s="90">
        <v>30.609000000000002</v>
      </c>
    </row>
    <row r="46" spans="1:2" x14ac:dyDescent="0.25">
      <c r="A46" s="88">
        <v>44</v>
      </c>
      <c r="B46" s="90">
        <v>30.113</v>
      </c>
    </row>
    <row r="47" spans="1:2" x14ac:dyDescent="0.25">
      <c r="A47" s="88">
        <v>45</v>
      </c>
      <c r="B47" s="90">
        <v>29.611999999999998</v>
      </c>
    </row>
    <row r="48" spans="1:2" x14ac:dyDescent="0.25">
      <c r="A48" s="88">
        <v>46</v>
      </c>
      <c r="B48" s="90">
        <v>29.106999999999999</v>
      </c>
    </row>
    <row r="49" spans="1:2" x14ac:dyDescent="0.25">
      <c r="A49" s="88">
        <v>47</v>
      </c>
      <c r="B49" s="90">
        <v>28.597000000000001</v>
      </c>
    </row>
    <row r="50" spans="1:2" x14ac:dyDescent="0.25">
      <c r="A50" s="88">
        <v>48</v>
      </c>
      <c r="B50" s="90">
        <v>28.082000000000001</v>
      </c>
    </row>
    <row r="51" spans="1:2" x14ac:dyDescent="0.25">
      <c r="A51" s="88">
        <v>49</v>
      </c>
      <c r="B51" s="90">
        <v>27.561</v>
      </c>
    </row>
    <row r="52" spans="1:2" x14ac:dyDescent="0.25">
      <c r="A52" s="88">
        <v>50</v>
      </c>
      <c r="B52" s="90">
        <v>27.035</v>
      </c>
    </row>
    <row r="53" spans="1:2" x14ac:dyDescent="0.25">
      <c r="A53" s="88">
        <v>51</v>
      </c>
      <c r="B53" s="90">
        <v>26.501999999999999</v>
      </c>
    </row>
    <row r="54" spans="1:2" x14ac:dyDescent="0.25">
      <c r="A54" s="88">
        <v>52</v>
      </c>
      <c r="B54" s="90">
        <v>25.963999999999999</v>
      </c>
    </row>
    <row r="55" spans="1:2" x14ac:dyDescent="0.25">
      <c r="A55" s="88">
        <v>53</v>
      </c>
      <c r="B55" s="90">
        <v>25.419</v>
      </c>
    </row>
    <row r="56" spans="1:2" x14ac:dyDescent="0.25">
      <c r="A56" s="88">
        <v>54</v>
      </c>
      <c r="B56" s="90">
        <v>24.869</v>
      </c>
    </row>
    <row r="57" spans="1:2" x14ac:dyDescent="0.25">
      <c r="A57" s="88">
        <v>55</v>
      </c>
      <c r="B57" s="90">
        <v>24.312000000000001</v>
      </c>
    </row>
    <row r="58" spans="1:2" x14ac:dyDescent="0.25">
      <c r="A58" s="88">
        <v>56</v>
      </c>
      <c r="B58" s="90">
        <v>23.748999999999999</v>
      </c>
    </row>
    <row r="59" spans="1:2" x14ac:dyDescent="0.25">
      <c r="A59" s="88">
        <v>57</v>
      </c>
      <c r="B59" s="90">
        <v>23.181000000000001</v>
      </c>
    </row>
    <row r="60" spans="1:2" x14ac:dyDescent="0.25">
      <c r="A60" s="88">
        <v>58</v>
      </c>
      <c r="B60" s="90">
        <v>22.606000000000002</v>
      </c>
    </row>
    <row r="61" spans="1:2" x14ac:dyDescent="0.25">
      <c r="A61" s="88">
        <v>59</v>
      </c>
      <c r="B61" s="90">
        <v>22.027000000000001</v>
      </c>
    </row>
    <row r="62" spans="1:2" x14ac:dyDescent="0.25">
      <c r="A62" s="88">
        <v>60</v>
      </c>
      <c r="B62" s="90">
        <v>21.440999999999999</v>
      </c>
    </row>
    <row r="63" spans="1:2" x14ac:dyDescent="0.25">
      <c r="A63" s="88">
        <v>61</v>
      </c>
      <c r="B63" s="90">
        <v>20.85</v>
      </c>
    </row>
    <row r="64" spans="1:2" x14ac:dyDescent="0.25">
      <c r="A64" s="88">
        <v>62</v>
      </c>
      <c r="B64" s="90">
        <v>20.254000000000001</v>
      </c>
    </row>
    <row r="65" spans="1:2" x14ac:dyDescent="0.25">
      <c r="A65" s="88">
        <v>63</v>
      </c>
      <c r="B65" s="90">
        <v>19.654</v>
      </c>
    </row>
    <row r="66" spans="1:2" x14ac:dyDescent="0.25">
      <c r="A66" s="88">
        <v>64</v>
      </c>
      <c r="B66" s="90">
        <v>19.048999999999999</v>
      </c>
    </row>
    <row r="67" spans="1:2" x14ac:dyDescent="0.25">
      <c r="A67" s="88">
        <v>65</v>
      </c>
      <c r="B67" s="90">
        <v>18.440999999999999</v>
      </c>
    </row>
    <row r="68" spans="1:2" x14ac:dyDescent="0.25">
      <c r="A68" s="88">
        <v>66</v>
      </c>
      <c r="B68" s="90">
        <v>17.829000000000001</v>
      </c>
    </row>
    <row r="69" spans="1:2" x14ac:dyDescent="0.25">
      <c r="A69" s="88">
        <v>67</v>
      </c>
      <c r="B69" s="90">
        <v>17.213999999999999</v>
      </c>
    </row>
    <row r="70" spans="1:2" x14ac:dyDescent="0.25">
      <c r="A70" s="88">
        <v>68</v>
      </c>
      <c r="B70" s="90">
        <v>16.596</v>
      </c>
    </row>
    <row r="71" spans="1:2" x14ac:dyDescent="0.25">
      <c r="A71" s="88">
        <v>69</v>
      </c>
      <c r="B71" s="90">
        <v>15.975</v>
      </c>
    </row>
    <row r="72" spans="1:2" x14ac:dyDescent="0.25">
      <c r="A72" s="88">
        <v>70</v>
      </c>
      <c r="B72" s="90">
        <v>15.349</v>
      </c>
    </row>
    <row r="73" spans="1:2" x14ac:dyDescent="0.25">
      <c r="A73" s="88">
        <v>71</v>
      </c>
      <c r="B73" s="90">
        <v>14.723000000000001</v>
      </c>
    </row>
    <row r="74" spans="1:2" x14ac:dyDescent="0.25">
      <c r="A74" s="88">
        <v>72</v>
      </c>
      <c r="B74" s="90">
        <v>14.101000000000001</v>
      </c>
    </row>
    <row r="75" spans="1:2" x14ac:dyDescent="0.25">
      <c r="A75" s="88">
        <v>73</v>
      </c>
      <c r="B75" s="90">
        <v>13.478999999999999</v>
      </c>
    </row>
    <row r="76" spans="1:2" x14ac:dyDescent="0.25">
      <c r="A76" s="88">
        <v>74</v>
      </c>
      <c r="B76" s="90">
        <v>12.859</v>
      </c>
    </row>
    <row r="77" spans="1:2" x14ac:dyDescent="0.25">
      <c r="A77" s="88">
        <v>75</v>
      </c>
      <c r="B77" s="90">
        <v>12.242000000000001</v>
      </c>
    </row>
    <row r="78" spans="1:2" x14ac:dyDescent="0.25">
      <c r="A78" s="88">
        <v>76</v>
      </c>
      <c r="B78" s="90">
        <v>11.629</v>
      </c>
    </row>
    <row r="79" spans="1:2" x14ac:dyDescent="0.25">
      <c r="A79" s="88">
        <v>77</v>
      </c>
      <c r="B79" s="90">
        <v>11.023</v>
      </c>
    </row>
    <row r="80" spans="1:2" x14ac:dyDescent="0.25">
      <c r="A80" s="88">
        <v>78</v>
      </c>
      <c r="B80" s="90">
        <v>10.423999999999999</v>
      </c>
    </row>
    <row r="81" spans="1:2" x14ac:dyDescent="0.25">
      <c r="A81" s="88">
        <v>79</v>
      </c>
      <c r="B81" s="90">
        <v>9.8350000000000009</v>
      </c>
    </row>
    <row r="82" spans="1:2" x14ac:dyDescent="0.25">
      <c r="A82" s="88">
        <v>80</v>
      </c>
      <c r="B82" s="90">
        <v>9.2569999999999997</v>
      </c>
    </row>
    <row r="83" spans="1:2" x14ac:dyDescent="0.25">
      <c r="A83" s="88">
        <v>81</v>
      </c>
      <c r="B83" s="90">
        <v>8.6920000000000002</v>
      </c>
    </row>
    <row r="84" spans="1:2" x14ac:dyDescent="0.25">
      <c r="A84" s="88">
        <v>82</v>
      </c>
      <c r="B84" s="90">
        <v>8.141</v>
      </c>
    </row>
    <row r="85" spans="1:2" x14ac:dyDescent="0.25">
      <c r="A85" s="88">
        <v>83</v>
      </c>
      <c r="B85" s="90">
        <v>7.6050000000000004</v>
      </c>
    </row>
    <row r="86" spans="1:2" x14ac:dyDescent="0.25">
      <c r="A86" s="88">
        <v>84</v>
      </c>
      <c r="B86" s="90">
        <v>7.085</v>
      </c>
    </row>
    <row r="87" spans="1:2" x14ac:dyDescent="0.25">
      <c r="A87" s="88">
        <v>85</v>
      </c>
      <c r="B87" s="90">
        <v>6.5830000000000002</v>
      </c>
    </row>
    <row r="88" spans="1:2" x14ac:dyDescent="0.25">
      <c r="A88" s="88">
        <v>86</v>
      </c>
      <c r="B88" s="90">
        <v>6.1040000000000001</v>
      </c>
    </row>
    <row r="89" spans="1:2" x14ac:dyDescent="0.25">
      <c r="A89" s="88">
        <v>87</v>
      </c>
      <c r="B89" s="90">
        <v>5.6509999999999998</v>
      </c>
    </row>
    <row r="90" spans="1:2" x14ac:dyDescent="0.25">
      <c r="A90" s="88">
        <v>88</v>
      </c>
      <c r="B90" s="90">
        <v>5.226</v>
      </c>
    </row>
    <row r="91" spans="1:2" x14ac:dyDescent="0.25">
      <c r="A91" s="88">
        <v>89</v>
      </c>
      <c r="B91" s="90">
        <v>4.827</v>
      </c>
    </row>
    <row r="92" spans="1:2" x14ac:dyDescent="0.25">
      <c r="A92" s="88">
        <v>90</v>
      </c>
      <c r="B92" s="90">
        <v>4.4530000000000003</v>
      </c>
    </row>
    <row r="93" spans="1:2" x14ac:dyDescent="0.25">
      <c r="A93" s="88">
        <v>91</v>
      </c>
      <c r="B93" s="90">
        <v>4.1079999999999997</v>
      </c>
    </row>
    <row r="94" spans="1:2" x14ac:dyDescent="0.25">
      <c r="A94" s="88">
        <v>92</v>
      </c>
      <c r="B94" s="90">
        <v>3.79</v>
      </c>
    </row>
    <row r="95" spans="1:2" x14ac:dyDescent="0.25">
      <c r="A95" s="88">
        <v>93</v>
      </c>
      <c r="B95" s="90">
        <v>3.5009999999999999</v>
      </c>
    </row>
    <row r="96" spans="1:2" x14ac:dyDescent="0.25">
      <c r="A96" s="88">
        <v>94</v>
      </c>
      <c r="B96" s="90">
        <v>3.2370000000000001</v>
      </c>
    </row>
    <row r="97" spans="1:2" x14ac:dyDescent="0.25">
      <c r="A97" s="88">
        <v>95</v>
      </c>
      <c r="B97" s="90">
        <v>2.9980000000000002</v>
      </c>
    </row>
    <row r="98" spans="1:2" x14ac:dyDescent="0.25">
      <c r="A98" s="88">
        <v>96</v>
      </c>
      <c r="B98" s="90">
        <v>2.7839999999999998</v>
      </c>
    </row>
    <row r="99" spans="1:2" x14ac:dyDescent="0.25">
      <c r="A99" s="88">
        <v>97</v>
      </c>
      <c r="B99" s="90">
        <v>2.5939999999999999</v>
      </c>
    </row>
    <row r="100" spans="1:2" x14ac:dyDescent="0.25">
      <c r="A100" s="88">
        <v>98</v>
      </c>
      <c r="B100" s="90">
        <v>2.4300000000000002</v>
      </c>
    </row>
    <row r="101" spans="1:2" x14ac:dyDescent="0.25">
      <c r="A101" s="88">
        <v>99</v>
      </c>
      <c r="B101" s="90">
        <v>2.2989999999999999</v>
      </c>
    </row>
  </sheetData>
  <sheetProtection algorithmName="SHA-512" hashValue="lj+YM7fHQSISDd4nF/iaX4EiXs7GvxplObuXMIFzhh7si4GvY9ZZEFzIaXL05+61x9ueeKE7C5nPab3MrIDFww==" saltValue="jmsT08VHeQMLuEatJ61G9A==" spinCount="100000" sheet="1" objects="1" scenarios="1"/>
  <conditionalFormatting sqref="A6:A16">
    <cfRule type="expression" dxfId="567" priority="21" stopIfTrue="1">
      <formula>MOD(ROW(),2)=0</formula>
    </cfRule>
    <cfRule type="expression" dxfId="566" priority="22" stopIfTrue="1">
      <formula>MOD(ROW(),2)&lt;&gt;0</formula>
    </cfRule>
  </conditionalFormatting>
  <conditionalFormatting sqref="B6:B21">
    <cfRule type="expression" dxfId="565" priority="23" stopIfTrue="1">
      <formula>MOD(ROW(),2)=0</formula>
    </cfRule>
    <cfRule type="expression" dxfId="564" priority="24" stopIfTrue="1">
      <formula>MOD(ROW(),2)&lt;&gt;0</formula>
    </cfRule>
  </conditionalFormatting>
  <conditionalFormatting sqref="A17:A20">
    <cfRule type="expression" dxfId="563" priority="13" stopIfTrue="1">
      <formula>MOD(ROW(),2)=0</formula>
    </cfRule>
    <cfRule type="expression" dxfId="562" priority="14" stopIfTrue="1">
      <formula>MOD(ROW(),2)&lt;&gt;0</formula>
    </cfRule>
  </conditionalFormatting>
  <conditionalFormatting sqref="B18 B20">
    <cfRule type="expression" dxfId="561" priority="15" stopIfTrue="1">
      <formula>MOD(ROW(),2)=0</formula>
    </cfRule>
    <cfRule type="expression" dxfId="560" priority="16" stopIfTrue="1">
      <formula>MOD(ROW(),2)&lt;&gt;0</formula>
    </cfRule>
  </conditionalFormatting>
  <conditionalFormatting sqref="B17">
    <cfRule type="expression" dxfId="559" priority="11" stopIfTrue="1">
      <formula>MOD(ROW(),2)=0</formula>
    </cfRule>
    <cfRule type="expression" dxfId="558" priority="12" stopIfTrue="1">
      <formula>MOD(ROW(),2)&lt;&gt;0</formula>
    </cfRule>
  </conditionalFormatting>
  <conditionalFormatting sqref="B19">
    <cfRule type="expression" dxfId="557" priority="9" stopIfTrue="1">
      <formula>MOD(ROW(),2)=0</formula>
    </cfRule>
    <cfRule type="expression" dxfId="556" priority="10" stopIfTrue="1">
      <formula>MOD(ROW(),2)&lt;&gt;0</formula>
    </cfRule>
  </conditionalFormatting>
  <conditionalFormatting sqref="A26:A101">
    <cfRule type="expression" dxfId="555" priority="5" stopIfTrue="1">
      <formula>MOD(ROW(),2)=0</formula>
    </cfRule>
    <cfRule type="expression" dxfId="554" priority="6" stopIfTrue="1">
      <formula>MOD(ROW(),2)&lt;&gt;0</formula>
    </cfRule>
  </conditionalFormatting>
  <conditionalFormatting sqref="B26:B101">
    <cfRule type="expression" dxfId="553" priority="7" stopIfTrue="1">
      <formula>MOD(ROW(),2)=0</formula>
    </cfRule>
    <cfRule type="expression" dxfId="552" priority="8" stopIfTrue="1">
      <formula>MOD(ROW(),2)&lt;&gt;0</formula>
    </cfRule>
  </conditionalFormatting>
  <conditionalFormatting sqref="A21">
    <cfRule type="expression" dxfId="551" priority="1" stopIfTrue="1">
      <formula>MOD(ROW(),2)=0</formula>
    </cfRule>
    <cfRule type="expression" dxfId="550" priority="2" stopIfTrue="1">
      <formula>MOD(ROW(),2)&lt;&gt;0</formula>
    </cfRule>
  </conditionalFormatting>
  <conditionalFormatting sqref="B21">
    <cfRule type="expression" dxfId="549" priority="3" stopIfTrue="1">
      <formula>MOD(ROW(),2)=0</formula>
    </cfRule>
    <cfRule type="expression" dxfId="548" priority="4" stopIfTrue="1">
      <formula>MOD(ROW(),2)&lt;&gt;0</formula>
    </cfRule>
  </conditionalFormatting>
  <hyperlinks>
    <hyperlink ref="B24" location="Assumptions!A1" display="Assumptions" xr:uid="{8B67E9E9-7136-47A2-A0BA-28D94FFB7C5B}"/>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sheetPr codeName="Sheet115"/>
  <dimension ref="A1:M53"/>
  <sheetViews>
    <sheetView showGridLines="0" zoomScale="85" zoomScaleNormal="85" workbookViewId="0">
      <selection activeCell="B18" sqref="B18"/>
    </sheetView>
  </sheetViews>
  <sheetFormatPr defaultColWidth="10" defaultRowHeight="12.5" x14ac:dyDescent="0.25"/>
  <cols>
    <col min="1" max="1" width="34" style="28" customWidth="1"/>
    <col min="2" max="2" width="27.453125" style="28" customWidth="1"/>
    <col min="3" max="3" width="10.1796875" style="28" customWidth="1"/>
    <col min="4" max="4" width="10" style="28" customWidth="1"/>
    <col min="5" max="16384" width="10" style="28"/>
  </cols>
  <sheetData>
    <row r="1" spans="1:13" ht="20" x14ac:dyDescent="0.4">
      <c r="A1" s="40" t="s">
        <v>227</v>
      </c>
      <c r="B1" s="41"/>
      <c r="C1" s="41"/>
      <c r="D1" s="41"/>
      <c r="E1" s="41"/>
      <c r="F1" s="41"/>
      <c r="G1" s="41"/>
      <c r="H1" s="41"/>
      <c r="I1" s="41"/>
    </row>
    <row r="2" spans="1:13" ht="15.5" x14ac:dyDescent="0.35">
      <c r="A2" s="42" t="s">
        <v>228</v>
      </c>
      <c r="B2" s="43"/>
      <c r="C2" s="43"/>
      <c r="D2" s="43"/>
      <c r="E2" s="43"/>
      <c r="F2" s="43"/>
      <c r="G2" s="43"/>
      <c r="H2" s="43"/>
      <c r="I2" s="43"/>
    </row>
    <row r="3" spans="1:13" ht="15.5" x14ac:dyDescent="0.35">
      <c r="A3" s="44" t="str">
        <f>TABLE_FACTOR_TYPE_1&amp;" - x-"&amp;TABLE_SERIES_NUMBER_1</f>
        <v>Commutation - x-505</v>
      </c>
      <c r="B3" s="43"/>
      <c r="C3" s="43"/>
      <c r="D3" s="43"/>
      <c r="E3" s="43"/>
      <c r="F3" s="43"/>
      <c r="G3" s="43"/>
      <c r="H3" s="43"/>
      <c r="I3" s="43"/>
    </row>
    <row r="4" spans="1:13" x14ac:dyDescent="0.25">
      <c r="A4" s="45"/>
    </row>
    <row r="6" spans="1:13" ht="13" x14ac:dyDescent="0.3">
      <c r="A6" s="75" t="s">
        <v>562</v>
      </c>
      <c r="B6" s="159" t="s">
        <v>563</v>
      </c>
      <c r="C6" s="159"/>
      <c r="D6" s="159"/>
      <c r="E6" s="159"/>
      <c r="F6" s="159"/>
      <c r="G6" s="159"/>
      <c r="H6" s="159"/>
      <c r="I6" s="159"/>
      <c r="J6" s="159"/>
      <c r="K6" s="159"/>
      <c r="L6" s="159"/>
      <c r="M6" s="159"/>
    </row>
    <row r="7" spans="1:13" x14ac:dyDescent="0.25">
      <c r="A7" s="77" t="s">
        <v>305</v>
      </c>
      <c r="B7" s="159" t="s">
        <v>319</v>
      </c>
      <c r="C7" s="159"/>
      <c r="D7" s="159"/>
      <c r="E7" s="159"/>
      <c r="F7" s="159"/>
      <c r="G7" s="159"/>
      <c r="H7" s="159"/>
      <c r="I7" s="159"/>
      <c r="J7" s="159"/>
      <c r="K7" s="159"/>
      <c r="L7" s="159"/>
      <c r="M7" s="159"/>
    </row>
    <row r="8" spans="1:13" x14ac:dyDescent="0.25">
      <c r="A8" s="77" t="s">
        <v>306</v>
      </c>
      <c r="B8" s="159" t="s">
        <v>320</v>
      </c>
      <c r="C8" s="159"/>
      <c r="D8" s="159"/>
      <c r="E8" s="159"/>
      <c r="F8" s="159"/>
      <c r="G8" s="159"/>
      <c r="H8" s="159"/>
      <c r="I8" s="159"/>
      <c r="J8" s="159"/>
      <c r="K8" s="159"/>
      <c r="L8" s="159"/>
      <c r="M8" s="159"/>
    </row>
    <row r="9" spans="1:13" x14ac:dyDescent="0.25">
      <c r="A9" s="77" t="s">
        <v>307</v>
      </c>
      <c r="B9" s="159" t="s">
        <v>474</v>
      </c>
      <c r="C9" s="159"/>
      <c r="D9" s="159"/>
      <c r="E9" s="159"/>
      <c r="F9" s="159"/>
      <c r="G9" s="159"/>
      <c r="H9" s="159"/>
      <c r="I9" s="159"/>
      <c r="J9" s="159"/>
      <c r="K9" s="159"/>
      <c r="L9" s="159"/>
      <c r="M9" s="159"/>
    </row>
    <row r="10" spans="1:13" ht="12.75" customHeight="1" x14ac:dyDescent="0.25">
      <c r="A10" s="77" t="s">
        <v>233</v>
      </c>
      <c r="B10" s="159" t="s">
        <v>475</v>
      </c>
      <c r="C10" s="159"/>
      <c r="D10" s="159"/>
      <c r="E10" s="159"/>
      <c r="F10" s="159"/>
      <c r="G10" s="159"/>
      <c r="H10" s="159"/>
      <c r="I10" s="159"/>
      <c r="J10" s="159"/>
      <c r="K10" s="159"/>
      <c r="L10" s="159"/>
      <c r="M10" s="159"/>
    </row>
    <row r="11" spans="1:13" x14ac:dyDescent="0.25">
      <c r="A11" s="77" t="s">
        <v>308</v>
      </c>
      <c r="B11" s="159" t="s">
        <v>404</v>
      </c>
      <c r="C11" s="159"/>
      <c r="D11" s="159"/>
      <c r="E11" s="159"/>
      <c r="F11" s="159"/>
      <c r="G11" s="159"/>
      <c r="H11" s="159"/>
      <c r="I11" s="159"/>
      <c r="J11" s="159"/>
      <c r="K11" s="159"/>
      <c r="L11" s="159"/>
      <c r="M11" s="159"/>
    </row>
    <row r="12" spans="1:13" ht="12.75" customHeight="1" x14ac:dyDescent="0.25">
      <c r="A12" s="77" t="s">
        <v>309</v>
      </c>
      <c r="B12" s="159" t="s">
        <v>476</v>
      </c>
      <c r="C12" s="159"/>
      <c r="D12" s="159"/>
      <c r="E12" s="159"/>
      <c r="F12" s="159"/>
      <c r="G12" s="159"/>
      <c r="H12" s="159"/>
      <c r="I12" s="159"/>
      <c r="J12" s="159"/>
      <c r="K12" s="159"/>
      <c r="L12" s="159"/>
      <c r="M12" s="159"/>
    </row>
    <row r="13" spans="1:13" x14ac:dyDescent="0.25">
      <c r="A13" s="77" t="s">
        <v>570</v>
      </c>
      <c r="B13" s="159">
        <v>0</v>
      </c>
      <c r="C13" s="159"/>
      <c r="D13" s="159"/>
      <c r="E13" s="159"/>
      <c r="F13" s="159"/>
      <c r="G13" s="159"/>
      <c r="H13" s="159"/>
      <c r="I13" s="159"/>
      <c r="J13" s="159"/>
      <c r="K13" s="159"/>
      <c r="L13" s="159"/>
      <c r="M13" s="159"/>
    </row>
    <row r="14" spans="1:13" x14ac:dyDescent="0.25">
      <c r="A14" s="77" t="s">
        <v>311</v>
      </c>
      <c r="B14" s="159">
        <v>505</v>
      </c>
      <c r="C14" s="159"/>
      <c r="D14" s="159"/>
      <c r="E14" s="159"/>
      <c r="F14" s="159"/>
      <c r="G14" s="159"/>
      <c r="H14" s="159"/>
      <c r="I14" s="159"/>
      <c r="J14" s="159"/>
      <c r="K14" s="159"/>
      <c r="L14" s="159"/>
      <c r="M14" s="159"/>
    </row>
    <row r="15" spans="1:13" x14ac:dyDescent="0.25">
      <c r="A15" s="77" t="s">
        <v>573</v>
      </c>
      <c r="B15" s="159" t="s">
        <v>477</v>
      </c>
      <c r="C15" s="159"/>
      <c r="D15" s="159"/>
      <c r="E15" s="159"/>
      <c r="F15" s="159"/>
      <c r="G15" s="159"/>
      <c r="H15" s="159"/>
      <c r="I15" s="159"/>
      <c r="J15" s="159"/>
      <c r="K15" s="159"/>
      <c r="L15" s="159"/>
      <c r="M15" s="159"/>
    </row>
    <row r="16" spans="1:13" x14ac:dyDescent="0.25">
      <c r="A16" s="77" t="s">
        <v>313</v>
      </c>
      <c r="B16" s="159" t="s">
        <v>466</v>
      </c>
      <c r="C16" s="159"/>
      <c r="D16" s="159"/>
      <c r="E16" s="159"/>
      <c r="F16" s="159"/>
      <c r="G16" s="159"/>
      <c r="H16" s="159"/>
      <c r="I16" s="159"/>
      <c r="J16" s="159"/>
      <c r="K16" s="159"/>
      <c r="L16" s="159"/>
      <c r="M16" s="159"/>
    </row>
    <row r="17" spans="1:13" ht="55.5" customHeight="1" x14ac:dyDescent="0.25">
      <c r="A17" s="77" t="s">
        <v>642</v>
      </c>
      <c r="B17" s="159"/>
      <c r="C17" s="159"/>
      <c r="D17" s="159"/>
      <c r="E17" s="159"/>
      <c r="F17" s="159"/>
      <c r="G17" s="159"/>
      <c r="H17" s="159"/>
      <c r="I17" s="159"/>
      <c r="J17" s="159"/>
      <c r="K17" s="159"/>
      <c r="L17" s="159"/>
      <c r="M17" s="159"/>
    </row>
    <row r="18" spans="1:13" x14ac:dyDescent="0.25">
      <c r="A18" s="77" t="s">
        <v>315</v>
      </c>
      <c r="B18" s="161">
        <v>45019</v>
      </c>
      <c r="C18" s="159"/>
      <c r="D18" s="159"/>
      <c r="E18" s="159"/>
      <c r="F18" s="159"/>
      <c r="G18" s="159"/>
      <c r="H18" s="159"/>
      <c r="I18" s="159"/>
      <c r="J18" s="159"/>
      <c r="K18" s="159"/>
      <c r="L18" s="159"/>
      <c r="M18" s="159"/>
    </row>
    <row r="19" spans="1:13" x14ac:dyDescent="0.25">
      <c r="A19" s="77" t="s">
        <v>316</v>
      </c>
      <c r="B19" s="161">
        <v>45019</v>
      </c>
      <c r="C19" s="159"/>
      <c r="D19" s="159"/>
      <c r="E19" s="159"/>
      <c r="F19" s="159"/>
      <c r="G19" s="159"/>
      <c r="H19" s="159"/>
      <c r="I19" s="159"/>
      <c r="J19" s="159"/>
      <c r="K19" s="159"/>
      <c r="L19" s="159"/>
      <c r="M19" s="159"/>
    </row>
    <row r="20" spans="1:13" x14ac:dyDescent="0.25">
      <c r="A20" s="77" t="s">
        <v>317</v>
      </c>
      <c r="B20" s="159" t="s">
        <v>327</v>
      </c>
      <c r="C20" s="159"/>
      <c r="D20" s="159"/>
      <c r="E20" s="159"/>
      <c r="F20" s="159"/>
      <c r="G20" s="159"/>
      <c r="H20" s="159"/>
      <c r="I20" s="159"/>
      <c r="J20" s="159"/>
      <c r="K20" s="159"/>
      <c r="L20" s="159"/>
      <c r="M20" s="159"/>
    </row>
    <row r="21" spans="1:13" x14ac:dyDescent="0.25">
      <c r="A21" s="77" t="s">
        <v>318</v>
      </c>
      <c r="B21" s="159" t="s">
        <v>328</v>
      </c>
      <c r="C21" s="159"/>
      <c r="D21" s="159"/>
      <c r="E21" s="159"/>
      <c r="F21" s="159"/>
      <c r="G21" s="159"/>
      <c r="H21" s="159"/>
      <c r="I21" s="159"/>
      <c r="J21" s="159"/>
      <c r="K21" s="159"/>
      <c r="L21" s="159"/>
      <c r="M21" s="159"/>
    </row>
    <row r="23" spans="1:13" x14ac:dyDescent="0.25">
      <c r="B23" s="91" t="str">
        <f>HYPERLINK("#'Factor List'!A1","Back to Factor List")</f>
        <v>Back to Factor List</v>
      </c>
    </row>
    <row r="24" spans="1:13" x14ac:dyDescent="0.25">
      <c r="B24" s="91" t="s">
        <v>240</v>
      </c>
    </row>
    <row r="26" spans="1:13" ht="13" x14ac:dyDescent="0.3">
      <c r="A26" s="80" t="s">
        <v>670</v>
      </c>
      <c r="B26" s="101">
        <v>0</v>
      </c>
      <c r="C26" s="101">
        <v>1</v>
      </c>
      <c r="D26" s="101">
        <v>2</v>
      </c>
      <c r="E26" s="101">
        <v>3</v>
      </c>
      <c r="F26" s="101">
        <v>4</v>
      </c>
      <c r="G26" s="101">
        <v>5</v>
      </c>
      <c r="H26" s="101">
        <v>6</v>
      </c>
      <c r="I26" s="101">
        <v>7</v>
      </c>
      <c r="J26" s="101">
        <v>8</v>
      </c>
      <c r="K26" s="101">
        <v>9</v>
      </c>
      <c r="L26" s="101">
        <v>10</v>
      </c>
      <c r="M26" s="101">
        <v>11</v>
      </c>
    </row>
    <row r="27" spans="1:13" x14ac:dyDescent="0.25">
      <c r="A27" s="85" t="s">
        <v>679</v>
      </c>
      <c r="B27" s="82">
        <v>26.2</v>
      </c>
      <c r="C27" s="82"/>
      <c r="D27" s="82"/>
      <c r="E27" s="82"/>
      <c r="F27" s="82"/>
      <c r="G27" s="82"/>
      <c r="H27" s="82"/>
      <c r="I27" s="82"/>
      <c r="J27" s="82"/>
      <c r="K27" s="82"/>
      <c r="L27" s="82"/>
      <c r="M27" s="82"/>
    </row>
    <row r="28" spans="1:13" x14ac:dyDescent="0.25">
      <c r="A28" s="81">
        <v>50</v>
      </c>
      <c r="B28" s="82">
        <v>26.2</v>
      </c>
      <c r="C28" s="82">
        <v>26.2</v>
      </c>
      <c r="D28" s="82">
        <v>26.1</v>
      </c>
      <c r="E28" s="82">
        <v>26.1</v>
      </c>
      <c r="F28" s="82">
        <v>26.1</v>
      </c>
      <c r="G28" s="82">
        <v>26</v>
      </c>
      <c r="H28" s="82">
        <v>26</v>
      </c>
      <c r="I28" s="82">
        <v>25.9</v>
      </c>
      <c r="J28" s="82">
        <v>25.9</v>
      </c>
      <c r="K28" s="82">
        <v>25.9</v>
      </c>
      <c r="L28" s="82">
        <v>25.8</v>
      </c>
      <c r="M28" s="82">
        <v>25.8</v>
      </c>
    </row>
    <row r="29" spans="1:13" x14ac:dyDescent="0.25">
      <c r="A29" s="81">
        <v>51</v>
      </c>
      <c r="B29" s="82">
        <v>25.7</v>
      </c>
      <c r="C29" s="82">
        <v>25.7</v>
      </c>
      <c r="D29" s="82">
        <v>25.7</v>
      </c>
      <c r="E29" s="82">
        <v>25.6</v>
      </c>
      <c r="F29" s="82">
        <v>25.6</v>
      </c>
      <c r="G29" s="82">
        <v>25.5</v>
      </c>
      <c r="H29" s="82">
        <v>25.5</v>
      </c>
      <c r="I29" s="82">
        <v>25.5</v>
      </c>
      <c r="J29" s="82">
        <v>25.4</v>
      </c>
      <c r="K29" s="82">
        <v>25.4</v>
      </c>
      <c r="L29" s="82">
        <v>25.3</v>
      </c>
      <c r="M29" s="82">
        <v>25.3</v>
      </c>
    </row>
    <row r="30" spans="1:13" x14ac:dyDescent="0.25">
      <c r="A30" s="81">
        <v>52</v>
      </c>
      <c r="B30" s="82">
        <v>25.2</v>
      </c>
      <c r="C30" s="82">
        <v>25.2</v>
      </c>
      <c r="D30" s="82">
        <v>25.2</v>
      </c>
      <c r="E30" s="82">
        <v>25.1</v>
      </c>
      <c r="F30" s="82">
        <v>25.1</v>
      </c>
      <c r="G30" s="82">
        <v>25</v>
      </c>
      <c r="H30" s="82">
        <v>25</v>
      </c>
      <c r="I30" s="82">
        <v>24.9</v>
      </c>
      <c r="J30" s="82">
        <v>24.9</v>
      </c>
      <c r="K30" s="82">
        <v>24.9</v>
      </c>
      <c r="L30" s="82">
        <v>24.8</v>
      </c>
      <c r="M30" s="82">
        <v>24.8</v>
      </c>
    </row>
    <row r="31" spans="1:13" x14ac:dyDescent="0.25">
      <c r="A31" s="81">
        <v>53</v>
      </c>
      <c r="B31" s="82">
        <v>24.7</v>
      </c>
      <c r="C31" s="82">
        <v>24.7</v>
      </c>
      <c r="D31" s="82">
        <v>24.6</v>
      </c>
      <c r="E31" s="82">
        <v>24.6</v>
      </c>
      <c r="F31" s="82">
        <v>24.5</v>
      </c>
      <c r="G31" s="82">
        <v>24.5</v>
      </c>
      <c r="H31" s="82">
        <v>24.5</v>
      </c>
      <c r="I31" s="82">
        <v>24.4</v>
      </c>
      <c r="J31" s="82">
        <v>24.4</v>
      </c>
      <c r="K31" s="82">
        <v>24.3</v>
      </c>
      <c r="L31" s="82">
        <v>24.3</v>
      </c>
      <c r="M31" s="82">
        <v>24.2</v>
      </c>
    </row>
    <row r="32" spans="1:13" x14ac:dyDescent="0.25">
      <c r="A32" s="81">
        <v>54</v>
      </c>
      <c r="B32" s="82">
        <v>24.2</v>
      </c>
      <c r="C32" s="82">
        <v>24.1</v>
      </c>
      <c r="D32" s="82">
        <v>24.1</v>
      </c>
      <c r="E32" s="82">
        <v>24</v>
      </c>
      <c r="F32" s="82">
        <v>24</v>
      </c>
      <c r="G32" s="82">
        <v>24</v>
      </c>
      <c r="H32" s="82">
        <v>23.9</v>
      </c>
      <c r="I32" s="82">
        <v>23.9</v>
      </c>
      <c r="J32" s="82">
        <v>23.8</v>
      </c>
      <c r="K32" s="82">
        <v>23.8</v>
      </c>
      <c r="L32" s="82">
        <v>23.7</v>
      </c>
      <c r="M32" s="82">
        <v>23.7</v>
      </c>
    </row>
    <row r="33" spans="1:13" x14ac:dyDescent="0.25">
      <c r="A33" s="81">
        <v>55</v>
      </c>
      <c r="B33" s="82">
        <v>23.6</v>
      </c>
      <c r="C33" s="82">
        <v>23.6</v>
      </c>
      <c r="D33" s="82">
        <v>23.5</v>
      </c>
      <c r="E33" s="82">
        <v>23.5</v>
      </c>
      <c r="F33" s="82">
        <v>23.4</v>
      </c>
      <c r="G33" s="82">
        <v>23.4</v>
      </c>
      <c r="H33" s="82">
        <v>23.3</v>
      </c>
      <c r="I33" s="82">
        <v>23.3</v>
      </c>
      <c r="J33" s="82">
        <v>23.2</v>
      </c>
      <c r="K33" s="82">
        <v>23.2</v>
      </c>
      <c r="L33" s="82">
        <v>23.1</v>
      </c>
      <c r="M33" s="82">
        <v>23.1</v>
      </c>
    </row>
    <row r="34" spans="1:13" x14ac:dyDescent="0.25">
      <c r="A34" s="81">
        <v>56</v>
      </c>
      <c r="B34" s="82">
        <v>23</v>
      </c>
      <c r="C34" s="82">
        <v>23</v>
      </c>
      <c r="D34" s="82">
        <v>22.9</v>
      </c>
      <c r="E34" s="82">
        <v>22.9</v>
      </c>
      <c r="F34" s="82">
        <v>22.8</v>
      </c>
      <c r="G34" s="82">
        <v>22.8</v>
      </c>
      <c r="H34" s="82">
        <v>22.7</v>
      </c>
      <c r="I34" s="82">
        <v>22.7</v>
      </c>
      <c r="J34" s="82">
        <v>22.6</v>
      </c>
      <c r="K34" s="82">
        <v>22.6</v>
      </c>
      <c r="L34" s="82">
        <v>22.5</v>
      </c>
      <c r="M34" s="82">
        <v>22.5</v>
      </c>
    </row>
    <row r="35" spans="1:13" x14ac:dyDescent="0.25">
      <c r="A35" s="81">
        <v>57</v>
      </c>
      <c r="B35" s="82">
        <v>22.4</v>
      </c>
      <c r="C35" s="82">
        <v>22.4</v>
      </c>
      <c r="D35" s="82">
        <v>22.3</v>
      </c>
      <c r="E35" s="82">
        <v>22.3</v>
      </c>
      <c r="F35" s="82">
        <v>22.2</v>
      </c>
      <c r="G35" s="82">
        <v>22.2</v>
      </c>
      <c r="H35" s="82">
        <v>22.1</v>
      </c>
      <c r="I35" s="82">
        <v>22.1</v>
      </c>
      <c r="J35" s="82">
        <v>22</v>
      </c>
      <c r="K35" s="82">
        <v>22</v>
      </c>
      <c r="L35" s="82">
        <v>21.9</v>
      </c>
      <c r="M35" s="82">
        <v>21.9</v>
      </c>
    </row>
    <row r="36" spans="1:13" x14ac:dyDescent="0.25">
      <c r="A36" s="81">
        <v>58</v>
      </c>
      <c r="B36" s="82">
        <v>21.8</v>
      </c>
      <c r="C36" s="82">
        <v>21.8</v>
      </c>
      <c r="D36" s="82">
        <v>21.7</v>
      </c>
      <c r="E36" s="82">
        <v>21.7</v>
      </c>
      <c r="F36" s="82">
        <v>21.6</v>
      </c>
      <c r="G36" s="82">
        <v>21.6</v>
      </c>
      <c r="H36" s="82">
        <v>21.5</v>
      </c>
      <c r="I36" s="82">
        <v>21.5</v>
      </c>
      <c r="J36" s="82">
        <v>21.4</v>
      </c>
      <c r="K36" s="82">
        <v>21.4</v>
      </c>
      <c r="L36" s="82">
        <v>21.3</v>
      </c>
      <c r="M36" s="82">
        <v>21.3</v>
      </c>
    </row>
    <row r="37" spans="1:13" x14ac:dyDescent="0.25">
      <c r="A37" s="81">
        <v>59</v>
      </c>
      <c r="B37" s="82">
        <v>21.2</v>
      </c>
      <c r="C37" s="82">
        <v>21.2</v>
      </c>
      <c r="D37" s="82">
        <v>21.1</v>
      </c>
      <c r="E37" s="82">
        <v>21.1</v>
      </c>
      <c r="F37" s="82">
        <v>21</v>
      </c>
      <c r="G37" s="82">
        <v>21</v>
      </c>
      <c r="H37" s="82">
        <v>20.9</v>
      </c>
      <c r="I37" s="82">
        <v>20.9</v>
      </c>
      <c r="J37" s="82">
        <v>20.8</v>
      </c>
      <c r="K37" s="82">
        <v>20.8</v>
      </c>
      <c r="L37" s="82">
        <v>20.7</v>
      </c>
      <c r="M37" s="82">
        <v>20.7</v>
      </c>
    </row>
    <row r="38" spans="1:13" x14ac:dyDescent="0.25">
      <c r="A38" s="81">
        <v>60</v>
      </c>
      <c r="B38" s="82">
        <v>20.6</v>
      </c>
      <c r="C38" s="82">
        <v>20.6</v>
      </c>
      <c r="D38" s="82">
        <v>20.5</v>
      </c>
      <c r="E38" s="82">
        <v>20.5</v>
      </c>
      <c r="F38" s="82">
        <v>20.399999999999999</v>
      </c>
      <c r="G38" s="82">
        <v>20.399999999999999</v>
      </c>
      <c r="H38" s="82">
        <v>20.3</v>
      </c>
      <c r="I38" s="82">
        <v>20.3</v>
      </c>
      <c r="J38" s="82">
        <v>20.2</v>
      </c>
      <c r="K38" s="82">
        <v>20.2</v>
      </c>
      <c r="L38" s="82">
        <v>20.100000000000001</v>
      </c>
      <c r="M38" s="82">
        <v>20.100000000000001</v>
      </c>
    </row>
    <row r="39" spans="1:13" x14ac:dyDescent="0.25">
      <c r="A39" s="81">
        <v>61</v>
      </c>
      <c r="B39" s="82">
        <v>20</v>
      </c>
      <c r="C39" s="82">
        <v>20</v>
      </c>
      <c r="D39" s="82">
        <v>19.899999999999999</v>
      </c>
      <c r="E39" s="82">
        <v>19.899999999999999</v>
      </c>
      <c r="F39" s="82">
        <v>19.8</v>
      </c>
      <c r="G39" s="82">
        <v>19.8</v>
      </c>
      <c r="H39" s="82">
        <v>19.7</v>
      </c>
      <c r="I39" s="82">
        <v>19.7</v>
      </c>
      <c r="J39" s="82">
        <v>19.600000000000001</v>
      </c>
      <c r="K39" s="82">
        <v>19.5</v>
      </c>
      <c r="L39" s="82">
        <v>19.5</v>
      </c>
      <c r="M39" s="82">
        <v>19.399999999999999</v>
      </c>
    </row>
    <row r="40" spans="1:13" x14ac:dyDescent="0.25">
      <c r="A40" s="81">
        <v>62</v>
      </c>
      <c r="B40" s="82">
        <v>19.399999999999999</v>
      </c>
      <c r="C40" s="82">
        <v>19.3</v>
      </c>
      <c r="D40" s="82">
        <v>19.3</v>
      </c>
      <c r="E40" s="82">
        <v>19.2</v>
      </c>
      <c r="F40" s="82">
        <v>19.2</v>
      </c>
      <c r="G40" s="82">
        <v>19.100000000000001</v>
      </c>
      <c r="H40" s="82">
        <v>19.100000000000001</v>
      </c>
      <c r="I40" s="82">
        <v>19</v>
      </c>
      <c r="J40" s="82">
        <v>19</v>
      </c>
      <c r="K40" s="82">
        <v>18.899999999999999</v>
      </c>
      <c r="L40" s="82">
        <v>18.899999999999999</v>
      </c>
      <c r="M40" s="82">
        <v>18.8</v>
      </c>
    </row>
    <row r="41" spans="1:13" x14ac:dyDescent="0.25">
      <c r="A41" s="81">
        <v>63</v>
      </c>
      <c r="B41" s="82">
        <v>18.8</v>
      </c>
      <c r="C41" s="82">
        <v>18.7</v>
      </c>
      <c r="D41" s="82">
        <v>18.7</v>
      </c>
      <c r="E41" s="82">
        <v>18.600000000000001</v>
      </c>
      <c r="F41" s="82">
        <v>18.600000000000001</v>
      </c>
      <c r="G41" s="82">
        <v>18.5</v>
      </c>
      <c r="H41" s="82">
        <v>18.5</v>
      </c>
      <c r="I41" s="82">
        <v>18.399999999999999</v>
      </c>
      <c r="J41" s="82">
        <v>18.399999999999999</v>
      </c>
      <c r="K41" s="82">
        <v>18.3</v>
      </c>
      <c r="L41" s="82">
        <v>18.2</v>
      </c>
      <c r="M41" s="82">
        <v>18.2</v>
      </c>
    </row>
    <row r="42" spans="1:13" x14ac:dyDescent="0.25">
      <c r="A42" s="81">
        <v>64</v>
      </c>
      <c r="B42" s="82">
        <v>18.100000000000001</v>
      </c>
      <c r="C42" s="82">
        <v>18.100000000000001</v>
      </c>
      <c r="D42" s="82">
        <v>18</v>
      </c>
      <c r="E42" s="82">
        <v>18</v>
      </c>
      <c r="F42" s="82">
        <v>17.899999999999999</v>
      </c>
      <c r="G42" s="82">
        <v>17.899999999999999</v>
      </c>
      <c r="H42" s="82">
        <v>17.8</v>
      </c>
      <c r="I42" s="82">
        <v>17.8</v>
      </c>
      <c r="J42" s="82">
        <v>17.7</v>
      </c>
      <c r="K42" s="82">
        <v>17.7</v>
      </c>
      <c r="L42" s="82">
        <v>17.600000000000001</v>
      </c>
      <c r="M42" s="82">
        <v>17.600000000000001</v>
      </c>
    </row>
    <row r="43" spans="1:13" x14ac:dyDescent="0.25">
      <c r="A43" s="81">
        <v>65</v>
      </c>
      <c r="B43" s="82">
        <v>17.5</v>
      </c>
      <c r="C43" s="82">
        <v>17.5</v>
      </c>
      <c r="D43" s="82">
        <v>17.399999999999999</v>
      </c>
      <c r="E43" s="82">
        <v>17.399999999999999</v>
      </c>
      <c r="F43" s="82">
        <v>17.3</v>
      </c>
      <c r="G43" s="82">
        <v>17.3</v>
      </c>
      <c r="H43" s="82">
        <v>17.2</v>
      </c>
      <c r="I43" s="82">
        <v>17.100000000000001</v>
      </c>
      <c r="J43" s="82">
        <v>17.100000000000001</v>
      </c>
      <c r="K43" s="82">
        <v>17</v>
      </c>
      <c r="L43" s="82">
        <v>17</v>
      </c>
      <c r="M43" s="82">
        <v>16.899999999999999</v>
      </c>
    </row>
    <row r="44" spans="1:13" x14ac:dyDescent="0.25">
      <c r="A44" s="81">
        <v>66</v>
      </c>
      <c r="B44" s="82">
        <v>16.899999999999999</v>
      </c>
      <c r="C44" s="82">
        <v>16.8</v>
      </c>
      <c r="D44" s="82">
        <v>16.8</v>
      </c>
      <c r="E44" s="82">
        <v>16.7</v>
      </c>
      <c r="F44" s="82">
        <v>16.7</v>
      </c>
      <c r="G44" s="82">
        <v>16.600000000000001</v>
      </c>
      <c r="H44" s="82">
        <v>16.600000000000001</v>
      </c>
      <c r="I44" s="82">
        <v>16.5</v>
      </c>
      <c r="J44" s="82">
        <v>16.5</v>
      </c>
      <c r="K44" s="82">
        <v>16.399999999999999</v>
      </c>
      <c r="L44" s="82">
        <v>16.399999999999999</v>
      </c>
      <c r="M44" s="82">
        <v>16.3</v>
      </c>
    </row>
    <row r="45" spans="1:13" x14ac:dyDescent="0.25">
      <c r="A45" s="81">
        <v>67</v>
      </c>
      <c r="B45" s="82">
        <v>16.3</v>
      </c>
      <c r="C45" s="82">
        <v>16.2</v>
      </c>
      <c r="D45" s="82">
        <v>16.100000000000001</v>
      </c>
      <c r="E45" s="82">
        <v>16.100000000000001</v>
      </c>
      <c r="F45" s="82">
        <v>16</v>
      </c>
      <c r="G45" s="82">
        <v>16</v>
      </c>
      <c r="H45" s="82">
        <v>15.9</v>
      </c>
      <c r="I45" s="82">
        <v>15.9</v>
      </c>
      <c r="J45" s="82">
        <v>15.8</v>
      </c>
      <c r="K45" s="82">
        <v>15.8</v>
      </c>
      <c r="L45" s="82">
        <v>15.7</v>
      </c>
      <c r="M45" s="82">
        <v>15.7</v>
      </c>
    </row>
    <row r="46" spans="1:13" x14ac:dyDescent="0.25">
      <c r="A46" s="81">
        <v>68</v>
      </c>
      <c r="B46" s="82">
        <v>15.6</v>
      </c>
      <c r="C46" s="82">
        <v>15.6</v>
      </c>
      <c r="D46" s="82">
        <v>15.5</v>
      </c>
      <c r="E46" s="82">
        <v>15.5</v>
      </c>
      <c r="F46" s="82">
        <v>15.4</v>
      </c>
      <c r="G46" s="82">
        <v>15.4</v>
      </c>
      <c r="H46" s="82">
        <v>15.3</v>
      </c>
      <c r="I46" s="82">
        <v>15.3</v>
      </c>
      <c r="J46" s="82">
        <v>15.2</v>
      </c>
      <c r="K46" s="82">
        <v>15.1</v>
      </c>
      <c r="L46" s="82">
        <v>15.1</v>
      </c>
      <c r="M46" s="82">
        <v>15</v>
      </c>
    </row>
    <row r="47" spans="1:13" x14ac:dyDescent="0.25">
      <c r="A47" s="81">
        <v>69</v>
      </c>
      <c r="B47" s="82">
        <v>15</v>
      </c>
      <c r="C47" s="82">
        <v>14.9</v>
      </c>
      <c r="D47" s="82">
        <v>14.9</v>
      </c>
      <c r="E47" s="82">
        <v>14.8</v>
      </c>
      <c r="F47" s="82">
        <v>14.8</v>
      </c>
      <c r="G47" s="82">
        <v>14.7</v>
      </c>
      <c r="H47" s="82">
        <v>14.7</v>
      </c>
      <c r="I47" s="82">
        <v>14.6</v>
      </c>
      <c r="J47" s="82">
        <v>14.6</v>
      </c>
      <c r="K47" s="82">
        <v>14.5</v>
      </c>
      <c r="L47" s="82">
        <v>14.5</v>
      </c>
      <c r="M47" s="82">
        <v>14.4</v>
      </c>
    </row>
    <row r="48" spans="1:13" x14ac:dyDescent="0.25">
      <c r="A48" s="81">
        <v>70</v>
      </c>
      <c r="B48" s="82">
        <v>14.4</v>
      </c>
      <c r="C48" s="82">
        <v>14.3</v>
      </c>
      <c r="D48" s="82">
        <v>14.3</v>
      </c>
      <c r="E48" s="82">
        <v>14.2</v>
      </c>
      <c r="F48" s="82">
        <v>14.1</v>
      </c>
      <c r="G48" s="82">
        <v>14.1</v>
      </c>
      <c r="H48" s="82">
        <v>14</v>
      </c>
      <c r="I48" s="82">
        <v>14</v>
      </c>
      <c r="J48" s="82">
        <v>13.9</v>
      </c>
      <c r="K48" s="82">
        <v>13.9</v>
      </c>
      <c r="L48" s="82">
        <v>13.8</v>
      </c>
      <c r="M48" s="82">
        <v>13.8</v>
      </c>
    </row>
    <row r="49" spans="1:13" x14ac:dyDescent="0.25">
      <c r="A49" s="81">
        <v>71</v>
      </c>
      <c r="B49" s="82">
        <v>13.7</v>
      </c>
      <c r="C49" s="82">
        <v>13.7</v>
      </c>
      <c r="D49" s="82">
        <v>13.6</v>
      </c>
      <c r="E49" s="82">
        <v>13.6</v>
      </c>
      <c r="F49" s="82">
        <v>13.5</v>
      </c>
      <c r="G49" s="82">
        <v>13.5</v>
      </c>
      <c r="H49" s="82">
        <v>13.4</v>
      </c>
      <c r="I49" s="82">
        <v>13.4</v>
      </c>
      <c r="J49" s="82">
        <v>13.3</v>
      </c>
      <c r="K49" s="82">
        <v>13.3</v>
      </c>
      <c r="L49" s="82">
        <v>13.2</v>
      </c>
      <c r="M49" s="82">
        <v>13.2</v>
      </c>
    </row>
    <row r="50" spans="1:13" x14ac:dyDescent="0.25">
      <c r="A50" s="81">
        <v>72</v>
      </c>
      <c r="B50" s="82">
        <v>13.1</v>
      </c>
      <c r="C50" s="82">
        <v>13.1</v>
      </c>
      <c r="D50" s="82">
        <v>13</v>
      </c>
      <c r="E50" s="82">
        <v>12.9</v>
      </c>
      <c r="F50" s="82">
        <v>12.9</v>
      </c>
      <c r="G50" s="82">
        <v>12.8</v>
      </c>
      <c r="H50" s="82">
        <v>12.8</v>
      </c>
      <c r="I50" s="82">
        <v>12.7</v>
      </c>
      <c r="J50" s="82">
        <v>12.7</v>
      </c>
      <c r="K50" s="82">
        <v>12.6</v>
      </c>
      <c r="L50" s="82">
        <v>12.6</v>
      </c>
      <c r="M50" s="82">
        <v>12.5</v>
      </c>
    </row>
    <row r="51" spans="1:13" x14ac:dyDescent="0.25">
      <c r="A51" s="81">
        <v>73</v>
      </c>
      <c r="B51" s="82">
        <v>12.5</v>
      </c>
      <c r="C51" s="82">
        <v>12.4</v>
      </c>
      <c r="D51" s="82">
        <v>12.4</v>
      </c>
      <c r="E51" s="82">
        <v>12.3</v>
      </c>
      <c r="F51" s="82">
        <v>12.3</v>
      </c>
      <c r="G51" s="82">
        <v>12.2</v>
      </c>
      <c r="H51" s="82">
        <v>12.2</v>
      </c>
      <c r="I51" s="82">
        <v>12.1</v>
      </c>
      <c r="J51" s="82">
        <v>12.1</v>
      </c>
      <c r="K51" s="82">
        <v>12</v>
      </c>
      <c r="L51" s="82">
        <v>12</v>
      </c>
      <c r="M51" s="82">
        <v>11.9</v>
      </c>
    </row>
    <row r="52" spans="1:13" x14ac:dyDescent="0.25">
      <c r="A52" s="81">
        <v>74</v>
      </c>
      <c r="B52" s="82">
        <v>11.9</v>
      </c>
      <c r="C52" s="82">
        <v>11.8</v>
      </c>
      <c r="D52" s="82">
        <v>11.8</v>
      </c>
      <c r="E52" s="82">
        <v>11.7</v>
      </c>
      <c r="F52" s="82">
        <v>11.7</v>
      </c>
      <c r="G52" s="82">
        <v>11.6</v>
      </c>
      <c r="H52" s="82">
        <v>11.6</v>
      </c>
      <c r="I52" s="82">
        <v>11.5</v>
      </c>
      <c r="J52" s="82">
        <v>11.5</v>
      </c>
      <c r="K52" s="82">
        <v>11.4</v>
      </c>
      <c r="L52" s="82">
        <v>11.4</v>
      </c>
      <c r="M52" s="82">
        <v>11.3</v>
      </c>
    </row>
    <row r="53" spans="1:13" x14ac:dyDescent="0.25">
      <c r="A53" s="81">
        <v>75</v>
      </c>
      <c r="B53" s="82">
        <v>11.3</v>
      </c>
      <c r="C53" s="82"/>
      <c r="D53" s="82"/>
      <c r="E53" s="82"/>
      <c r="F53" s="82"/>
      <c r="G53" s="82"/>
      <c r="H53" s="82"/>
      <c r="I53" s="82"/>
      <c r="J53" s="82"/>
      <c r="K53" s="82"/>
      <c r="L53" s="82"/>
      <c r="M53" s="82"/>
    </row>
  </sheetData>
  <sheetProtection algorithmName="SHA-512" hashValue="Wc/dZ3N3bVXek5vTK20et8pFiKUsYnvRvHONW3Ci+xnM8AoLTXa/sq72FH7Gwm2JehikpPEvHay4HJK4P/Jzmw==" saltValue="BpWNy0WXzD0vbsv/sLBiDQ==" spinCount="100000" sheet="1" objects="1" scenarios="1"/>
  <conditionalFormatting sqref="A6:A16 A26">
    <cfRule type="expression" dxfId="547" priority="33" stopIfTrue="1">
      <formula>MOD(ROW(),2)=0</formula>
    </cfRule>
    <cfRule type="expression" dxfId="546" priority="34" stopIfTrue="1">
      <formula>MOD(ROW(),2)&lt;&gt;0</formula>
    </cfRule>
  </conditionalFormatting>
  <conditionalFormatting sqref="B26 B6:M21">
    <cfRule type="expression" dxfId="545" priority="35" stopIfTrue="1">
      <formula>MOD(ROW(),2)=0</formula>
    </cfRule>
    <cfRule type="expression" dxfId="544" priority="36" stopIfTrue="1">
      <formula>MOD(ROW(),2)&lt;&gt;0</formula>
    </cfRule>
  </conditionalFormatting>
  <conditionalFormatting sqref="A17:A21">
    <cfRule type="expression" dxfId="543" priority="25" stopIfTrue="1">
      <formula>MOD(ROW(),2)=0</formula>
    </cfRule>
    <cfRule type="expression" dxfId="542" priority="26" stopIfTrue="1">
      <formula>MOD(ROW(),2)&lt;&gt;0</formula>
    </cfRule>
  </conditionalFormatting>
  <conditionalFormatting sqref="B17 B20:B21">
    <cfRule type="expression" dxfId="541" priority="27" stopIfTrue="1">
      <formula>MOD(ROW(),2)=0</formula>
    </cfRule>
    <cfRule type="expression" dxfId="540" priority="28" stopIfTrue="1">
      <formula>MOD(ROW(),2)&lt;&gt;0</formula>
    </cfRule>
  </conditionalFormatting>
  <conditionalFormatting sqref="B18">
    <cfRule type="expression" dxfId="539" priority="21" stopIfTrue="1">
      <formula>MOD(ROW(),2)=0</formula>
    </cfRule>
    <cfRule type="expression" dxfId="538" priority="22" stopIfTrue="1">
      <formula>MOD(ROW(),2)&lt;&gt;0</formula>
    </cfRule>
  </conditionalFormatting>
  <conditionalFormatting sqref="B19">
    <cfRule type="expression" dxfId="537" priority="19" stopIfTrue="1">
      <formula>MOD(ROW(),2)=0</formula>
    </cfRule>
    <cfRule type="expression" dxfId="536" priority="20" stopIfTrue="1">
      <formula>MOD(ROW(),2)&lt;&gt;0</formula>
    </cfRule>
  </conditionalFormatting>
  <conditionalFormatting sqref="A28:A53">
    <cfRule type="expression" dxfId="535" priority="15" stopIfTrue="1">
      <formula>MOD(ROW(),2)=0</formula>
    </cfRule>
    <cfRule type="expression" dxfId="534" priority="16" stopIfTrue="1">
      <formula>MOD(ROW(),2)&lt;&gt;0</formula>
    </cfRule>
  </conditionalFormatting>
  <conditionalFormatting sqref="C26:M26 B53:M53">
    <cfRule type="expression" dxfId="533" priority="17" stopIfTrue="1">
      <formula>MOD(ROW(),2)=0</formula>
    </cfRule>
    <cfRule type="expression" dxfId="532" priority="18" stopIfTrue="1">
      <formula>MOD(ROW(),2)&lt;&gt;0</formula>
    </cfRule>
  </conditionalFormatting>
  <conditionalFormatting sqref="B28:M52">
    <cfRule type="expression" dxfId="531" priority="13" stopIfTrue="1">
      <formula>MOD(ROW(),2)=0</formula>
    </cfRule>
    <cfRule type="expression" dxfId="530" priority="14" stopIfTrue="1">
      <formula>MOD(ROW(),2)&lt;&gt;0</formula>
    </cfRule>
  </conditionalFormatting>
  <conditionalFormatting sqref="A27">
    <cfRule type="expression" dxfId="529" priority="9" stopIfTrue="1">
      <formula>MOD(ROW(),2)=0</formula>
    </cfRule>
    <cfRule type="expression" dxfId="528" priority="10" stopIfTrue="1">
      <formula>MOD(ROW(),2)&lt;&gt;0</formula>
    </cfRule>
  </conditionalFormatting>
  <conditionalFormatting sqref="B27:M27">
    <cfRule type="expression" dxfId="527" priority="11" stopIfTrue="1">
      <formula>MOD(ROW(),2)=0</formula>
    </cfRule>
    <cfRule type="expression" dxfId="526" priority="12" stopIfTrue="1">
      <formula>MOD(ROW(),2)&lt;&gt;0</formula>
    </cfRule>
  </conditionalFormatting>
  <conditionalFormatting sqref="C6:G16">
    <cfRule type="expression" dxfId="525" priority="7" stopIfTrue="1">
      <formula>MOD(ROW(),2)=0</formula>
    </cfRule>
    <cfRule type="expression" dxfId="524" priority="8" stopIfTrue="1">
      <formula>MOD(ROW(),2)&lt;&gt;0</formula>
    </cfRule>
  </conditionalFormatting>
  <conditionalFormatting sqref="C17:G17 C20:G21">
    <cfRule type="expression" dxfId="523" priority="5" stopIfTrue="1">
      <formula>MOD(ROW(),2)=0</formula>
    </cfRule>
    <cfRule type="expression" dxfId="522" priority="6" stopIfTrue="1">
      <formula>MOD(ROW(),2)&lt;&gt;0</formula>
    </cfRule>
  </conditionalFormatting>
  <conditionalFormatting sqref="C18:G18">
    <cfRule type="expression" dxfId="521" priority="3" stopIfTrue="1">
      <formula>MOD(ROW(),2)=0</formula>
    </cfRule>
    <cfRule type="expression" dxfId="520" priority="4" stopIfTrue="1">
      <formula>MOD(ROW(),2)&lt;&gt;0</formula>
    </cfRule>
  </conditionalFormatting>
  <conditionalFormatting sqref="C19:G19">
    <cfRule type="expression" dxfId="519" priority="1" stopIfTrue="1">
      <formula>MOD(ROW(),2)=0</formula>
    </cfRule>
    <cfRule type="expression" dxfId="518" priority="2" stopIfTrue="1">
      <formula>MOD(ROW(),2)&lt;&gt;0</formula>
    </cfRule>
  </conditionalFormatting>
  <hyperlinks>
    <hyperlink ref="B24" location="Assumptions!A1" display="Assumptions" xr:uid="{0636BA21-04A4-41E5-8EF6-320D056F71F2}"/>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BEAE93-5768-46BF-B258-EC35241AA567}">
  <sheetPr codeName="Sheet116"/>
  <dimension ref="A1:M27"/>
  <sheetViews>
    <sheetView showGridLines="0" zoomScale="85" zoomScaleNormal="85" workbookViewId="0">
      <selection activeCell="B18" sqref="B18"/>
    </sheetView>
  </sheetViews>
  <sheetFormatPr defaultColWidth="10" defaultRowHeight="12.5" x14ac:dyDescent="0.25"/>
  <cols>
    <col min="1" max="1" width="34" style="28" customWidth="1"/>
    <col min="2" max="2" width="27.453125" style="28" customWidth="1"/>
    <col min="3" max="3" width="10.1796875" style="28" customWidth="1"/>
    <col min="4" max="4" width="10" style="28" customWidth="1"/>
    <col min="5" max="16384" width="10" style="28"/>
  </cols>
  <sheetData>
    <row r="1" spans="1:13" ht="20" x14ac:dyDescent="0.4">
      <c r="A1" s="40" t="s">
        <v>227</v>
      </c>
      <c r="B1" s="41"/>
      <c r="C1" s="41"/>
      <c r="D1" s="41"/>
      <c r="E1" s="41"/>
      <c r="F1" s="41"/>
      <c r="G1" s="41"/>
      <c r="H1" s="41"/>
      <c r="I1" s="41"/>
    </row>
    <row r="2" spans="1:13" ht="15.5" x14ac:dyDescent="0.35">
      <c r="A2" s="42" t="s">
        <v>228</v>
      </c>
      <c r="B2" s="43"/>
      <c r="C2" s="43"/>
      <c r="D2" s="43"/>
      <c r="E2" s="43"/>
      <c r="F2" s="43"/>
      <c r="G2" s="43"/>
      <c r="H2" s="43"/>
      <c r="I2" s="43"/>
    </row>
    <row r="3" spans="1:13" ht="15.5" x14ac:dyDescent="0.35">
      <c r="A3" s="44" t="str">
        <f>TABLE_FACTOR_TYPE_1&amp;" - x-"&amp;TABLE_SERIES_NUMBER_1</f>
        <v>Triv Comm - x-506</v>
      </c>
      <c r="B3" s="43"/>
      <c r="C3" s="43"/>
      <c r="D3" s="43"/>
      <c r="E3" s="43"/>
      <c r="F3" s="43"/>
      <c r="G3" s="43"/>
      <c r="H3" s="43"/>
      <c r="I3" s="43"/>
    </row>
    <row r="4" spans="1:13" x14ac:dyDescent="0.25">
      <c r="A4" s="45"/>
    </row>
    <row r="6" spans="1:13" ht="13" x14ac:dyDescent="0.3">
      <c r="A6" s="75" t="s">
        <v>562</v>
      </c>
      <c r="B6" s="159" t="s">
        <v>563</v>
      </c>
      <c r="C6" s="76"/>
      <c r="D6" s="76"/>
      <c r="E6" s="76"/>
      <c r="F6" s="76"/>
      <c r="G6" s="76"/>
      <c r="H6" s="117"/>
      <c r="I6" s="117"/>
      <c r="J6" s="117"/>
      <c r="K6" s="117"/>
      <c r="L6" s="117"/>
      <c r="M6" s="117"/>
    </row>
    <row r="7" spans="1:13" x14ac:dyDescent="0.25">
      <c r="A7" s="77" t="s">
        <v>305</v>
      </c>
      <c r="B7" s="159" t="s">
        <v>319</v>
      </c>
      <c r="C7" s="78"/>
      <c r="D7" s="78"/>
      <c r="E7" s="78"/>
      <c r="F7" s="78"/>
      <c r="G7" s="78"/>
      <c r="H7" s="84"/>
      <c r="I7" s="84"/>
      <c r="J7" s="84"/>
      <c r="K7" s="84"/>
      <c r="L7" s="84"/>
      <c r="M7" s="84"/>
    </row>
    <row r="8" spans="1:13" x14ac:dyDescent="0.25">
      <c r="A8" s="77" t="s">
        <v>306</v>
      </c>
      <c r="B8" s="159" t="s">
        <v>478</v>
      </c>
      <c r="C8" s="78"/>
      <c r="D8" s="78"/>
      <c r="E8" s="78"/>
      <c r="F8" s="78"/>
      <c r="G8" s="78"/>
      <c r="H8" s="84"/>
      <c r="I8" s="84"/>
      <c r="J8" s="84"/>
      <c r="K8" s="84"/>
      <c r="L8" s="84"/>
      <c r="M8" s="84"/>
    </row>
    <row r="9" spans="1:13" x14ac:dyDescent="0.25">
      <c r="A9" s="77" t="s">
        <v>307</v>
      </c>
      <c r="B9" s="159" t="s">
        <v>462</v>
      </c>
      <c r="C9" s="78"/>
      <c r="D9" s="78"/>
      <c r="E9" s="78"/>
      <c r="F9" s="78"/>
      <c r="G9" s="78"/>
      <c r="H9" s="84"/>
      <c r="I9" s="84"/>
      <c r="J9" s="84"/>
      <c r="K9" s="84"/>
      <c r="L9" s="84"/>
      <c r="M9" s="84"/>
    </row>
    <row r="10" spans="1:13" x14ac:dyDescent="0.25">
      <c r="A10" s="77" t="s">
        <v>233</v>
      </c>
      <c r="B10" s="159" t="s">
        <v>479</v>
      </c>
      <c r="C10" s="78"/>
      <c r="D10" s="78"/>
      <c r="E10" s="78"/>
      <c r="F10" s="78"/>
      <c r="G10" s="78"/>
      <c r="H10" s="84"/>
      <c r="I10" s="84"/>
      <c r="J10" s="84"/>
      <c r="K10" s="84"/>
      <c r="L10" s="84"/>
      <c r="M10" s="84"/>
    </row>
    <row r="11" spans="1:13" x14ac:dyDescent="0.25">
      <c r="A11" s="77" t="s">
        <v>308</v>
      </c>
      <c r="B11" s="159" t="s">
        <v>404</v>
      </c>
      <c r="C11" s="78"/>
      <c r="D11" s="78"/>
      <c r="E11" s="78"/>
      <c r="F11" s="78"/>
      <c r="G11" s="78"/>
      <c r="H11" s="84"/>
      <c r="I11" s="84"/>
      <c r="J11" s="84"/>
      <c r="K11" s="84"/>
      <c r="L11" s="84"/>
      <c r="M11" s="84"/>
    </row>
    <row r="12" spans="1:13" ht="12.75" customHeight="1" x14ac:dyDescent="0.25">
      <c r="A12" s="77" t="s">
        <v>309</v>
      </c>
      <c r="B12" s="159" t="s">
        <v>480</v>
      </c>
      <c r="C12" s="78"/>
      <c r="D12" s="78"/>
      <c r="E12" s="78"/>
      <c r="F12" s="78"/>
      <c r="G12" s="78"/>
      <c r="H12" s="84"/>
      <c r="I12" s="84"/>
      <c r="J12" s="84"/>
      <c r="K12" s="84"/>
      <c r="L12" s="84"/>
      <c r="M12" s="84"/>
    </row>
    <row r="13" spans="1:13" x14ac:dyDescent="0.25">
      <c r="A13" s="77" t="s">
        <v>570</v>
      </c>
      <c r="B13" s="159">
        <v>0</v>
      </c>
      <c r="C13" s="78"/>
      <c r="D13" s="78"/>
      <c r="E13" s="78"/>
      <c r="F13" s="78"/>
      <c r="G13" s="78"/>
    </row>
    <row r="14" spans="1:13" x14ac:dyDescent="0.25">
      <c r="A14" s="77" t="s">
        <v>311</v>
      </c>
      <c r="B14" s="159">
        <v>506</v>
      </c>
      <c r="C14" s="78"/>
      <c r="D14" s="78"/>
      <c r="E14" s="78"/>
      <c r="F14" s="78"/>
      <c r="G14" s="78"/>
    </row>
    <row r="15" spans="1:13" x14ac:dyDescent="0.25">
      <c r="A15" s="77" t="s">
        <v>573</v>
      </c>
      <c r="B15" s="159" t="s">
        <v>481</v>
      </c>
      <c r="C15" s="78"/>
      <c r="D15" s="78"/>
      <c r="E15" s="78"/>
      <c r="F15" s="78"/>
      <c r="G15" s="78"/>
      <c r="H15" s="84"/>
      <c r="I15" s="84"/>
      <c r="J15" s="84"/>
      <c r="K15" s="84"/>
      <c r="L15" s="84"/>
      <c r="M15" s="84"/>
    </row>
    <row r="16" spans="1:13" x14ac:dyDescent="0.25">
      <c r="A16" s="77" t="s">
        <v>313</v>
      </c>
      <c r="B16" s="159" t="s">
        <v>344</v>
      </c>
      <c r="C16" s="78"/>
      <c r="D16" s="78"/>
      <c r="E16" s="78"/>
      <c r="F16" s="78"/>
      <c r="G16" s="78"/>
      <c r="H16" s="84"/>
      <c r="I16" s="84"/>
      <c r="J16" s="84"/>
      <c r="K16" s="84"/>
      <c r="L16" s="84"/>
      <c r="M16" s="84"/>
    </row>
    <row r="17" spans="1:13" ht="55.5" customHeight="1" x14ac:dyDescent="0.25">
      <c r="A17" s="77" t="s">
        <v>642</v>
      </c>
      <c r="B17" s="159"/>
      <c r="C17" s="78"/>
      <c r="D17" s="78"/>
      <c r="E17" s="78"/>
      <c r="F17" s="78"/>
      <c r="G17" s="78"/>
      <c r="H17" s="84"/>
      <c r="I17" s="84"/>
      <c r="J17" s="84"/>
      <c r="K17" s="84"/>
      <c r="L17" s="84"/>
      <c r="M17" s="84"/>
    </row>
    <row r="18" spans="1:13" x14ac:dyDescent="0.25">
      <c r="A18" s="77" t="s">
        <v>315</v>
      </c>
      <c r="B18" s="161">
        <v>45135</v>
      </c>
      <c r="C18" s="79"/>
      <c r="D18" s="79"/>
      <c r="E18" s="79"/>
      <c r="F18" s="79"/>
      <c r="G18" s="79"/>
      <c r="H18" s="115"/>
      <c r="I18" s="115"/>
      <c r="J18" s="115"/>
      <c r="K18" s="115"/>
      <c r="L18" s="115"/>
      <c r="M18" s="115"/>
    </row>
    <row r="19" spans="1:13" x14ac:dyDescent="0.25">
      <c r="A19" s="77" t="s">
        <v>316</v>
      </c>
      <c r="B19" s="161">
        <v>45135</v>
      </c>
      <c r="C19" s="79"/>
      <c r="D19" s="79"/>
      <c r="E19" s="79"/>
      <c r="F19" s="79"/>
      <c r="G19" s="79"/>
      <c r="H19" s="116"/>
      <c r="I19" s="116"/>
      <c r="J19" s="116"/>
      <c r="K19" s="116"/>
      <c r="L19" s="116"/>
      <c r="M19" s="116"/>
    </row>
    <row r="20" spans="1:13" x14ac:dyDescent="0.25">
      <c r="A20" s="77" t="s">
        <v>317</v>
      </c>
      <c r="B20" s="159" t="s">
        <v>327</v>
      </c>
      <c r="C20" s="78"/>
      <c r="D20" s="78"/>
      <c r="E20" s="78"/>
      <c r="F20" s="78"/>
      <c r="G20" s="78"/>
      <c r="H20" s="84"/>
      <c r="I20" s="84"/>
      <c r="J20" s="84"/>
      <c r="K20" s="84"/>
      <c r="L20" s="84"/>
      <c r="M20" s="84"/>
    </row>
    <row r="21" spans="1:13" x14ac:dyDescent="0.25">
      <c r="A21" s="77" t="s">
        <v>318</v>
      </c>
      <c r="B21" s="159" t="s">
        <v>328</v>
      </c>
      <c r="C21" s="78"/>
      <c r="D21" s="78"/>
      <c r="E21" s="78"/>
      <c r="F21" s="78"/>
      <c r="G21" s="78"/>
    </row>
    <row r="23" spans="1:13" x14ac:dyDescent="0.25">
      <c r="B23" s="91" t="str">
        <f>HYPERLINK("#'Factor List'!A1","Back to Factor List")</f>
        <v>Back to Factor List</v>
      </c>
    </row>
    <row r="24" spans="1:13" x14ac:dyDescent="0.25">
      <c r="B24" s="91" t="s">
        <v>240</v>
      </c>
    </row>
    <row r="26" spans="1:13" ht="13" x14ac:dyDescent="0.25">
      <c r="A26" s="80" t="s">
        <v>680</v>
      </c>
      <c r="B26" s="80" t="s">
        <v>681</v>
      </c>
    </row>
    <row r="27" spans="1:13" x14ac:dyDescent="0.25">
      <c r="A27" s="150" t="s">
        <v>682</v>
      </c>
      <c r="B27" s="150">
        <v>11</v>
      </c>
    </row>
  </sheetData>
  <sheetProtection algorithmName="SHA-512" hashValue="OhcNYOE9B8gu9+46akIsPk6hqsLkRMiqgtXmt3dMNDfPfRVR/Ae0K6r+vhs8JQYAOyD89PrUhNyrcY1u/5Bs9Q==" saltValue="1Q+/JW553I896PF9GawLdw==" spinCount="100000" sheet="1" objects="1" scenarios="1"/>
  <conditionalFormatting sqref="A6:A16">
    <cfRule type="expression" dxfId="517" priority="51" stopIfTrue="1">
      <formula>MOD(ROW(),2)=0</formula>
    </cfRule>
    <cfRule type="expression" dxfId="516" priority="52" stopIfTrue="1">
      <formula>MOD(ROW(),2)&lt;&gt;0</formula>
    </cfRule>
  </conditionalFormatting>
  <conditionalFormatting sqref="B6:B21">
    <cfRule type="expression" dxfId="515" priority="53" stopIfTrue="1">
      <formula>MOD(ROW(),2)=0</formula>
    </cfRule>
    <cfRule type="expression" dxfId="514" priority="54" stopIfTrue="1">
      <formula>MOD(ROW(),2)&lt;&gt;0</formula>
    </cfRule>
  </conditionalFormatting>
  <conditionalFormatting sqref="A17:A21">
    <cfRule type="expression" dxfId="513" priority="47" stopIfTrue="1">
      <formula>MOD(ROW(),2)=0</formula>
    </cfRule>
    <cfRule type="expression" dxfId="512" priority="48" stopIfTrue="1">
      <formula>MOD(ROW(),2)&lt;&gt;0</formula>
    </cfRule>
  </conditionalFormatting>
  <conditionalFormatting sqref="B20:B21">
    <cfRule type="expression" dxfId="511" priority="49" stopIfTrue="1">
      <formula>MOD(ROW(),2)=0</formula>
    </cfRule>
    <cfRule type="expression" dxfId="510" priority="50" stopIfTrue="1">
      <formula>MOD(ROW(),2)&lt;&gt;0</formula>
    </cfRule>
  </conditionalFormatting>
  <conditionalFormatting sqref="C6:G16">
    <cfRule type="expression" dxfId="509" priority="31" stopIfTrue="1">
      <formula>MOD(ROW(),2)=0</formula>
    </cfRule>
    <cfRule type="expression" dxfId="508" priority="32" stopIfTrue="1">
      <formula>MOD(ROW(),2)&lt;&gt;0</formula>
    </cfRule>
  </conditionalFormatting>
  <conditionalFormatting sqref="C17:G17 C20:G21">
    <cfRule type="expression" dxfId="507" priority="29" stopIfTrue="1">
      <formula>MOD(ROW(),2)=0</formula>
    </cfRule>
    <cfRule type="expression" dxfId="506" priority="30" stopIfTrue="1">
      <formula>MOD(ROW(),2)&lt;&gt;0</formula>
    </cfRule>
  </conditionalFormatting>
  <conditionalFormatting sqref="C18:G18">
    <cfRule type="expression" dxfId="505" priority="27" stopIfTrue="1">
      <formula>MOD(ROW(),2)=0</formula>
    </cfRule>
    <cfRule type="expression" dxfId="504" priority="28" stopIfTrue="1">
      <formula>MOD(ROW(),2)&lt;&gt;0</formula>
    </cfRule>
  </conditionalFormatting>
  <conditionalFormatting sqref="C19:G19">
    <cfRule type="expression" dxfId="503" priority="25" stopIfTrue="1">
      <formula>MOD(ROW(),2)=0</formula>
    </cfRule>
    <cfRule type="expression" dxfId="502" priority="26" stopIfTrue="1">
      <formula>MOD(ROW(),2)&lt;&gt;0</formula>
    </cfRule>
  </conditionalFormatting>
  <conditionalFormatting sqref="B8:B16">
    <cfRule type="expression" dxfId="501" priority="9" stopIfTrue="1">
      <formula>MOD(ROW(),2)=0</formula>
    </cfRule>
    <cfRule type="expression" dxfId="500" priority="10" stopIfTrue="1">
      <formula>MOD(ROW(),2)&lt;&gt;0</formula>
    </cfRule>
  </conditionalFormatting>
  <conditionalFormatting sqref="B17:B18">
    <cfRule type="expression" dxfId="499" priority="7" stopIfTrue="1">
      <formula>MOD(ROW(),2)=0</formula>
    </cfRule>
    <cfRule type="expression" dxfId="498" priority="8" stopIfTrue="1">
      <formula>MOD(ROW(),2)&lt;&gt;0</formula>
    </cfRule>
  </conditionalFormatting>
  <conditionalFormatting sqref="B19">
    <cfRule type="expression" dxfId="497" priority="5" stopIfTrue="1">
      <formula>MOD(ROW(),2)=0</formula>
    </cfRule>
    <cfRule type="expression" dxfId="496" priority="6" stopIfTrue="1">
      <formula>MOD(ROW(),2)&lt;&gt;0</formula>
    </cfRule>
  </conditionalFormatting>
  <conditionalFormatting sqref="A26:A27">
    <cfRule type="expression" dxfId="495" priority="3" stopIfTrue="1">
      <formula>MOD(ROW(),2)=0</formula>
    </cfRule>
    <cfRule type="expression" dxfId="494" priority="3" stopIfTrue="1">
      <formula>MOD(ROW(),2)&lt;&gt;0</formula>
    </cfRule>
  </conditionalFormatting>
  <conditionalFormatting sqref="B26:B27">
    <cfRule type="expression" dxfId="493" priority="4" stopIfTrue="1">
      <formula>MOD(ROW(),2)&lt;&gt;0</formula>
    </cfRule>
    <cfRule type="expression" dxfId="492" priority="55" stopIfTrue="1">
      <formula>MOD(ROW(),2)=0</formula>
    </cfRule>
  </conditionalFormatting>
  <hyperlinks>
    <hyperlink ref="B24" location="Assumptions!A1" display="Assumptions" xr:uid="{3ACBCDEC-0A3E-41B9-A5EB-CFE1A1FEE886}"/>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sheetPr codeName="Sheet83"/>
  <dimension ref="A1:I68"/>
  <sheetViews>
    <sheetView showGridLines="0" zoomScale="85" zoomScaleNormal="85" workbookViewId="0">
      <selection activeCell="B18" sqref="B18"/>
    </sheetView>
  </sheetViews>
  <sheetFormatPr defaultColWidth="10" defaultRowHeight="12.5" x14ac:dyDescent="0.25"/>
  <cols>
    <col min="1" max="1" width="31.81640625" style="28" customWidth="1"/>
    <col min="2" max="3" width="22.81640625" style="28" customWidth="1"/>
    <col min="4" max="4" width="10" style="28" customWidth="1"/>
    <col min="5" max="16384" width="10" style="28"/>
  </cols>
  <sheetData>
    <row r="1" spans="1:9" ht="20" x14ac:dyDescent="0.4">
      <c r="A1" s="40" t="s">
        <v>227</v>
      </c>
      <c r="B1" s="41"/>
      <c r="C1" s="41"/>
      <c r="D1" s="41"/>
      <c r="E1" s="41"/>
      <c r="F1" s="41"/>
      <c r="G1" s="41"/>
      <c r="H1" s="41"/>
      <c r="I1" s="41"/>
    </row>
    <row r="2" spans="1:9" ht="15.5" x14ac:dyDescent="0.35">
      <c r="A2" s="42" t="str">
        <f>IF(title="&gt; Enter workbook title here","Enter workbook title in Cover sheet",title)</f>
        <v>Fire Northern Ireland - Consolidated Factor Spreadsheet</v>
      </c>
      <c r="B2" s="43"/>
      <c r="C2" s="43"/>
      <c r="D2" s="43"/>
      <c r="E2" s="43"/>
      <c r="F2" s="43"/>
      <c r="G2" s="43"/>
      <c r="H2" s="43"/>
      <c r="I2" s="43"/>
    </row>
    <row r="3" spans="1:9" ht="15.5" x14ac:dyDescent="0.35">
      <c r="A3" s="44" t="str">
        <f>TABLE_FACTOR_TYPE_1&amp;" - x-"&amp;TABLE_SERIES_NUMBER_1</f>
        <v>Scheme pays AA - x-603</v>
      </c>
      <c r="B3" s="43"/>
      <c r="C3" s="43"/>
      <c r="D3" s="43"/>
      <c r="E3" s="43"/>
      <c r="F3" s="43"/>
      <c r="G3" s="43"/>
      <c r="H3" s="43"/>
      <c r="I3" s="43"/>
    </row>
    <row r="4" spans="1:9" x14ac:dyDescent="0.25">
      <c r="A4" s="45"/>
    </row>
    <row r="6" spans="1:9" ht="13" x14ac:dyDescent="0.3">
      <c r="A6" s="75" t="s">
        <v>562</v>
      </c>
      <c r="B6" s="159" t="s">
        <v>563</v>
      </c>
      <c r="C6" s="159"/>
    </row>
    <row r="7" spans="1:9" x14ac:dyDescent="0.25">
      <c r="A7" s="77" t="s">
        <v>305</v>
      </c>
      <c r="B7" s="159" t="s">
        <v>319</v>
      </c>
      <c r="C7" s="159"/>
    </row>
    <row r="8" spans="1:9" x14ac:dyDescent="0.25">
      <c r="A8" s="77" t="s">
        <v>306</v>
      </c>
      <c r="B8" s="159" t="s">
        <v>320</v>
      </c>
      <c r="C8" s="159"/>
    </row>
    <row r="9" spans="1:9" x14ac:dyDescent="0.25">
      <c r="A9" s="77" t="s">
        <v>307</v>
      </c>
      <c r="B9" s="159" t="s">
        <v>482</v>
      </c>
      <c r="C9" s="159"/>
    </row>
    <row r="10" spans="1:9" x14ac:dyDescent="0.25">
      <c r="A10" s="77" t="s">
        <v>233</v>
      </c>
      <c r="B10" s="159" t="s">
        <v>483</v>
      </c>
      <c r="C10" s="159"/>
    </row>
    <row r="11" spans="1:9" x14ac:dyDescent="0.25">
      <c r="A11" s="77" t="s">
        <v>308</v>
      </c>
      <c r="B11" s="159" t="s">
        <v>484</v>
      </c>
      <c r="C11" s="159"/>
    </row>
    <row r="12" spans="1:9" x14ac:dyDescent="0.25">
      <c r="A12" s="77" t="s">
        <v>309</v>
      </c>
      <c r="B12" s="159" t="s">
        <v>485</v>
      </c>
      <c r="C12" s="159"/>
    </row>
    <row r="13" spans="1:9" x14ac:dyDescent="0.25">
      <c r="A13" s="77" t="s">
        <v>570</v>
      </c>
      <c r="B13" s="159">
        <v>2</v>
      </c>
      <c r="C13" s="159"/>
    </row>
    <row r="14" spans="1:9" x14ac:dyDescent="0.25">
      <c r="A14" s="77" t="s">
        <v>311</v>
      </c>
      <c r="B14" s="159">
        <v>603</v>
      </c>
      <c r="C14" s="159"/>
    </row>
    <row r="15" spans="1:9" x14ac:dyDescent="0.25">
      <c r="A15" s="77" t="s">
        <v>573</v>
      </c>
      <c r="B15" s="159" t="s">
        <v>486</v>
      </c>
      <c r="C15" s="159"/>
    </row>
    <row r="16" spans="1:9" x14ac:dyDescent="0.25">
      <c r="A16" s="77" t="s">
        <v>313</v>
      </c>
      <c r="B16" s="159" t="s">
        <v>326</v>
      </c>
      <c r="C16" s="159"/>
    </row>
    <row r="17" spans="1:3" ht="52.5" customHeight="1" x14ac:dyDescent="0.25">
      <c r="A17" s="77" t="s">
        <v>642</v>
      </c>
      <c r="B17" s="159"/>
      <c r="C17" s="159"/>
    </row>
    <row r="18" spans="1:3" x14ac:dyDescent="0.25">
      <c r="A18" s="77" t="s">
        <v>315</v>
      </c>
      <c r="B18" s="161">
        <v>45135</v>
      </c>
      <c r="C18" s="159"/>
    </row>
    <row r="19" spans="1:3" x14ac:dyDescent="0.25">
      <c r="A19" s="77" t="s">
        <v>316</v>
      </c>
      <c r="B19" s="161">
        <v>45135</v>
      </c>
      <c r="C19" s="159"/>
    </row>
    <row r="20" spans="1:3" x14ac:dyDescent="0.25">
      <c r="A20" s="77" t="s">
        <v>317</v>
      </c>
      <c r="B20" s="159" t="s">
        <v>327</v>
      </c>
      <c r="C20" s="159"/>
    </row>
    <row r="21" spans="1:3" x14ac:dyDescent="0.25">
      <c r="A21" s="77" t="s">
        <v>318</v>
      </c>
      <c r="B21" s="159" t="s">
        <v>328</v>
      </c>
      <c r="C21" s="159"/>
    </row>
    <row r="23" spans="1:3" x14ac:dyDescent="0.25">
      <c r="B23" s="91" t="str">
        <f>HYPERLINK("#'Factor List'!A1","Back to Factor List")</f>
        <v>Back to Factor List</v>
      </c>
    </row>
    <row r="24" spans="1:3" x14ac:dyDescent="0.25">
      <c r="B24" s="91" t="s">
        <v>240</v>
      </c>
    </row>
    <row r="25" spans="1:3" x14ac:dyDescent="0.25">
      <c r="B25" s="91"/>
    </row>
    <row r="26" spans="1:3" ht="52" x14ac:dyDescent="0.25">
      <c r="A26" s="87" t="s">
        <v>643</v>
      </c>
      <c r="B26" s="87" t="s">
        <v>683</v>
      </c>
      <c r="C26" s="87" t="s">
        <v>684</v>
      </c>
    </row>
    <row r="27" spans="1:3" x14ac:dyDescent="0.25">
      <c r="A27" s="88">
        <v>18</v>
      </c>
      <c r="B27" s="89">
        <v>10.87</v>
      </c>
      <c r="C27" s="89">
        <v>10.87</v>
      </c>
    </row>
    <row r="28" spans="1:3" x14ac:dyDescent="0.25">
      <c r="A28" s="88">
        <v>19</v>
      </c>
      <c r="B28" s="89">
        <v>11.02</v>
      </c>
      <c r="C28" s="89">
        <v>11.02</v>
      </c>
    </row>
    <row r="29" spans="1:3" x14ac:dyDescent="0.25">
      <c r="A29" s="88">
        <v>20</v>
      </c>
      <c r="B29" s="89">
        <v>11.18</v>
      </c>
      <c r="C29" s="89">
        <v>11.18</v>
      </c>
    </row>
    <row r="30" spans="1:3" x14ac:dyDescent="0.25">
      <c r="A30" s="88">
        <v>21</v>
      </c>
      <c r="B30" s="89">
        <v>11.34</v>
      </c>
      <c r="C30" s="89">
        <v>11.34</v>
      </c>
    </row>
    <row r="31" spans="1:3" x14ac:dyDescent="0.25">
      <c r="A31" s="88">
        <v>22</v>
      </c>
      <c r="B31" s="89">
        <v>11.51</v>
      </c>
      <c r="C31" s="89">
        <v>11.51</v>
      </c>
    </row>
    <row r="32" spans="1:3" x14ac:dyDescent="0.25">
      <c r="A32" s="88">
        <v>23</v>
      </c>
      <c r="B32" s="89">
        <v>11.67</v>
      </c>
      <c r="C32" s="89">
        <v>11.67</v>
      </c>
    </row>
    <row r="33" spans="1:3" x14ac:dyDescent="0.25">
      <c r="A33" s="88">
        <v>24</v>
      </c>
      <c r="B33" s="89">
        <v>11.84</v>
      </c>
      <c r="C33" s="89">
        <v>11.84</v>
      </c>
    </row>
    <row r="34" spans="1:3" x14ac:dyDescent="0.25">
      <c r="A34" s="88">
        <v>25</v>
      </c>
      <c r="B34" s="89">
        <v>12.01</v>
      </c>
      <c r="C34" s="89">
        <v>12.01</v>
      </c>
    </row>
    <row r="35" spans="1:3" x14ac:dyDescent="0.25">
      <c r="A35" s="88">
        <v>26</v>
      </c>
      <c r="B35" s="89">
        <v>12.19</v>
      </c>
      <c r="C35" s="89">
        <v>12.19</v>
      </c>
    </row>
    <row r="36" spans="1:3" x14ac:dyDescent="0.25">
      <c r="A36" s="88">
        <v>27</v>
      </c>
      <c r="B36" s="89">
        <v>12.36</v>
      </c>
      <c r="C36" s="89">
        <v>12.36</v>
      </c>
    </row>
    <row r="37" spans="1:3" x14ac:dyDescent="0.25">
      <c r="A37" s="88">
        <v>28</v>
      </c>
      <c r="B37" s="89">
        <v>12.54</v>
      </c>
      <c r="C37" s="89">
        <v>12.54</v>
      </c>
    </row>
    <row r="38" spans="1:3" x14ac:dyDescent="0.25">
      <c r="A38" s="88">
        <v>29</v>
      </c>
      <c r="B38" s="89">
        <v>12.73</v>
      </c>
      <c r="C38" s="89">
        <v>12.73</v>
      </c>
    </row>
    <row r="39" spans="1:3" x14ac:dyDescent="0.25">
      <c r="A39" s="88">
        <v>30</v>
      </c>
      <c r="B39" s="89">
        <v>12.91</v>
      </c>
      <c r="C39" s="89">
        <v>12.91</v>
      </c>
    </row>
    <row r="40" spans="1:3" x14ac:dyDescent="0.25">
      <c r="A40" s="88">
        <v>31</v>
      </c>
      <c r="B40" s="89">
        <v>13.1</v>
      </c>
      <c r="C40" s="89">
        <v>13.1</v>
      </c>
    </row>
    <row r="41" spans="1:3" x14ac:dyDescent="0.25">
      <c r="A41" s="88">
        <v>32</v>
      </c>
      <c r="B41" s="89">
        <v>13.3</v>
      </c>
      <c r="C41" s="89">
        <v>13.3</v>
      </c>
    </row>
    <row r="42" spans="1:3" x14ac:dyDescent="0.25">
      <c r="A42" s="88">
        <v>33</v>
      </c>
      <c r="B42" s="89">
        <v>13.49</v>
      </c>
      <c r="C42" s="89">
        <v>13.49</v>
      </c>
    </row>
    <row r="43" spans="1:3" x14ac:dyDescent="0.25">
      <c r="A43" s="88">
        <v>34</v>
      </c>
      <c r="B43" s="89">
        <v>13.69</v>
      </c>
      <c r="C43" s="89">
        <v>13.69</v>
      </c>
    </row>
    <row r="44" spans="1:3" x14ac:dyDescent="0.25">
      <c r="A44" s="88">
        <v>35</v>
      </c>
      <c r="B44" s="89">
        <v>13.89</v>
      </c>
      <c r="C44" s="89">
        <v>13.89</v>
      </c>
    </row>
    <row r="45" spans="1:3" x14ac:dyDescent="0.25">
      <c r="A45" s="88">
        <v>36</v>
      </c>
      <c r="B45" s="89">
        <v>14.1</v>
      </c>
      <c r="C45" s="89">
        <v>14.1</v>
      </c>
    </row>
    <row r="46" spans="1:3" x14ac:dyDescent="0.25">
      <c r="A46" s="88">
        <v>37</v>
      </c>
      <c r="B46" s="89">
        <v>14.31</v>
      </c>
      <c r="C46" s="89">
        <v>14.31</v>
      </c>
    </row>
    <row r="47" spans="1:3" x14ac:dyDescent="0.25">
      <c r="A47" s="88">
        <v>38</v>
      </c>
      <c r="B47" s="89">
        <v>14.53</v>
      </c>
      <c r="C47" s="89">
        <v>14.53</v>
      </c>
    </row>
    <row r="48" spans="1:3" x14ac:dyDescent="0.25">
      <c r="A48" s="88">
        <v>39</v>
      </c>
      <c r="B48" s="89">
        <v>14.75</v>
      </c>
      <c r="C48" s="89">
        <v>14.75</v>
      </c>
    </row>
    <row r="49" spans="1:3" x14ac:dyDescent="0.25">
      <c r="A49" s="88">
        <v>40</v>
      </c>
      <c r="B49" s="89">
        <v>14.97</v>
      </c>
      <c r="C49" s="89">
        <v>14.97</v>
      </c>
    </row>
    <row r="50" spans="1:3" x14ac:dyDescent="0.25">
      <c r="A50" s="88">
        <v>41</v>
      </c>
      <c r="B50" s="89">
        <v>15.2</v>
      </c>
      <c r="C50" s="89">
        <v>15.2</v>
      </c>
    </row>
    <row r="51" spans="1:3" x14ac:dyDescent="0.25">
      <c r="A51" s="88">
        <v>42</v>
      </c>
      <c r="B51" s="89">
        <v>15.43</v>
      </c>
      <c r="C51" s="89">
        <v>15.43</v>
      </c>
    </row>
    <row r="52" spans="1:3" x14ac:dyDescent="0.25">
      <c r="A52" s="88">
        <v>43</v>
      </c>
      <c r="B52" s="89">
        <v>15.67</v>
      </c>
      <c r="C52" s="89">
        <v>15.67</v>
      </c>
    </row>
    <row r="53" spans="1:3" x14ac:dyDescent="0.25">
      <c r="A53" s="88">
        <v>44</v>
      </c>
      <c r="B53" s="89">
        <v>15.91</v>
      </c>
      <c r="C53" s="89">
        <v>15.91</v>
      </c>
    </row>
    <row r="54" spans="1:3" x14ac:dyDescent="0.25">
      <c r="A54" s="88">
        <v>45</v>
      </c>
      <c r="B54" s="89">
        <v>16.16</v>
      </c>
      <c r="C54" s="89">
        <v>16.16</v>
      </c>
    </row>
    <row r="55" spans="1:3" x14ac:dyDescent="0.25">
      <c r="A55" s="88">
        <v>46</v>
      </c>
      <c r="B55" s="89">
        <v>16.420000000000002</v>
      </c>
      <c r="C55" s="89">
        <v>16.420000000000002</v>
      </c>
    </row>
    <row r="56" spans="1:3" x14ac:dyDescent="0.25">
      <c r="A56" s="88">
        <v>47</v>
      </c>
      <c r="B56" s="89">
        <v>16.68</v>
      </c>
      <c r="C56" s="89">
        <v>16.68</v>
      </c>
    </row>
    <row r="57" spans="1:3" x14ac:dyDescent="0.25">
      <c r="A57" s="88">
        <v>48</v>
      </c>
      <c r="B57" s="89">
        <v>16.940000000000001</v>
      </c>
      <c r="C57" s="89">
        <v>16.940000000000001</v>
      </c>
    </row>
    <row r="58" spans="1:3" x14ac:dyDescent="0.25">
      <c r="A58" s="88">
        <v>49</v>
      </c>
      <c r="B58" s="89">
        <v>17.22</v>
      </c>
      <c r="C58" s="89">
        <v>17.22</v>
      </c>
    </row>
    <row r="59" spans="1:3" x14ac:dyDescent="0.25">
      <c r="A59" s="88">
        <v>50</v>
      </c>
      <c r="B59" s="89">
        <v>17.5</v>
      </c>
      <c r="C59" s="89">
        <v>17.5</v>
      </c>
    </row>
    <row r="60" spans="1:3" x14ac:dyDescent="0.25">
      <c r="A60" s="88">
        <v>51</v>
      </c>
      <c r="B60" s="89">
        <v>17.79</v>
      </c>
      <c r="C60" s="89">
        <v>17.79</v>
      </c>
    </row>
    <row r="61" spans="1:3" x14ac:dyDescent="0.25">
      <c r="A61" s="88">
        <v>52</v>
      </c>
      <c r="B61" s="89">
        <v>18.09</v>
      </c>
      <c r="C61" s="89">
        <v>18.09</v>
      </c>
    </row>
    <row r="62" spans="1:3" x14ac:dyDescent="0.25">
      <c r="A62" s="88">
        <v>53</v>
      </c>
      <c r="B62" s="89">
        <v>18.39</v>
      </c>
      <c r="C62" s="89">
        <v>18.39</v>
      </c>
    </row>
    <row r="63" spans="1:3" x14ac:dyDescent="0.25">
      <c r="A63" s="88">
        <v>54</v>
      </c>
      <c r="B63" s="89">
        <v>18.71</v>
      </c>
      <c r="C63" s="89">
        <v>18.71</v>
      </c>
    </row>
    <row r="64" spans="1:3" x14ac:dyDescent="0.25">
      <c r="A64" s="88">
        <v>55</v>
      </c>
      <c r="B64" s="89">
        <v>19.03</v>
      </c>
      <c r="C64" s="89">
        <v>19.03</v>
      </c>
    </row>
    <row r="65" spans="1:3" x14ac:dyDescent="0.25">
      <c r="A65" s="88">
        <v>56</v>
      </c>
      <c r="B65" s="89">
        <v>19.36</v>
      </c>
      <c r="C65" s="89">
        <v>19.36</v>
      </c>
    </row>
    <row r="66" spans="1:3" x14ac:dyDescent="0.25">
      <c r="A66" s="88">
        <v>57</v>
      </c>
      <c r="B66" s="89">
        <v>19.71</v>
      </c>
      <c r="C66" s="89">
        <v>19.71</v>
      </c>
    </row>
    <row r="67" spans="1:3" x14ac:dyDescent="0.25">
      <c r="A67" s="88">
        <v>58</v>
      </c>
      <c r="B67" s="89">
        <v>20.07</v>
      </c>
      <c r="C67" s="89">
        <v>20.07</v>
      </c>
    </row>
    <row r="68" spans="1:3" x14ac:dyDescent="0.25">
      <c r="A68" s="88">
        <v>59</v>
      </c>
      <c r="B68" s="89">
        <v>20.440000000000001</v>
      </c>
      <c r="C68" s="89">
        <v>20.440000000000001</v>
      </c>
    </row>
  </sheetData>
  <sheetProtection algorithmName="SHA-512" hashValue="D7xn4Re7z28tdnjc6sXLnWrjVA6g+TWIH+oJmfCHNSNYJz45K+Z+e8QJMyroA7l/jIwCdU/uFWKWxWIghx4NwQ==" saltValue="Cfr1k+R1krPl3qV/kCcIJQ==" spinCount="100000" sheet="1" objects="1" scenarios="1"/>
  <conditionalFormatting sqref="A6:A20">
    <cfRule type="expression" dxfId="491" priority="25" stopIfTrue="1">
      <formula>MOD(ROW(),2)=0</formula>
    </cfRule>
    <cfRule type="expression" dxfId="490" priority="26" stopIfTrue="1">
      <formula>MOD(ROW(),2)&lt;&gt;0</formula>
    </cfRule>
  </conditionalFormatting>
  <conditionalFormatting sqref="B6:C21">
    <cfRule type="expression" dxfId="489" priority="27" stopIfTrue="1">
      <formula>MOD(ROW(),2)=0</formula>
    </cfRule>
    <cfRule type="expression" dxfId="488" priority="28" stopIfTrue="1">
      <formula>MOD(ROW(),2)&lt;&gt;0</formula>
    </cfRule>
  </conditionalFormatting>
  <conditionalFormatting sqref="A26:A68">
    <cfRule type="expression" dxfId="487" priority="15" stopIfTrue="1">
      <formula>MOD(ROW(),2)=0</formula>
    </cfRule>
    <cfRule type="expression" dxfId="486" priority="16" stopIfTrue="1">
      <formula>MOD(ROW(),2)&lt;&gt;0</formula>
    </cfRule>
  </conditionalFormatting>
  <conditionalFormatting sqref="B26:C68">
    <cfRule type="expression" dxfId="485" priority="17" stopIfTrue="1">
      <formula>MOD(ROW(),2)=0</formula>
    </cfRule>
    <cfRule type="expression" dxfId="484" priority="18" stopIfTrue="1">
      <formula>MOD(ROW(),2)&lt;&gt;0</formula>
    </cfRule>
  </conditionalFormatting>
  <conditionalFormatting sqref="B19">
    <cfRule type="expression" dxfId="483" priority="13" stopIfTrue="1">
      <formula>MOD(ROW(),2)=0</formula>
    </cfRule>
    <cfRule type="expression" dxfId="482" priority="14" stopIfTrue="1">
      <formula>MOD(ROW(),2)&lt;&gt;0</formula>
    </cfRule>
  </conditionalFormatting>
  <conditionalFormatting sqref="A21">
    <cfRule type="expression" dxfId="481" priority="1" stopIfTrue="1">
      <formula>MOD(ROW(),2)=0</formula>
    </cfRule>
    <cfRule type="expression" dxfId="480" priority="2" stopIfTrue="1">
      <formula>MOD(ROW(),2)&lt;&gt;0</formula>
    </cfRule>
  </conditionalFormatting>
  <hyperlinks>
    <hyperlink ref="B24" location="Assumptions!A1" display="Assumptions" xr:uid="{22BD7BC0-5A5D-4085-9E60-C6961986962A}"/>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sheetPr codeName="Sheet84"/>
  <dimension ref="A1:I46"/>
  <sheetViews>
    <sheetView showGridLines="0" zoomScale="85" zoomScaleNormal="85" workbookViewId="0">
      <selection activeCell="B18" sqref="B18"/>
    </sheetView>
  </sheetViews>
  <sheetFormatPr defaultColWidth="10" defaultRowHeight="12.5" x14ac:dyDescent="0.25"/>
  <cols>
    <col min="1" max="1" width="31.81640625" style="28" customWidth="1"/>
    <col min="2" max="3" width="22.81640625" style="28" customWidth="1"/>
    <col min="4" max="4" width="10" style="28" customWidth="1"/>
    <col min="5" max="16384" width="10" style="28"/>
  </cols>
  <sheetData>
    <row r="1" spans="1:9" ht="20" x14ac:dyDescent="0.4">
      <c r="A1" s="40" t="s">
        <v>227</v>
      </c>
      <c r="B1" s="41"/>
      <c r="C1" s="41"/>
      <c r="D1" s="41"/>
      <c r="E1" s="41"/>
      <c r="F1" s="41"/>
      <c r="G1" s="41"/>
      <c r="H1" s="41"/>
      <c r="I1" s="41"/>
    </row>
    <row r="2" spans="1:9" ht="15.5" x14ac:dyDescent="0.35">
      <c r="A2" s="42" t="str">
        <f>IF(title="&gt; Enter workbook title here","Enter workbook title in Cover sheet",title)</f>
        <v>Fire Northern Ireland - Consolidated Factor Spreadsheet</v>
      </c>
      <c r="B2" s="43"/>
      <c r="C2" s="43"/>
      <c r="D2" s="43"/>
      <c r="E2" s="43"/>
      <c r="F2" s="43"/>
      <c r="G2" s="43"/>
      <c r="H2" s="43"/>
      <c r="I2" s="43"/>
    </row>
    <row r="3" spans="1:9" ht="15.5" x14ac:dyDescent="0.35">
      <c r="A3" s="44" t="str">
        <f>TABLE_FACTOR_TYPE_1&amp;" - x-"&amp;TABLE_SERIES_NUMBER_1</f>
        <v>Scheme pays AA - x-604</v>
      </c>
      <c r="B3" s="43"/>
      <c r="C3" s="43"/>
      <c r="D3" s="43"/>
      <c r="E3" s="43"/>
      <c r="F3" s="43"/>
      <c r="G3" s="43"/>
      <c r="H3" s="43"/>
      <c r="I3" s="43"/>
    </row>
    <row r="4" spans="1:9" x14ac:dyDescent="0.25">
      <c r="A4" s="45"/>
    </row>
    <row r="6" spans="1:9" ht="13" x14ac:dyDescent="0.3">
      <c r="A6" s="75" t="s">
        <v>562</v>
      </c>
      <c r="B6" s="159" t="s">
        <v>563</v>
      </c>
      <c r="C6" s="159"/>
    </row>
    <row r="7" spans="1:9" x14ac:dyDescent="0.25">
      <c r="A7" s="77" t="s">
        <v>305</v>
      </c>
      <c r="B7" s="159" t="s">
        <v>319</v>
      </c>
      <c r="C7" s="159"/>
    </row>
    <row r="8" spans="1:9" x14ac:dyDescent="0.25">
      <c r="A8" s="77" t="s">
        <v>306</v>
      </c>
      <c r="B8" s="159" t="s">
        <v>320</v>
      </c>
      <c r="C8" s="159"/>
    </row>
    <row r="9" spans="1:9" x14ac:dyDescent="0.25">
      <c r="A9" s="77" t="s">
        <v>307</v>
      </c>
      <c r="B9" s="159" t="s">
        <v>482</v>
      </c>
      <c r="C9" s="159"/>
    </row>
    <row r="10" spans="1:9" x14ac:dyDescent="0.25">
      <c r="A10" s="77" t="s">
        <v>233</v>
      </c>
      <c r="B10" s="159" t="s">
        <v>487</v>
      </c>
      <c r="C10" s="159"/>
    </row>
    <row r="11" spans="1:9" x14ac:dyDescent="0.25">
      <c r="A11" s="77" t="s">
        <v>308</v>
      </c>
      <c r="B11" s="159" t="s">
        <v>484</v>
      </c>
      <c r="C11" s="159"/>
    </row>
    <row r="12" spans="1:9" x14ac:dyDescent="0.25">
      <c r="A12" s="77" t="s">
        <v>309</v>
      </c>
      <c r="B12" s="159" t="s">
        <v>485</v>
      </c>
      <c r="C12" s="159"/>
    </row>
    <row r="13" spans="1:9" x14ac:dyDescent="0.25">
      <c r="A13" s="77" t="s">
        <v>570</v>
      </c>
      <c r="B13" s="159">
        <v>2</v>
      </c>
      <c r="C13" s="159"/>
    </row>
    <row r="14" spans="1:9" x14ac:dyDescent="0.25">
      <c r="A14" s="77" t="s">
        <v>311</v>
      </c>
      <c r="B14" s="159">
        <v>604</v>
      </c>
      <c r="C14" s="159"/>
    </row>
    <row r="15" spans="1:9" x14ac:dyDescent="0.25">
      <c r="A15" s="77" t="s">
        <v>573</v>
      </c>
      <c r="B15" s="159" t="s">
        <v>488</v>
      </c>
      <c r="C15" s="159"/>
    </row>
    <row r="16" spans="1:9" x14ac:dyDescent="0.25">
      <c r="A16" s="77" t="s">
        <v>313</v>
      </c>
      <c r="B16" s="159" t="s">
        <v>331</v>
      </c>
      <c r="C16" s="159"/>
    </row>
    <row r="17" spans="1:3" x14ac:dyDescent="0.25">
      <c r="A17" s="77" t="s">
        <v>642</v>
      </c>
      <c r="B17" s="159"/>
      <c r="C17" s="159"/>
    </row>
    <row r="18" spans="1:3" x14ac:dyDescent="0.25">
      <c r="A18" s="77" t="s">
        <v>315</v>
      </c>
      <c r="B18" s="161">
        <v>45135</v>
      </c>
      <c r="C18" s="159"/>
    </row>
    <row r="19" spans="1:3" x14ac:dyDescent="0.25">
      <c r="A19" s="77" t="s">
        <v>316</v>
      </c>
      <c r="B19" s="161">
        <v>45135</v>
      </c>
      <c r="C19" s="159"/>
    </row>
    <row r="20" spans="1:3" x14ac:dyDescent="0.25">
      <c r="A20" s="77" t="s">
        <v>317</v>
      </c>
      <c r="B20" s="159" t="s">
        <v>327</v>
      </c>
      <c r="C20" s="159"/>
    </row>
    <row r="21" spans="1:3" x14ac:dyDescent="0.25">
      <c r="A21" s="77" t="s">
        <v>318</v>
      </c>
      <c r="B21" s="159" t="s">
        <v>328</v>
      </c>
      <c r="C21" s="159"/>
    </row>
    <row r="23" spans="1:3" x14ac:dyDescent="0.25">
      <c r="B23" s="91" t="str">
        <f>HYPERLINK("#'Factor List'!A1","Back to Factor List")</f>
        <v>Back to Factor List</v>
      </c>
    </row>
    <row r="24" spans="1:3" x14ac:dyDescent="0.25">
      <c r="B24" s="91" t="s">
        <v>240</v>
      </c>
    </row>
    <row r="25" spans="1:3" x14ac:dyDescent="0.25">
      <c r="B25" s="91"/>
    </row>
    <row r="26" spans="1:3" ht="52" x14ac:dyDescent="0.25">
      <c r="A26" s="87" t="s">
        <v>643</v>
      </c>
      <c r="B26" s="87" t="s">
        <v>683</v>
      </c>
      <c r="C26" s="87" t="s">
        <v>684</v>
      </c>
    </row>
    <row r="27" spans="1:3" x14ac:dyDescent="0.25">
      <c r="A27" s="88">
        <v>60</v>
      </c>
      <c r="B27" s="89">
        <v>20.32</v>
      </c>
      <c r="C27" s="89">
        <v>20.32</v>
      </c>
    </row>
    <row r="28" spans="1:3" x14ac:dyDescent="0.25">
      <c r="A28" s="88">
        <v>61</v>
      </c>
      <c r="B28" s="89">
        <v>19.7</v>
      </c>
      <c r="C28" s="89">
        <v>19.7</v>
      </c>
    </row>
    <row r="29" spans="1:3" x14ac:dyDescent="0.25">
      <c r="A29" s="88">
        <v>62</v>
      </c>
      <c r="B29" s="89">
        <v>19.079999999999998</v>
      </c>
      <c r="C29" s="89">
        <v>19.079999999999998</v>
      </c>
    </row>
    <row r="30" spans="1:3" x14ac:dyDescent="0.25">
      <c r="A30" s="88">
        <v>63</v>
      </c>
      <c r="B30" s="89">
        <v>18.46</v>
      </c>
      <c r="C30" s="89">
        <v>18.46</v>
      </c>
    </row>
    <row r="31" spans="1:3" x14ac:dyDescent="0.25">
      <c r="A31" s="88">
        <v>64</v>
      </c>
      <c r="B31" s="89">
        <v>17.829999999999998</v>
      </c>
      <c r="C31" s="89">
        <v>17.829999999999998</v>
      </c>
    </row>
    <row r="32" spans="1:3" x14ac:dyDescent="0.25">
      <c r="A32" s="88">
        <v>65</v>
      </c>
      <c r="B32" s="89">
        <v>17.2</v>
      </c>
      <c r="C32" s="89">
        <v>17.2</v>
      </c>
    </row>
    <row r="33" spans="1:3" x14ac:dyDescent="0.25">
      <c r="A33" s="88">
        <v>66</v>
      </c>
      <c r="B33" s="89">
        <v>16.57</v>
      </c>
      <c r="C33" s="89">
        <v>16.57</v>
      </c>
    </row>
    <row r="34" spans="1:3" x14ac:dyDescent="0.25">
      <c r="A34" s="88">
        <v>67</v>
      </c>
      <c r="B34" s="89">
        <v>15.94</v>
      </c>
      <c r="C34" s="89">
        <v>15.94</v>
      </c>
    </row>
    <row r="35" spans="1:3" x14ac:dyDescent="0.25">
      <c r="A35" s="88">
        <v>68</v>
      </c>
      <c r="B35" s="89">
        <v>15.31</v>
      </c>
      <c r="C35" s="89">
        <v>15.31</v>
      </c>
    </row>
    <row r="36" spans="1:3" x14ac:dyDescent="0.25">
      <c r="A36" s="88">
        <v>69</v>
      </c>
      <c r="B36" s="89">
        <v>14.67</v>
      </c>
      <c r="C36" s="89">
        <v>14.67</v>
      </c>
    </row>
    <row r="37" spans="1:3" x14ac:dyDescent="0.25">
      <c r="A37" s="88">
        <v>70</v>
      </c>
      <c r="B37" s="89">
        <v>14.04</v>
      </c>
      <c r="C37" s="89">
        <v>14.04</v>
      </c>
    </row>
    <row r="38" spans="1:3" x14ac:dyDescent="0.25">
      <c r="A38" s="88">
        <v>71</v>
      </c>
      <c r="B38" s="89">
        <v>13.42</v>
      </c>
      <c r="C38" s="89">
        <v>13.42</v>
      </c>
    </row>
    <row r="39" spans="1:3" x14ac:dyDescent="0.25">
      <c r="A39" s="88">
        <v>72</v>
      </c>
      <c r="B39" s="89">
        <v>12.79</v>
      </c>
      <c r="C39" s="89">
        <v>12.79</v>
      </c>
    </row>
    <row r="40" spans="1:3" x14ac:dyDescent="0.25">
      <c r="A40" s="88">
        <v>73</v>
      </c>
      <c r="B40" s="89">
        <v>12.17</v>
      </c>
      <c r="C40" s="89">
        <v>12.17</v>
      </c>
    </row>
    <row r="41" spans="1:3" x14ac:dyDescent="0.25">
      <c r="A41" s="88">
        <v>74</v>
      </c>
      <c r="B41" s="89">
        <v>11.56</v>
      </c>
      <c r="C41" s="89">
        <v>11.56</v>
      </c>
    </row>
    <row r="44" spans="1:3" ht="39.65" customHeight="1" x14ac:dyDescent="0.25"/>
    <row r="46" spans="1:3" ht="27.65" customHeight="1" x14ac:dyDescent="0.25"/>
  </sheetData>
  <sheetProtection algorithmName="SHA-512" hashValue="yOjmCObaZetiH4rBBKwwQAlwMqPoGJfUoWdPxV6jOrlruMOVhYj3RXQLU2fNxcBs7YkxTdu2U532wqThcJhZsA==" saltValue="FkqgHNgcfVaCgYFcb7ACTQ==" spinCount="100000" sheet="1" objects="1" scenarios="1"/>
  <conditionalFormatting sqref="A6:A16">
    <cfRule type="expression" dxfId="479" priority="31" stopIfTrue="1">
      <formula>MOD(ROW(),2)=0</formula>
    </cfRule>
    <cfRule type="expression" dxfId="478" priority="32" stopIfTrue="1">
      <formula>MOD(ROW(),2)&lt;&gt;0</formula>
    </cfRule>
  </conditionalFormatting>
  <conditionalFormatting sqref="B6:C21">
    <cfRule type="expression" dxfId="477" priority="33" stopIfTrue="1">
      <formula>MOD(ROW(),2)=0</formula>
    </cfRule>
    <cfRule type="expression" dxfId="476" priority="34" stopIfTrue="1">
      <formula>MOD(ROW(),2)&lt;&gt;0</formula>
    </cfRule>
  </conditionalFormatting>
  <conditionalFormatting sqref="A17:A20">
    <cfRule type="expression" dxfId="475" priority="23" stopIfTrue="1">
      <formula>MOD(ROW(),2)=0</formula>
    </cfRule>
    <cfRule type="expression" dxfId="474" priority="24" stopIfTrue="1">
      <formula>MOD(ROW(),2)&lt;&gt;0</formula>
    </cfRule>
  </conditionalFormatting>
  <conditionalFormatting sqref="B17 B20:B21">
    <cfRule type="expression" dxfId="473" priority="25" stopIfTrue="1">
      <formula>MOD(ROW(),2)=0</formula>
    </cfRule>
    <cfRule type="expression" dxfId="472" priority="26" stopIfTrue="1">
      <formula>MOD(ROW(),2)&lt;&gt;0</formula>
    </cfRule>
  </conditionalFormatting>
  <conditionalFormatting sqref="B18">
    <cfRule type="expression" dxfId="471" priority="21" stopIfTrue="1">
      <formula>MOD(ROW(),2)=0</formula>
    </cfRule>
    <cfRule type="expression" dxfId="470" priority="22" stopIfTrue="1">
      <formula>MOD(ROW(),2)&lt;&gt;0</formula>
    </cfRule>
  </conditionalFormatting>
  <conditionalFormatting sqref="A26:A41">
    <cfRule type="expression" dxfId="469" priority="15" stopIfTrue="1">
      <formula>MOD(ROW(),2)=0</formula>
    </cfRule>
    <cfRule type="expression" dxfId="468" priority="16" stopIfTrue="1">
      <formula>MOD(ROW(),2)&lt;&gt;0</formula>
    </cfRule>
  </conditionalFormatting>
  <conditionalFormatting sqref="B26:C41">
    <cfRule type="expression" dxfId="467" priority="17" stopIfTrue="1">
      <formula>MOD(ROW(),2)=0</formula>
    </cfRule>
    <cfRule type="expression" dxfId="466" priority="18" stopIfTrue="1">
      <formula>MOD(ROW(),2)&lt;&gt;0</formula>
    </cfRule>
  </conditionalFormatting>
  <conditionalFormatting sqref="B19">
    <cfRule type="expression" dxfId="465" priority="13" stopIfTrue="1">
      <formula>MOD(ROW(),2)=0</formula>
    </cfRule>
    <cfRule type="expression" dxfId="464" priority="14" stopIfTrue="1">
      <formula>MOD(ROW(),2)&lt;&gt;0</formula>
    </cfRule>
  </conditionalFormatting>
  <conditionalFormatting sqref="A21">
    <cfRule type="expression" dxfId="463" priority="1" stopIfTrue="1">
      <formula>MOD(ROW(),2)=0</formula>
    </cfRule>
    <cfRule type="expression" dxfId="462" priority="2" stopIfTrue="1">
      <formula>MOD(ROW(),2)&lt;&gt;0</formula>
    </cfRule>
  </conditionalFormatting>
  <hyperlinks>
    <hyperlink ref="B24" location="Assumptions!A1" display="Assumptions" xr:uid="{8333EBF8-3E61-402F-A7DA-87F7877A6FEC}"/>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sheetPr codeName="Sheet85"/>
  <dimension ref="A1:I73"/>
  <sheetViews>
    <sheetView showGridLines="0" zoomScale="85" zoomScaleNormal="85" workbookViewId="0">
      <selection activeCell="B18" sqref="B18"/>
    </sheetView>
  </sheetViews>
  <sheetFormatPr defaultColWidth="10" defaultRowHeight="12.5" x14ac:dyDescent="0.25"/>
  <cols>
    <col min="1" max="1" width="31.81640625" style="28" customWidth="1"/>
    <col min="2" max="5" width="22.81640625" style="28" customWidth="1"/>
    <col min="6" max="16384" width="10" style="28"/>
  </cols>
  <sheetData>
    <row r="1" spans="1:9" ht="20" x14ac:dyDescent="0.4">
      <c r="A1" s="40" t="s">
        <v>227</v>
      </c>
      <c r="B1" s="41"/>
      <c r="C1" s="41"/>
      <c r="D1" s="41"/>
      <c r="E1" s="41"/>
      <c r="F1" s="41"/>
      <c r="G1" s="41"/>
      <c r="H1" s="41"/>
      <c r="I1" s="41"/>
    </row>
    <row r="2" spans="1:9" ht="15.5" x14ac:dyDescent="0.35">
      <c r="A2" s="42" t="str">
        <f>IF(title="&gt; Enter workbook title here","Enter workbook title in Cover sheet",title)</f>
        <v>Fire Northern Ireland - Consolidated Factor Spreadsheet</v>
      </c>
      <c r="B2" s="43"/>
      <c r="C2" s="43"/>
      <c r="D2" s="43"/>
      <c r="E2" s="43"/>
      <c r="F2" s="43"/>
      <c r="G2" s="43"/>
      <c r="H2" s="43"/>
      <c r="I2" s="43"/>
    </row>
    <row r="3" spans="1:9" ht="15.5" x14ac:dyDescent="0.35">
      <c r="A3" s="44" t="str">
        <f>TABLE_FACTOR_TYPE_1&amp;" - x-"&amp;TABLE_SERIES_NUMBER_1</f>
        <v>Scheme pays AA - x-605</v>
      </c>
      <c r="B3" s="43"/>
      <c r="C3" s="43"/>
      <c r="D3" s="43"/>
      <c r="E3" s="43"/>
      <c r="F3" s="43"/>
      <c r="G3" s="43"/>
      <c r="H3" s="43"/>
      <c r="I3" s="43"/>
    </row>
    <row r="4" spans="1:9" x14ac:dyDescent="0.25">
      <c r="A4" s="45"/>
    </row>
    <row r="6" spans="1:9" ht="13" x14ac:dyDescent="0.3">
      <c r="A6" s="75" t="s">
        <v>562</v>
      </c>
      <c r="B6" s="159" t="s">
        <v>563</v>
      </c>
      <c r="C6" s="159"/>
      <c r="D6" s="159"/>
      <c r="E6" s="159"/>
    </row>
    <row r="7" spans="1:9" x14ac:dyDescent="0.25">
      <c r="A7" s="77" t="s">
        <v>305</v>
      </c>
      <c r="B7" s="159" t="s">
        <v>319</v>
      </c>
      <c r="C7" s="159"/>
      <c r="D7" s="159"/>
      <c r="E7" s="159"/>
    </row>
    <row r="8" spans="1:9" x14ac:dyDescent="0.25">
      <c r="A8" s="77" t="s">
        <v>306</v>
      </c>
      <c r="B8" s="159" t="s">
        <v>332</v>
      </c>
      <c r="C8" s="159"/>
      <c r="D8" s="159"/>
      <c r="E8" s="159"/>
    </row>
    <row r="9" spans="1:9" x14ac:dyDescent="0.25">
      <c r="A9" s="77" t="s">
        <v>307</v>
      </c>
      <c r="B9" s="159" t="s">
        <v>482</v>
      </c>
      <c r="C9" s="159"/>
      <c r="D9" s="159"/>
      <c r="E9" s="159"/>
    </row>
    <row r="10" spans="1:9" x14ac:dyDescent="0.25">
      <c r="A10" s="77" t="s">
        <v>233</v>
      </c>
      <c r="B10" s="159" t="s">
        <v>489</v>
      </c>
      <c r="C10" s="159"/>
      <c r="D10" s="159"/>
      <c r="E10" s="159"/>
    </row>
    <row r="11" spans="1:9" x14ac:dyDescent="0.25">
      <c r="A11" s="77" t="s">
        <v>308</v>
      </c>
      <c r="B11" s="159" t="s">
        <v>484</v>
      </c>
      <c r="C11" s="159"/>
      <c r="D11" s="159"/>
      <c r="E11" s="159"/>
    </row>
    <row r="12" spans="1:9" x14ac:dyDescent="0.25">
      <c r="A12" s="77" t="s">
        <v>309</v>
      </c>
      <c r="B12" s="159" t="s">
        <v>485</v>
      </c>
      <c r="C12" s="159"/>
      <c r="D12" s="159"/>
      <c r="E12" s="159"/>
    </row>
    <row r="13" spans="1:9" x14ac:dyDescent="0.25">
      <c r="A13" s="77" t="s">
        <v>570</v>
      </c>
      <c r="B13" s="159">
        <v>1</v>
      </c>
      <c r="C13" s="159"/>
      <c r="D13" s="159"/>
      <c r="E13" s="159"/>
    </row>
    <row r="14" spans="1:9" x14ac:dyDescent="0.25">
      <c r="A14" s="77" t="s">
        <v>311</v>
      </c>
      <c r="B14" s="159">
        <v>605</v>
      </c>
      <c r="C14" s="159"/>
      <c r="D14" s="159"/>
      <c r="E14" s="159"/>
    </row>
    <row r="15" spans="1:9" x14ac:dyDescent="0.25">
      <c r="A15" s="77" t="s">
        <v>573</v>
      </c>
      <c r="B15" s="159" t="s">
        <v>490</v>
      </c>
      <c r="C15" s="159"/>
      <c r="D15" s="159"/>
      <c r="E15" s="159"/>
    </row>
    <row r="16" spans="1:9" x14ac:dyDescent="0.25">
      <c r="A16" s="77" t="s">
        <v>313</v>
      </c>
      <c r="B16" s="159" t="s">
        <v>326</v>
      </c>
      <c r="C16" s="159"/>
      <c r="D16" s="159"/>
      <c r="E16" s="159"/>
    </row>
    <row r="17" spans="1:5" x14ac:dyDescent="0.25">
      <c r="A17" s="77" t="s">
        <v>642</v>
      </c>
      <c r="B17" s="159"/>
      <c r="C17" s="159"/>
      <c r="D17" s="159"/>
      <c r="E17" s="159"/>
    </row>
    <row r="18" spans="1:5" x14ac:dyDescent="0.25">
      <c r="A18" s="77" t="s">
        <v>315</v>
      </c>
      <c r="B18" s="161">
        <v>45135</v>
      </c>
      <c r="C18" s="159"/>
      <c r="D18" s="159"/>
      <c r="E18" s="159"/>
    </row>
    <row r="19" spans="1:5" x14ac:dyDescent="0.25">
      <c r="A19" s="77" t="s">
        <v>316</v>
      </c>
      <c r="B19" s="161">
        <v>45135</v>
      </c>
      <c r="C19" s="159"/>
      <c r="D19" s="159"/>
      <c r="E19" s="159"/>
    </row>
    <row r="20" spans="1:5" x14ac:dyDescent="0.25">
      <c r="A20" s="77" t="s">
        <v>317</v>
      </c>
      <c r="B20" s="159" t="s">
        <v>327</v>
      </c>
      <c r="C20" s="159"/>
      <c r="D20" s="159"/>
      <c r="E20" s="159"/>
    </row>
    <row r="21" spans="1:5" x14ac:dyDescent="0.25">
      <c r="A21" s="77" t="s">
        <v>318</v>
      </c>
      <c r="B21" s="159" t="s">
        <v>328</v>
      </c>
      <c r="C21" s="159"/>
      <c r="D21" s="159"/>
      <c r="E21" s="159"/>
    </row>
    <row r="23" spans="1:5" x14ac:dyDescent="0.25">
      <c r="B23" s="91" t="str">
        <f>HYPERLINK("#'Factor List'!A1","Back to Factor List")</f>
        <v>Back to Factor List</v>
      </c>
    </row>
    <row r="24" spans="1:5" x14ac:dyDescent="0.25">
      <c r="B24" s="91" t="s">
        <v>240</v>
      </c>
    </row>
    <row r="25" spans="1:5" x14ac:dyDescent="0.25">
      <c r="B25" s="91"/>
    </row>
    <row r="26" spans="1:5" ht="39" x14ac:dyDescent="0.25">
      <c r="A26" s="87" t="s">
        <v>643</v>
      </c>
      <c r="B26" s="87" t="s">
        <v>685</v>
      </c>
      <c r="C26" s="87" t="s">
        <v>686</v>
      </c>
      <c r="D26" s="87" t="s">
        <v>687</v>
      </c>
      <c r="E26" s="87" t="s">
        <v>688</v>
      </c>
    </row>
    <row r="27" spans="1:5" x14ac:dyDescent="0.25">
      <c r="A27" s="88">
        <v>18</v>
      </c>
      <c r="B27" s="89">
        <v>8.64</v>
      </c>
      <c r="C27" s="89">
        <v>8.64</v>
      </c>
      <c r="D27" s="89">
        <v>10.88</v>
      </c>
      <c r="E27" s="89">
        <v>10.88</v>
      </c>
    </row>
    <row r="28" spans="1:5" x14ac:dyDescent="0.25">
      <c r="A28" s="88">
        <v>19</v>
      </c>
      <c r="B28" s="89">
        <v>8.76</v>
      </c>
      <c r="C28" s="89">
        <v>8.76</v>
      </c>
      <c r="D28" s="89">
        <v>11.04</v>
      </c>
      <c r="E28" s="89">
        <v>11.04</v>
      </c>
    </row>
    <row r="29" spans="1:5" x14ac:dyDescent="0.25">
      <c r="A29" s="88">
        <v>20</v>
      </c>
      <c r="B29" s="89">
        <v>8.8800000000000008</v>
      </c>
      <c r="C29" s="89">
        <v>8.8800000000000008</v>
      </c>
      <c r="D29" s="89">
        <v>11.2</v>
      </c>
      <c r="E29" s="89">
        <v>11.2</v>
      </c>
    </row>
    <row r="30" spans="1:5" x14ac:dyDescent="0.25">
      <c r="A30" s="88">
        <v>21</v>
      </c>
      <c r="B30" s="89">
        <v>9</v>
      </c>
      <c r="C30" s="89">
        <v>9</v>
      </c>
      <c r="D30" s="89">
        <v>11.36</v>
      </c>
      <c r="E30" s="89">
        <v>11.36</v>
      </c>
    </row>
    <row r="31" spans="1:5" x14ac:dyDescent="0.25">
      <c r="A31" s="88">
        <v>22</v>
      </c>
      <c r="B31" s="89">
        <v>9.1300000000000008</v>
      </c>
      <c r="C31" s="89">
        <v>9.1300000000000008</v>
      </c>
      <c r="D31" s="89">
        <v>11.53</v>
      </c>
      <c r="E31" s="89">
        <v>11.53</v>
      </c>
    </row>
    <row r="32" spans="1:5" x14ac:dyDescent="0.25">
      <c r="A32" s="88">
        <v>23</v>
      </c>
      <c r="B32" s="89">
        <v>9.25</v>
      </c>
      <c r="C32" s="89">
        <v>9.25</v>
      </c>
      <c r="D32" s="89">
        <v>11.69</v>
      </c>
      <c r="E32" s="89">
        <v>11.69</v>
      </c>
    </row>
    <row r="33" spans="1:5" x14ac:dyDescent="0.25">
      <c r="A33" s="88">
        <v>24</v>
      </c>
      <c r="B33" s="89">
        <v>9.3800000000000008</v>
      </c>
      <c r="C33" s="89">
        <v>9.3800000000000008</v>
      </c>
      <c r="D33" s="89">
        <v>11.86</v>
      </c>
      <c r="E33" s="89">
        <v>11.86</v>
      </c>
    </row>
    <row r="34" spans="1:5" x14ac:dyDescent="0.25">
      <c r="A34" s="88">
        <v>25</v>
      </c>
      <c r="B34" s="89">
        <v>9.51</v>
      </c>
      <c r="C34" s="89">
        <v>9.51</v>
      </c>
      <c r="D34" s="89">
        <v>12.04</v>
      </c>
      <c r="E34" s="89">
        <v>12.04</v>
      </c>
    </row>
    <row r="35" spans="1:5" x14ac:dyDescent="0.25">
      <c r="A35" s="88">
        <v>26</v>
      </c>
      <c r="B35" s="89">
        <v>9.65</v>
      </c>
      <c r="C35" s="89">
        <v>9.65</v>
      </c>
      <c r="D35" s="89">
        <v>12.21</v>
      </c>
      <c r="E35" s="89">
        <v>12.21</v>
      </c>
    </row>
    <row r="36" spans="1:5" x14ac:dyDescent="0.25">
      <c r="A36" s="88">
        <v>27</v>
      </c>
      <c r="B36" s="89">
        <v>9.7799999999999994</v>
      </c>
      <c r="C36" s="89">
        <v>9.7799999999999994</v>
      </c>
      <c r="D36" s="89">
        <v>12.39</v>
      </c>
      <c r="E36" s="89">
        <v>12.39</v>
      </c>
    </row>
    <row r="37" spans="1:5" x14ac:dyDescent="0.25">
      <c r="A37" s="88">
        <v>28</v>
      </c>
      <c r="B37" s="89">
        <v>9.92</v>
      </c>
      <c r="C37" s="89">
        <v>9.92</v>
      </c>
      <c r="D37" s="89">
        <v>12.57</v>
      </c>
      <c r="E37" s="89">
        <v>12.57</v>
      </c>
    </row>
    <row r="38" spans="1:5" x14ac:dyDescent="0.25">
      <c r="A38" s="88">
        <v>29</v>
      </c>
      <c r="B38" s="89">
        <v>10.050000000000001</v>
      </c>
      <c r="C38" s="89">
        <v>10.050000000000001</v>
      </c>
      <c r="D38" s="89">
        <v>12.75</v>
      </c>
      <c r="E38" s="89">
        <v>12.75</v>
      </c>
    </row>
    <row r="39" spans="1:5" x14ac:dyDescent="0.25">
      <c r="A39" s="88">
        <v>30</v>
      </c>
      <c r="B39" s="89">
        <v>10.199999999999999</v>
      </c>
      <c r="C39" s="89">
        <v>10.199999999999999</v>
      </c>
      <c r="D39" s="89">
        <v>12.94</v>
      </c>
      <c r="E39" s="89">
        <v>12.94</v>
      </c>
    </row>
    <row r="40" spans="1:5" x14ac:dyDescent="0.25">
      <c r="A40" s="88">
        <v>31</v>
      </c>
      <c r="B40" s="89">
        <v>10.34</v>
      </c>
      <c r="C40" s="89">
        <v>10.34</v>
      </c>
      <c r="D40" s="89">
        <v>13.13</v>
      </c>
      <c r="E40" s="89">
        <v>13.13</v>
      </c>
    </row>
    <row r="41" spans="1:5" x14ac:dyDescent="0.25">
      <c r="A41" s="88">
        <v>32</v>
      </c>
      <c r="B41" s="89">
        <v>10.49</v>
      </c>
      <c r="C41" s="89">
        <v>10.49</v>
      </c>
      <c r="D41" s="89">
        <v>13.32</v>
      </c>
      <c r="E41" s="89">
        <v>13.32</v>
      </c>
    </row>
    <row r="42" spans="1:5" x14ac:dyDescent="0.25">
      <c r="A42" s="88">
        <v>33</v>
      </c>
      <c r="B42" s="89">
        <v>10.63</v>
      </c>
      <c r="C42" s="89">
        <v>10.63</v>
      </c>
      <c r="D42" s="89">
        <v>13.52</v>
      </c>
      <c r="E42" s="89">
        <v>13.52</v>
      </c>
    </row>
    <row r="43" spans="1:5" x14ac:dyDescent="0.25">
      <c r="A43" s="88">
        <v>34</v>
      </c>
      <c r="B43" s="89">
        <v>10.78</v>
      </c>
      <c r="C43" s="89">
        <v>10.78</v>
      </c>
      <c r="D43" s="89">
        <v>13.72</v>
      </c>
      <c r="E43" s="89">
        <v>13.72</v>
      </c>
    </row>
    <row r="44" spans="1:5" x14ac:dyDescent="0.25">
      <c r="A44" s="88">
        <v>35</v>
      </c>
      <c r="B44" s="89">
        <v>10.94</v>
      </c>
      <c r="C44" s="89">
        <v>10.94</v>
      </c>
      <c r="D44" s="89">
        <v>13.92</v>
      </c>
      <c r="E44" s="89">
        <v>13.92</v>
      </c>
    </row>
    <row r="45" spans="1:5" x14ac:dyDescent="0.25">
      <c r="A45" s="88">
        <v>36</v>
      </c>
      <c r="B45" s="89">
        <v>11.09</v>
      </c>
      <c r="C45" s="89">
        <v>11.09</v>
      </c>
      <c r="D45" s="89">
        <v>14.13</v>
      </c>
      <c r="E45" s="89">
        <v>14.13</v>
      </c>
    </row>
    <row r="46" spans="1:5" x14ac:dyDescent="0.25">
      <c r="A46" s="88">
        <v>37</v>
      </c>
      <c r="B46" s="89">
        <v>11.25</v>
      </c>
      <c r="C46" s="89">
        <v>11.25</v>
      </c>
      <c r="D46" s="89">
        <v>14.34</v>
      </c>
      <c r="E46" s="89">
        <v>14.34</v>
      </c>
    </row>
    <row r="47" spans="1:5" x14ac:dyDescent="0.25">
      <c r="A47" s="88">
        <v>38</v>
      </c>
      <c r="B47" s="89">
        <v>11.42</v>
      </c>
      <c r="C47" s="89">
        <v>11.42</v>
      </c>
      <c r="D47" s="89">
        <v>14.56</v>
      </c>
      <c r="E47" s="89">
        <v>14.56</v>
      </c>
    </row>
    <row r="48" spans="1:5" x14ac:dyDescent="0.25">
      <c r="A48" s="88">
        <v>39</v>
      </c>
      <c r="B48" s="89">
        <v>11.58</v>
      </c>
      <c r="C48" s="89">
        <v>11.58</v>
      </c>
      <c r="D48" s="89">
        <v>14.78</v>
      </c>
      <c r="E48" s="89">
        <v>14.78</v>
      </c>
    </row>
    <row r="49" spans="1:5" x14ac:dyDescent="0.25">
      <c r="A49" s="88">
        <v>40</v>
      </c>
      <c r="B49" s="89">
        <v>11.75</v>
      </c>
      <c r="C49" s="89">
        <v>11.75</v>
      </c>
      <c r="D49" s="89">
        <v>15</v>
      </c>
      <c r="E49" s="89">
        <v>15</v>
      </c>
    </row>
    <row r="50" spans="1:5" x14ac:dyDescent="0.25">
      <c r="A50" s="88">
        <v>41</v>
      </c>
      <c r="B50" s="89">
        <v>11.92</v>
      </c>
      <c r="C50" s="89">
        <v>11.92</v>
      </c>
      <c r="D50" s="89">
        <v>15.23</v>
      </c>
      <c r="E50" s="89">
        <v>15.23</v>
      </c>
    </row>
    <row r="51" spans="1:5" x14ac:dyDescent="0.25">
      <c r="A51" s="88">
        <v>42</v>
      </c>
      <c r="B51" s="89">
        <v>12.09</v>
      </c>
      <c r="C51" s="89">
        <v>12.09</v>
      </c>
      <c r="D51" s="89">
        <v>15.47</v>
      </c>
      <c r="E51" s="89">
        <v>15.47</v>
      </c>
    </row>
    <row r="52" spans="1:5" x14ac:dyDescent="0.25">
      <c r="A52" s="88">
        <v>43</v>
      </c>
      <c r="B52" s="89">
        <v>12.27</v>
      </c>
      <c r="C52" s="89">
        <v>12.27</v>
      </c>
      <c r="D52" s="89">
        <v>15.71</v>
      </c>
      <c r="E52" s="89">
        <v>15.71</v>
      </c>
    </row>
    <row r="53" spans="1:5" x14ac:dyDescent="0.25">
      <c r="A53" s="88">
        <v>44</v>
      </c>
      <c r="B53" s="89">
        <v>12.46</v>
      </c>
      <c r="C53" s="89">
        <v>12.46</v>
      </c>
      <c r="D53" s="89">
        <v>15.95</v>
      </c>
      <c r="E53" s="89">
        <v>15.95</v>
      </c>
    </row>
    <row r="54" spans="1:5" x14ac:dyDescent="0.25">
      <c r="A54" s="88">
        <v>45</v>
      </c>
      <c r="B54" s="89">
        <v>12.64</v>
      </c>
      <c r="C54" s="89">
        <v>12.64</v>
      </c>
      <c r="D54" s="89">
        <v>16.2</v>
      </c>
      <c r="E54" s="89">
        <v>16.2</v>
      </c>
    </row>
    <row r="55" spans="1:5" x14ac:dyDescent="0.25">
      <c r="A55" s="88">
        <v>46</v>
      </c>
      <c r="B55" s="89">
        <v>12.83</v>
      </c>
      <c r="C55" s="89">
        <v>12.83</v>
      </c>
      <c r="D55" s="89">
        <v>16.46</v>
      </c>
      <c r="E55" s="89">
        <v>16.46</v>
      </c>
    </row>
    <row r="56" spans="1:5" x14ac:dyDescent="0.25">
      <c r="A56" s="88">
        <v>47</v>
      </c>
      <c r="B56" s="89">
        <v>13.03</v>
      </c>
      <c r="C56" s="89">
        <v>13.03</v>
      </c>
      <c r="D56" s="89">
        <v>16.72</v>
      </c>
      <c r="E56" s="89">
        <v>16.72</v>
      </c>
    </row>
    <row r="57" spans="1:5" x14ac:dyDescent="0.25">
      <c r="A57" s="88">
        <v>48</v>
      </c>
      <c r="B57" s="89">
        <v>13.23</v>
      </c>
      <c r="C57" s="89">
        <v>13.23</v>
      </c>
      <c r="D57" s="89">
        <v>16.989999999999998</v>
      </c>
      <c r="E57" s="89">
        <v>16.989999999999998</v>
      </c>
    </row>
    <row r="58" spans="1:5" x14ac:dyDescent="0.25">
      <c r="A58" s="88">
        <v>49</v>
      </c>
      <c r="B58" s="89">
        <v>13.44</v>
      </c>
      <c r="C58" s="89">
        <v>13.44</v>
      </c>
      <c r="D58" s="89">
        <v>17.260000000000002</v>
      </c>
      <c r="E58" s="89">
        <v>17.260000000000002</v>
      </c>
    </row>
    <row r="59" spans="1:5" x14ac:dyDescent="0.25">
      <c r="A59" s="88">
        <v>50</v>
      </c>
      <c r="B59" s="89">
        <v>13.65</v>
      </c>
      <c r="C59" s="89">
        <v>13.65</v>
      </c>
      <c r="D59" s="89">
        <v>17.55</v>
      </c>
      <c r="E59" s="89">
        <v>17.55</v>
      </c>
    </row>
    <row r="60" spans="1:5" x14ac:dyDescent="0.25">
      <c r="A60" s="88">
        <v>51</v>
      </c>
      <c r="B60" s="89">
        <v>13.86</v>
      </c>
      <c r="C60" s="89">
        <v>13.86</v>
      </c>
      <c r="D60" s="89">
        <v>17.84</v>
      </c>
      <c r="E60" s="89">
        <v>17.84</v>
      </c>
    </row>
    <row r="61" spans="1:5" x14ac:dyDescent="0.25">
      <c r="A61" s="88">
        <v>52</v>
      </c>
      <c r="B61" s="89">
        <v>14.08</v>
      </c>
      <c r="C61" s="89">
        <v>14.08</v>
      </c>
      <c r="D61" s="89">
        <v>18.14</v>
      </c>
      <c r="E61" s="89">
        <v>18.14</v>
      </c>
    </row>
    <row r="62" spans="1:5" x14ac:dyDescent="0.25">
      <c r="A62" s="88">
        <v>53</v>
      </c>
      <c r="B62" s="89">
        <v>14.31</v>
      </c>
      <c r="C62" s="89">
        <v>14.31</v>
      </c>
      <c r="D62" s="89">
        <v>18.440000000000001</v>
      </c>
      <c r="E62" s="89">
        <v>18.440000000000001</v>
      </c>
    </row>
    <row r="63" spans="1:5" x14ac:dyDescent="0.25">
      <c r="A63" s="88">
        <v>54</v>
      </c>
      <c r="B63" s="89">
        <v>14.55</v>
      </c>
      <c r="C63" s="89">
        <v>14.55</v>
      </c>
      <c r="D63" s="89">
        <v>18.760000000000002</v>
      </c>
      <c r="E63" s="89">
        <v>18.760000000000002</v>
      </c>
    </row>
    <row r="64" spans="1:5" x14ac:dyDescent="0.25">
      <c r="A64" s="88">
        <v>55</v>
      </c>
      <c r="B64" s="89">
        <v>14.79</v>
      </c>
      <c r="C64" s="89">
        <v>14.79</v>
      </c>
      <c r="D64" s="89">
        <v>19.079999999999998</v>
      </c>
      <c r="E64" s="89">
        <v>19.079999999999998</v>
      </c>
    </row>
    <row r="65" spans="1:5" x14ac:dyDescent="0.25">
      <c r="A65" s="88">
        <v>56</v>
      </c>
      <c r="B65" s="89">
        <v>15.04</v>
      </c>
      <c r="C65" s="89">
        <v>15.04</v>
      </c>
      <c r="D65" s="89">
        <v>19.420000000000002</v>
      </c>
      <c r="E65" s="89">
        <v>19.420000000000002</v>
      </c>
    </row>
    <row r="66" spans="1:5" x14ac:dyDescent="0.25">
      <c r="A66" s="88">
        <v>57</v>
      </c>
      <c r="B66" s="89">
        <v>15.3</v>
      </c>
      <c r="C66" s="89">
        <v>15.3</v>
      </c>
      <c r="D66" s="89">
        <v>19.77</v>
      </c>
      <c r="E66" s="89">
        <v>19.77</v>
      </c>
    </row>
    <row r="67" spans="1:5" x14ac:dyDescent="0.25">
      <c r="A67" s="88">
        <v>58</v>
      </c>
      <c r="B67" s="89">
        <v>15.56</v>
      </c>
      <c r="C67" s="89">
        <v>15.56</v>
      </c>
      <c r="D67" s="89">
        <v>20.13</v>
      </c>
      <c r="E67" s="89">
        <v>20.13</v>
      </c>
    </row>
    <row r="68" spans="1:5" x14ac:dyDescent="0.25">
      <c r="A68" s="88">
        <v>59</v>
      </c>
      <c r="B68" s="89">
        <v>15.84</v>
      </c>
      <c r="C68" s="89">
        <v>15.84</v>
      </c>
      <c r="D68" s="89">
        <v>20.5</v>
      </c>
      <c r="E68" s="89">
        <v>20.5</v>
      </c>
    </row>
    <row r="69" spans="1:5" x14ac:dyDescent="0.25">
      <c r="A69" s="88">
        <v>60</v>
      </c>
      <c r="B69" s="89">
        <v>16.13</v>
      </c>
      <c r="C69" s="89">
        <v>16.13</v>
      </c>
      <c r="D69" s="89"/>
      <c r="E69" s="89"/>
    </row>
    <row r="70" spans="1:5" x14ac:dyDescent="0.25">
      <c r="A70" s="88">
        <v>61</v>
      </c>
      <c r="B70" s="89">
        <v>16.43</v>
      </c>
      <c r="C70" s="89">
        <v>16.43</v>
      </c>
      <c r="D70" s="89"/>
      <c r="E70" s="89"/>
    </row>
    <row r="71" spans="1:5" x14ac:dyDescent="0.25">
      <c r="A71" s="88">
        <v>62</v>
      </c>
      <c r="B71" s="89">
        <v>16.75</v>
      </c>
      <c r="C71" s="89">
        <v>16.75</v>
      </c>
      <c r="D71" s="89"/>
      <c r="E71" s="89"/>
    </row>
    <row r="72" spans="1:5" x14ac:dyDescent="0.25">
      <c r="A72" s="88">
        <v>63</v>
      </c>
      <c r="B72" s="89">
        <v>17.079999999999998</v>
      </c>
      <c r="C72" s="89">
        <v>17.079999999999998</v>
      </c>
      <c r="D72" s="89"/>
      <c r="E72" s="89"/>
    </row>
    <row r="73" spans="1:5" x14ac:dyDescent="0.25">
      <c r="A73" s="88">
        <v>64</v>
      </c>
      <c r="B73" s="89">
        <v>17.43</v>
      </c>
      <c r="C73" s="89">
        <v>17.43</v>
      </c>
      <c r="D73" s="89"/>
      <c r="E73" s="89"/>
    </row>
  </sheetData>
  <sheetProtection algorithmName="SHA-512" hashValue="xeZ0yuhi7TlrDrvHsvZBAqyPu7ZSnLae9bhsMZ5i6Lr1cd/IPwzyDQoiwJQT7CXAbVrx5MS+s5BwrBK+Z1+DsA==" saltValue="nE+lut5MBUUj9aQjGEUa6w==" spinCount="100000" sheet="1" objects="1" scenarios="1"/>
  <conditionalFormatting sqref="A6:A16">
    <cfRule type="expression" dxfId="461" priority="29" stopIfTrue="1">
      <formula>MOD(ROW(),2)=0</formula>
    </cfRule>
    <cfRule type="expression" dxfId="460" priority="30" stopIfTrue="1">
      <formula>MOD(ROW(),2)&lt;&gt;0</formula>
    </cfRule>
  </conditionalFormatting>
  <conditionalFormatting sqref="B6:E21">
    <cfRule type="expression" dxfId="459" priority="31" stopIfTrue="1">
      <formula>MOD(ROW(),2)=0</formula>
    </cfRule>
    <cfRule type="expression" dxfId="458" priority="32" stopIfTrue="1">
      <formula>MOD(ROW(),2)&lt;&gt;0</formula>
    </cfRule>
  </conditionalFormatting>
  <conditionalFormatting sqref="A17:A20">
    <cfRule type="expression" dxfId="457" priority="21" stopIfTrue="1">
      <formula>MOD(ROW(),2)=0</formula>
    </cfRule>
    <cfRule type="expression" dxfId="456" priority="22" stopIfTrue="1">
      <formula>MOD(ROW(),2)&lt;&gt;0</formula>
    </cfRule>
  </conditionalFormatting>
  <conditionalFormatting sqref="B17:B18 B20:B21">
    <cfRule type="expression" dxfId="455" priority="23" stopIfTrue="1">
      <formula>MOD(ROW(),2)=0</formula>
    </cfRule>
    <cfRule type="expression" dxfId="454" priority="24" stopIfTrue="1">
      <formula>MOD(ROW(),2)&lt;&gt;0</formula>
    </cfRule>
  </conditionalFormatting>
  <conditionalFormatting sqref="A26:A73">
    <cfRule type="expression" dxfId="453" priority="15" stopIfTrue="1">
      <formula>MOD(ROW(),2)=0</formula>
    </cfRule>
    <cfRule type="expression" dxfId="452" priority="16" stopIfTrue="1">
      <formula>MOD(ROW(),2)&lt;&gt;0</formula>
    </cfRule>
  </conditionalFormatting>
  <conditionalFormatting sqref="B26:E73">
    <cfRule type="expression" dxfId="451" priority="17" stopIfTrue="1">
      <formula>MOD(ROW(),2)=0</formula>
    </cfRule>
    <cfRule type="expression" dxfId="450" priority="18" stopIfTrue="1">
      <formula>MOD(ROW(),2)&lt;&gt;0</formula>
    </cfRule>
  </conditionalFormatting>
  <conditionalFormatting sqref="B19">
    <cfRule type="expression" dxfId="449" priority="13" stopIfTrue="1">
      <formula>MOD(ROW(),2)=0</formula>
    </cfRule>
    <cfRule type="expression" dxfId="448" priority="14" stopIfTrue="1">
      <formula>MOD(ROW(),2)&lt;&gt;0</formula>
    </cfRule>
  </conditionalFormatting>
  <conditionalFormatting sqref="A21">
    <cfRule type="expression" dxfId="447" priority="1" stopIfTrue="1">
      <formula>MOD(ROW(),2)=0</formula>
    </cfRule>
    <cfRule type="expression" dxfId="446" priority="2" stopIfTrue="1">
      <formula>MOD(ROW(),2)&lt;&gt;0</formula>
    </cfRule>
  </conditionalFormatting>
  <hyperlinks>
    <hyperlink ref="B24" location="Assumptions!A1" display="Assumptions" xr:uid="{0BE661EB-DC2C-41F0-847F-CA38D68F0E53}"/>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sheetPr codeName="Sheet86"/>
  <dimension ref="A1:I46"/>
  <sheetViews>
    <sheetView showGridLines="0" zoomScale="85" zoomScaleNormal="85" workbookViewId="0">
      <selection activeCell="B18" sqref="B18"/>
    </sheetView>
  </sheetViews>
  <sheetFormatPr defaultColWidth="10" defaultRowHeight="12.5" x14ac:dyDescent="0.25"/>
  <cols>
    <col min="1" max="1" width="31.81640625" style="28" customWidth="1"/>
    <col min="2" max="5" width="22.81640625" style="28" customWidth="1"/>
    <col min="6" max="16384" width="10" style="28"/>
  </cols>
  <sheetData>
    <row r="1" spans="1:9" ht="20" x14ac:dyDescent="0.4">
      <c r="A1" s="40" t="s">
        <v>227</v>
      </c>
      <c r="B1" s="41"/>
      <c r="C1" s="41"/>
      <c r="D1" s="41"/>
      <c r="E1" s="41"/>
      <c r="F1" s="41"/>
      <c r="G1" s="41"/>
      <c r="H1" s="41"/>
      <c r="I1" s="41"/>
    </row>
    <row r="2" spans="1:9" ht="15.5" x14ac:dyDescent="0.35">
      <c r="A2" s="42" t="str">
        <f>IF(title="&gt; Enter workbook title here","Enter workbook title in Cover sheet",title)</f>
        <v>Fire Northern Ireland - Consolidated Factor Spreadsheet</v>
      </c>
      <c r="B2" s="43"/>
      <c r="C2" s="43"/>
      <c r="D2" s="43"/>
      <c r="E2" s="43"/>
      <c r="F2" s="43"/>
      <c r="G2" s="43"/>
      <c r="H2" s="43"/>
      <c r="I2" s="43"/>
    </row>
    <row r="3" spans="1:9" ht="15.5" x14ac:dyDescent="0.35">
      <c r="A3" s="44" t="str">
        <f>TABLE_FACTOR_TYPE_1&amp;" - x-"&amp;TABLE_SERIES_NUMBER_1</f>
        <v>Scheme pays AA - x-606</v>
      </c>
      <c r="B3" s="43"/>
      <c r="C3" s="43"/>
      <c r="D3" s="43"/>
      <c r="E3" s="43"/>
      <c r="F3" s="43"/>
      <c r="G3" s="43"/>
      <c r="H3" s="43"/>
      <c r="I3" s="43"/>
    </row>
    <row r="4" spans="1:9" x14ac:dyDescent="0.25">
      <c r="A4" s="45"/>
    </row>
    <row r="6" spans="1:9" ht="13" x14ac:dyDescent="0.3">
      <c r="A6" s="75" t="s">
        <v>562</v>
      </c>
      <c r="B6" s="159" t="s">
        <v>563</v>
      </c>
      <c r="C6" s="159"/>
      <c r="D6" s="159"/>
      <c r="E6" s="159"/>
    </row>
    <row r="7" spans="1:9" x14ac:dyDescent="0.25">
      <c r="A7" s="77" t="s">
        <v>305</v>
      </c>
      <c r="B7" s="159" t="s">
        <v>319</v>
      </c>
      <c r="C7" s="159"/>
      <c r="D7" s="159"/>
      <c r="E7" s="159"/>
    </row>
    <row r="8" spans="1:9" x14ac:dyDescent="0.25">
      <c r="A8" s="77" t="s">
        <v>306</v>
      </c>
      <c r="B8" s="159" t="s">
        <v>332</v>
      </c>
      <c r="C8" s="159"/>
      <c r="D8" s="159"/>
      <c r="E8" s="159"/>
    </row>
    <row r="9" spans="1:9" x14ac:dyDescent="0.25">
      <c r="A9" s="77" t="s">
        <v>307</v>
      </c>
      <c r="B9" s="159" t="s">
        <v>482</v>
      </c>
      <c r="C9" s="159"/>
      <c r="D9" s="159"/>
      <c r="E9" s="159"/>
    </row>
    <row r="10" spans="1:9" x14ac:dyDescent="0.25">
      <c r="A10" s="77" t="s">
        <v>233</v>
      </c>
      <c r="B10" s="159" t="s">
        <v>491</v>
      </c>
      <c r="C10" s="159"/>
      <c r="D10" s="159"/>
      <c r="E10" s="159"/>
    </row>
    <row r="11" spans="1:9" x14ac:dyDescent="0.25">
      <c r="A11" s="77" t="s">
        <v>308</v>
      </c>
      <c r="B11" s="159" t="s">
        <v>484</v>
      </c>
      <c r="C11" s="159"/>
      <c r="D11" s="159"/>
      <c r="E11" s="159"/>
    </row>
    <row r="12" spans="1:9" x14ac:dyDescent="0.25">
      <c r="A12" s="77" t="s">
        <v>309</v>
      </c>
      <c r="B12" s="159" t="s">
        <v>485</v>
      </c>
      <c r="C12" s="159"/>
      <c r="D12" s="159"/>
      <c r="E12" s="159"/>
    </row>
    <row r="13" spans="1:9" x14ac:dyDescent="0.25">
      <c r="A13" s="77" t="s">
        <v>570</v>
      </c>
      <c r="B13" s="159">
        <v>1</v>
      </c>
      <c r="C13" s="159"/>
      <c r="D13" s="159"/>
      <c r="E13" s="159"/>
    </row>
    <row r="14" spans="1:9" x14ac:dyDescent="0.25">
      <c r="A14" s="77" t="s">
        <v>311</v>
      </c>
      <c r="B14" s="159">
        <v>606</v>
      </c>
      <c r="C14" s="159"/>
      <c r="D14" s="159"/>
      <c r="E14" s="159"/>
    </row>
    <row r="15" spans="1:9" x14ac:dyDescent="0.25">
      <c r="A15" s="77" t="s">
        <v>573</v>
      </c>
      <c r="B15" s="159" t="s">
        <v>492</v>
      </c>
      <c r="C15" s="159"/>
      <c r="D15" s="159"/>
      <c r="E15" s="159"/>
    </row>
    <row r="16" spans="1:9" x14ac:dyDescent="0.25">
      <c r="A16" s="77" t="s">
        <v>313</v>
      </c>
      <c r="B16" s="159" t="s">
        <v>331</v>
      </c>
      <c r="C16" s="159"/>
      <c r="D16" s="159"/>
      <c r="E16" s="159"/>
    </row>
    <row r="17" spans="1:5" x14ac:dyDescent="0.25">
      <c r="A17" s="77" t="s">
        <v>642</v>
      </c>
      <c r="B17" s="159"/>
      <c r="C17" s="159"/>
      <c r="D17" s="159"/>
      <c r="E17" s="159"/>
    </row>
    <row r="18" spans="1:5" x14ac:dyDescent="0.25">
      <c r="A18" s="77" t="s">
        <v>315</v>
      </c>
      <c r="B18" s="161">
        <v>45135</v>
      </c>
      <c r="C18" s="159"/>
      <c r="D18" s="159"/>
      <c r="E18" s="159"/>
    </row>
    <row r="19" spans="1:5" x14ac:dyDescent="0.25">
      <c r="A19" s="77" t="s">
        <v>316</v>
      </c>
      <c r="B19" s="161">
        <v>45135</v>
      </c>
      <c r="C19" s="159"/>
      <c r="D19" s="159"/>
      <c r="E19" s="159"/>
    </row>
    <row r="20" spans="1:5" x14ac:dyDescent="0.25">
      <c r="A20" s="77" t="s">
        <v>317</v>
      </c>
      <c r="B20" s="159" t="s">
        <v>327</v>
      </c>
      <c r="C20" s="159"/>
      <c r="D20" s="159"/>
      <c r="E20" s="159"/>
    </row>
    <row r="21" spans="1:5" x14ac:dyDescent="0.25">
      <c r="A21" s="77" t="s">
        <v>318</v>
      </c>
      <c r="B21" s="159" t="s">
        <v>328</v>
      </c>
      <c r="C21" s="159"/>
      <c r="D21" s="159"/>
      <c r="E21" s="159"/>
    </row>
    <row r="23" spans="1:5" x14ac:dyDescent="0.25">
      <c r="B23" s="91" t="str">
        <f>HYPERLINK("#'Factor List'!A1","Back to Factor List")</f>
        <v>Back to Factor List</v>
      </c>
    </row>
    <row r="24" spans="1:5" x14ac:dyDescent="0.25">
      <c r="B24" s="91" t="s">
        <v>240</v>
      </c>
    </row>
    <row r="25" spans="1:5" x14ac:dyDescent="0.25">
      <c r="B25" s="91"/>
    </row>
    <row r="26" spans="1:5" ht="39" x14ac:dyDescent="0.25">
      <c r="A26" s="87" t="s">
        <v>643</v>
      </c>
      <c r="B26" s="87" t="s">
        <v>689</v>
      </c>
      <c r="C26" s="87" t="s">
        <v>690</v>
      </c>
      <c r="D26" s="87" t="s">
        <v>691</v>
      </c>
      <c r="E26" s="87" t="s">
        <v>692</v>
      </c>
    </row>
    <row r="27" spans="1:5" x14ac:dyDescent="0.25">
      <c r="A27" s="88">
        <v>60</v>
      </c>
      <c r="B27" s="89"/>
      <c r="C27" s="89"/>
      <c r="D27" s="89">
        <v>20.37</v>
      </c>
      <c r="E27" s="89">
        <v>20.37</v>
      </c>
    </row>
    <row r="28" spans="1:5" x14ac:dyDescent="0.25">
      <c r="A28" s="88">
        <v>61</v>
      </c>
      <c r="B28" s="89"/>
      <c r="C28" s="89"/>
      <c r="D28" s="89">
        <v>19.739999999999998</v>
      </c>
      <c r="E28" s="89">
        <v>19.739999999999998</v>
      </c>
    </row>
    <row r="29" spans="1:5" x14ac:dyDescent="0.25">
      <c r="A29" s="88">
        <v>62</v>
      </c>
      <c r="B29" s="89"/>
      <c r="C29" s="89"/>
      <c r="D29" s="89">
        <v>19.100000000000001</v>
      </c>
      <c r="E29" s="89">
        <v>19.100000000000001</v>
      </c>
    </row>
    <row r="30" spans="1:5" x14ac:dyDescent="0.25">
      <c r="A30" s="88">
        <v>63</v>
      </c>
      <c r="B30" s="89"/>
      <c r="C30" s="89"/>
      <c r="D30" s="89">
        <v>18.46</v>
      </c>
      <c r="E30" s="89">
        <v>18.46</v>
      </c>
    </row>
    <row r="31" spans="1:5" x14ac:dyDescent="0.25">
      <c r="A31" s="88">
        <v>64</v>
      </c>
      <c r="B31" s="89"/>
      <c r="C31" s="89"/>
      <c r="D31" s="89">
        <v>17.829999999999998</v>
      </c>
      <c r="E31" s="89">
        <v>17.829999999999998</v>
      </c>
    </row>
    <row r="32" spans="1:5" x14ac:dyDescent="0.25">
      <c r="A32" s="88">
        <v>65</v>
      </c>
      <c r="B32" s="89">
        <v>17.29</v>
      </c>
      <c r="C32" s="89">
        <v>17.29</v>
      </c>
      <c r="D32" s="89">
        <v>17.2</v>
      </c>
      <c r="E32" s="89">
        <v>17.2</v>
      </c>
    </row>
    <row r="33" spans="1:5" x14ac:dyDescent="0.25">
      <c r="A33" s="88">
        <v>66</v>
      </c>
      <c r="B33" s="89">
        <v>16.63</v>
      </c>
      <c r="C33" s="89">
        <v>16.63</v>
      </c>
      <c r="D33" s="89">
        <v>16.57</v>
      </c>
      <c r="E33" s="89">
        <v>16.57</v>
      </c>
    </row>
    <row r="34" spans="1:5" x14ac:dyDescent="0.25">
      <c r="A34" s="88">
        <v>67</v>
      </c>
      <c r="B34" s="89">
        <v>15.97</v>
      </c>
      <c r="C34" s="89">
        <v>15.97</v>
      </c>
      <c r="D34" s="89">
        <v>15.94</v>
      </c>
      <c r="E34" s="89">
        <v>15.94</v>
      </c>
    </row>
    <row r="35" spans="1:5" x14ac:dyDescent="0.25">
      <c r="A35" s="88">
        <v>68</v>
      </c>
      <c r="B35" s="89">
        <v>15.32</v>
      </c>
      <c r="C35" s="89">
        <v>15.32</v>
      </c>
      <c r="D35" s="89">
        <v>15.31</v>
      </c>
      <c r="E35" s="89">
        <v>15.31</v>
      </c>
    </row>
    <row r="36" spans="1:5" x14ac:dyDescent="0.25">
      <c r="A36" s="88">
        <v>69</v>
      </c>
      <c r="B36" s="89">
        <v>14.68</v>
      </c>
      <c r="C36" s="89">
        <v>14.68</v>
      </c>
      <c r="D36" s="89">
        <v>14.67</v>
      </c>
      <c r="E36" s="89">
        <v>14.67</v>
      </c>
    </row>
    <row r="37" spans="1:5" x14ac:dyDescent="0.25">
      <c r="A37" s="88">
        <v>70</v>
      </c>
      <c r="B37" s="89">
        <v>14.04</v>
      </c>
      <c r="C37" s="89">
        <v>14.04</v>
      </c>
      <c r="D37" s="89">
        <v>14.04</v>
      </c>
      <c r="E37" s="89">
        <v>14.04</v>
      </c>
    </row>
    <row r="38" spans="1:5" x14ac:dyDescent="0.25">
      <c r="A38" s="88">
        <v>71</v>
      </c>
      <c r="B38" s="89">
        <v>13.42</v>
      </c>
      <c r="C38" s="89">
        <v>13.42</v>
      </c>
      <c r="D38" s="89">
        <v>13.42</v>
      </c>
      <c r="E38" s="89">
        <v>13.42</v>
      </c>
    </row>
    <row r="39" spans="1:5" x14ac:dyDescent="0.25">
      <c r="A39" s="88">
        <v>72</v>
      </c>
      <c r="B39" s="89">
        <v>12.79</v>
      </c>
      <c r="C39" s="89">
        <v>12.79</v>
      </c>
      <c r="D39" s="89">
        <v>12.79</v>
      </c>
      <c r="E39" s="89">
        <v>12.79</v>
      </c>
    </row>
    <row r="40" spans="1:5" x14ac:dyDescent="0.25">
      <c r="A40" s="88">
        <v>73</v>
      </c>
      <c r="B40" s="89">
        <v>12.17</v>
      </c>
      <c r="C40" s="89">
        <v>12.17</v>
      </c>
      <c r="D40" s="89">
        <v>12.17</v>
      </c>
      <c r="E40" s="89">
        <v>12.17</v>
      </c>
    </row>
    <row r="41" spans="1:5" x14ac:dyDescent="0.25">
      <c r="A41" s="88">
        <v>74</v>
      </c>
      <c r="B41" s="89">
        <v>11.56</v>
      </c>
      <c r="C41" s="89">
        <v>11.56</v>
      </c>
      <c r="D41" s="89">
        <v>11.56</v>
      </c>
      <c r="E41" s="89">
        <v>11.56</v>
      </c>
    </row>
    <row r="44" spans="1:5" ht="39.65" customHeight="1" x14ac:dyDescent="0.25"/>
    <row r="46" spans="1:5" ht="27.65" customHeight="1" x14ac:dyDescent="0.25"/>
  </sheetData>
  <sheetProtection algorithmName="SHA-512" hashValue="V5icXCkAgKxKe2JsU5xdQZSbtBotV7gYyOmqQ2nLLhLqKW9yF+2hsvkwkGAzUy+5w+S//uj0BYkSOaMGJTUJlg==" saltValue="FbCP7hvisu+VbnayyCIfyw==" spinCount="100000" sheet="1" objects="1" scenarios="1"/>
  <conditionalFormatting sqref="A6:A16">
    <cfRule type="expression" dxfId="445" priority="29" stopIfTrue="1">
      <formula>MOD(ROW(),2)=0</formula>
    </cfRule>
    <cfRule type="expression" dxfId="444" priority="30" stopIfTrue="1">
      <formula>MOD(ROW(),2)&lt;&gt;0</formula>
    </cfRule>
  </conditionalFormatting>
  <conditionalFormatting sqref="B6:E21">
    <cfRule type="expression" dxfId="443" priority="31" stopIfTrue="1">
      <formula>MOD(ROW(),2)=0</formula>
    </cfRule>
    <cfRule type="expression" dxfId="442" priority="32" stopIfTrue="1">
      <formula>MOD(ROW(),2)&lt;&gt;0</formula>
    </cfRule>
  </conditionalFormatting>
  <conditionalFormatting sqref="A17:A20">
    <cfRule type="expression" dxfId="441" priority="21" stopIfTrue="1">
      <formula>MOD(ROW(),2)=0</formula>
    </cfRule>
    <cfRule type="expression" dxfId="440" priority="22" stopIfTrue="1">
      <formula>MOD(ROW(),2)&lt;&gt;0</formula>
    </cfRule>
  </conditionalFormatting>
  <conditionalFormatting sqref="B17:B18 B20:B21">
    <cfRule type="expression" dxfId="439" priority="23" stopIfTrue="1">
      <formula>MOD(ROW(),2)=0</formula>
    </cfRule>
    <cfRule type="expression" dxfId="438" priority="24" stopIfTrue="1">
      <formula>MOD(ROW(),2)&lt;&gt;0</formula>
    </cfRule>
  </conditionalFormatting>
  <conditionalFormatting sqref="A26:A41">
    <cfRule type="expression" dxfId="437" priority="15" stopIfTrue="1">
      <formula>MOD(ROW(),2)=0</formula>
    </cfRule>
    <cfRule type="expression" dxfId="436" priority="16" stopIfTrue="1">
      <formula>MOD(ROW(),2)&lt;&gt;0</formula>
    </cfRule>
  </conditionalFormatting>
  <conditionalFormatting sqref="B26:E41">
    <cfRule type="expression" dxfId="435" priority="17" stopIfTrue="1">
      <formula>MOD(ROW(),2)=0</formula>
    </cfRule>
    <cfRule type="expression" dxfId="434" priority="18" stopIfTrue="1">
      <formula>MOD(ROW(),2)&lt;&gt;0</formula>
    </cfRule>
  </conditionalFormatting>
  <conditionalFormatting sqref="B19">
    <cfRule type="expression" dxfId="433" priority="13" stopIfTrue="1">
      <formula>MOD(ROW(),2)=0</formula>
    </cfRule>
    <cfRule type="expression" dxfId="432" priority="14" stopIfTrue="1">
      <formula>MOD(ROW(),2)&lt;&gt;0</formula>
    </cfRule>
  </conditionalFormatting>
  <conditionalFormatting sqref="A21">
    <cfRule type="expression" dxfId="431" priority="1" stopIfTrue="1">
      <formula>MOD(ROW(),2)=0</formula>
    </cfRule>
    <cfRule type="expression" dxfId="430" priority="2" stopIfTrue="1">
      <formula>MOD(ROW(),2)&lt;&gt;0</formula>
    </cfRule>
  </conditionalFormatting>
  <hyperlinks>
    <hyperlink ref="B24" location="Assumptions!A1" display="Assumptions" xr:uid="{8B6300FA-1FF9-433F-8FBC-AC7B5E657693}"/>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28"/>
  <dimension ref="A1:I64"/>
  <sheetViews>
    <sheetView showGridLines="0" workbookViewId="0">
      <selection activeCell="B19" sqref="B19"/>
    </sheetView>
  </sheetViews>
  <sheetFormatPr defaultColWidth="10" defaultRowHeight="12.5" x14ac:dyDescent="0.25"/>
  <cols>
    <col min="1" max="1" width="31.81640625" style="28" customWidth="1"/>
    <col min="2" max="2" width="40.453125" style="28" customWidth="1"/>
    <col min="3" max="3" width="10.1796875" style="28" customWidth="1"/>
    <col min="4" max="4" width="10" style="28" customWidth="1"/>
    <col min="5" max="16384" width="10" style="28"/>
  </cols>
  <sheetData>
    <row r="1" spans="1:9" ht="20" x14ac:dyDescent="0.4">
      <c r="A1" s="40" t="s">
        <v>227</v>
      </c>
      <c r="B1" s="41"/>
      <c r="C1" s="41"/>
      <c r="D1" s="41"/>
      <c r="E1" s="41"/>
      <c r="F1" s="41"/>
      <c r="G1" s="41"/>
      <c r="H1" s="41"/>
      <c r="I1" s="41"/>
    </row>
    <row r="2" spans="1:9" ht="15.5" x14ac:dyDescent="0.35">
      <c r="A2" s="42" t="str">
        <f>IF(title="&gt; Enter workbook title here","Enter workbook title in Cover sheet",title)</f>
        <v>Fire Northern Ireland - Consolidated Factor Spreadsheet</v>
      </c>
      <c r="B2" s="43"/>
      <c r="C2" s="43"/>
      <c r="D2" s="43"/>
      <c r="E2" s="43"/>
      <c r="F2" s="43"/>
      <c r="G2" s="43"/>
      <c r="H2" s="43"/>
      <c r="I2" s="43"/>
    </row>
    <row r="3" spans="1:9" ht="15.5" x14ac:dyDescent="0.35">
      <c r="A3" s="44" t="str">
        <f>TABLE_FACTOR_TYPE&amp;" - x-"&amp;TABLE_SERIES_NUMBER</f>
        <v>Enter the factor type (which should be consistent with the series header types found on the summary sheet (eg early or late retirement) - x-Enter series number (this reflects the number in the relevant series eg if it’s the first ER/LR factor then it would be "401")</v>
      </c>
      <c r="B3" s="43"/>
      <c r="C3" s="43"/>
      <c r="D3" s="43"/>
      <c r="E3" s="43"/>
      <c r="F3" s="43"/>
      <c r="G3" s="43"/>
      <c r="H3" s="43"/>
      <c r="I3" s="43"/>
    </row>
    <row r="4" spans="1:9" x14ac:dyDescent="0.25">
      <c r="A4" s="45" t="str">
        <f ca="1">CELL("filename",A1)</f>
        <v>https://tris42.sharepoint.com/sites/gad_wrkgrp_actuarial/pspsactuarialwork/Central/Factors &amp; Guidance/2024 Guidance Review/4. Online portal/3. Import data/3. Factor tables/0_client_friendly/Ready to be uploaded/2025-03/[Fire NI Consolidated Factors 2025-02.xlsm]x-Series Number</v>
      </c>
    </row>
    <row r="6" spans="1:9" ht="13" x14ac:dyDescent="0.25">
      <c r="A6" s="46" t="s">
        <v>562</v>
      </c>
      <c r="B6" s="47" t="s">
        <v>563</v>
      </c>
    </row>
    <row r="7" spans="1:9" x14ac:dyDescent="0.25">
      <c r="A7" s="48" t="s">
        <v>305</v>
      </c>
      <c r="B7" s="50" t="s">
        <v>564</v>
      </c>
    </row>
    <row r="8" spans="1:9" x14ac:dyDescent="0.25">
      <c r="A8" s="48" t="s">
        <v>306</v>
      </c>
      <c r="B8" s="50" t="s">
        <v>565</v>
      </c>
    </row>
    <row r="9" spans="1:9" ht="12.75" customHeight="1" x14ac:dyDescent="0.25">
      <c r="A9" s="48" t="s">
        <v>307</v>
      </c>
      <c r="B9" s="51" t="s">
        <v>566</v>
      </c>
    </row>
    <row r="10" spans="1:9" ht="12.75" customHeight="1" x14ac:dyDescent="0.25">
      <c r="A10" s="48" t="s">
        <v>233</v>
      </c>
      <c r="B10" s="51" t="s">
        <v>567</v>
      </c>
    </row>
    <row r="11" spans="1:9" x14ac:dyDescent="0.25">
      <c r="A11" s="48" t="s">
        <v>308</v>
      </c>
      <c r="B11" s="51" t="s">
        <v>568</v>
      </c>
    </row>
    <row r="12" spans="1:9" x14ac:dyDescent="0.25">
      <c r="A12" s="48" t="s">
        <v>309</v>
      </c>
      <c r="B12" s="49" t="s">
        <v>569</v>
      </c>
    </row>
    <row r="13" spans="1:9" ht="12.75" customHeight="1" x14ac:dyDescent="0.25">
      <c r="A13" s="48" t="s">
        <v>570</v>
      </c>
      <c r="B13" s="49" t="s">
        <v>571</v>
      </c>
    </row>
    <row r="14" spans="1:9" ht="12.75" customHeight="1" x14ac:dyDescent="0.25">
      <c r="A14" s="48" t="s">
        <v>311</v>
      </c>
      <c r="B14" s="49" t="s">
        <v>572</v>
      </c>
    </row>
    <row r="15" spans="1:9" ht="75" x14ac:dyDescent="0.25">
      <c r="A15" s="52" t="s">
        <v>573</v>
      </c>
      <c r="B15" s="53" t="s">
        <v>574</v>
      </c>
    </row>
    <row r="16" spans="1:9" ht="25" x14ac:dyDescent="0.25">
      <c r="A16" s="54" t="s">
        <v>313</v>
      </c>
      <c r="B16" s="53" t="s">
        <v>575</v>
      </c>
    </row>
    <row r="17" spans="1:2" ht="52.5" customHeight="1" x14ac:dyDescent="0.25">
      <c r="A17" s="55" t="s">
        <v>314</v>
      </c>
      <c r="B17" s="53" t="s">
        <v>576</v>
      </c>
    </row>
    <row r="18" spans="1:2" x14ac:dyDescent="0.25">
      <c r="A18" s="52" t="s">
        <v>315</v>
      </c>
      <c r="B18" s="56" t="s">
        <v>577</v>
      </c>
    </row>
    <row r="19" spans="1:2" x14ac:dyDescent="0.25">
      <c r="A19" s="54" t="s">
        <v>316</v>
      </c>
      <c r="B19" s="56" t="s">
        <v>578</v>
      </c>
    </row>
    <row r="20" spans="1:2" ht="25" x14ac:dyDescent="0.25">
      <c r="A20" s="54" t="s">
        <v>317</v>
      </c>
      <c r="B20" s="56" t="s">
        <v>579</v>
      </c>
    </row>
    <row r="22" spans="1:2" x14ac:dyDescent="0.25">
      <c r="B22" s="91" t="str">
        <f>HYPERLINK("#'Factor List'!A1","Back to Factor List")</f>
        <v>Back to Factor List</v>
      </c>
    </row>
    <row r="25" spans="1:2" ht="13" x14ac:dyDescent="0.3">
      <c r="A25" s="57" t="s">
        <v>580</v>
      </c>
      <c r="B25" s="58"/>
    </row>
    <row r="26" spans="1:2" ht="13" x14ac:dyDescent="0.3">
      <c r="A26" s="59"/>
      <c r="B26" s="60"/>
    </row>
    <row r="27" spans="1:2" ht="13" x14ac:dyDescent="0.3">
      <c r="A27" s="61"/>
      <c r="B27" s="62"/>
    </row>
    <row r="28" spans="1:2" ht="13" x14ac:dyDescent="0.3">
      <c r="A28" s="59"/>
      <c r="B28" s="60"/>
    </row>
    <row r="29" spans="1:2" x14ac:dyDescent="0.25">
      <c r="A29" s="63"/>
      <c r="B29" s="64"/>
    </row>
    <row r="30" spans="1:2" x14ac:dyDescent="0.25">
      <c r="A30" s="65"/>
      <c r="B30" s="66"/>
    </row>
    <row r="31" spans="1:2" ht="13" x14ac:dyDescent="0.3">
      <c r="A31" s="59"/>
      <c r="B31" s="60"/>
    </row>
    <row r="32" spans="1:2" x14ac:dyDescent="0.25">
      <c r="A32" s="67"/>
      <c r="B32" s="68"/>
    </row>
    <row r="33" spans="1:2" x14ac:dyDescent="0.25">
      <c r="A33" s="67"/>
      <c r="B33" s="68"/>
    </row>
    <row r="34" spans="1:2" x14ac:dyDescent="0.25">
      <c r="A34" s="67"/>
      <c r="B34" s="68"/>
    </row>
    <row r="35" spans="1:2" x14ac:dyDescent="0.25">
      <c r="A35" s="67"/>
      <c r="B35" s="68"/>
    </row>
    <row r="36" spans="1:2" x14ac:dyDescent="0.25">
      <c r="A36" s="67"/>
      <c r="B36" s="68"/>
    </row>
    <row r="37" spans="1:2" x14ac:dyDescent="0.25">
      <c r="A37" s="67"/>
      <c r="B37" s="68"/>
    </row>
    <row r="38" spans="1:2" x14ac:dyDescent="0.25">
      <c r="A38" s="67"/>
      <c r="B38" s="68"/>
    </row>
    <row r="39" spans="1:2" x14ac:dyDescent="0.25">
      <c r="A39" s="67"/>
      <c r="B39" s="68"/>
    </row>
    <row r="40" spans="1:2" x14ac:dyDescent="0.25">
      <c r="A40" s="67"/>
      <c r="B40" s="68"/>
    </row>
    <row r="41" spans="1:2" x14ac:dyDescent="0.25">
      <c r="A41" s="67"/>
      <c r="B41" s="68"/>
    </row>
    <row r="42" spans="1:2" x14ac:dyDescent="0.25">
      <c r="A42" s="63"/>
      <c r="B42" s="64"/>
    </row>
    <row r="43" spans="1:2" ht="39.65" customHeight="1" x14ac:dyDescent="0.25">
      <c r="A43" s="69"/>
      <c r="B43" s="70"/>
    </row>
    <row r="44" spans="1:2" x14ac:dyDescent="0.25">
      <c r="A44" s="63"/>
      <c r="B44" s="64"/>
    </row>
    <row r="45" spans="1:2" ht="27.65" customHeight="1" x14ac:dyDescent="0.25">
      <c r="A45" s="63"/>
      <c r="B45" s="64"/>
    </row>
    <row r="46" spans="1:2" x14ac:dyDescent="0.25">
      <c r="A46" s="63"/>
      <c r="B46" s="64"/>
    </row>
    <row r="47" spans="1:2" x14ac:dyDescent="0.25">
      <c r="A47" s="63"/>
      <c r="B47" s="64"/>
    </row>
    <row r="48" spans="1:2" x14ac:dyDescent="0.25">
      <c r="A48" s="63"/>
      <c r="B48" s="64"/>
    </row>
    <row r="49" spans="1:2" x14ac:dyDescent="0.25">
      <c r="A49" s="63"/>
      <c r="B49" s="64"/>
    </row>
    <row r="50" spans="1:2" x14ac:dyDescent="0.25">
      <c r="A50" s="63"/>
      <c r="B50" s="64"/>
    </row>
    <row r="51" spans="1:2" x14ac:dyDescent="0.25">
      <c r="A51" s="63"/>
      <c r="B51" s="64"/>
    </row>
    <row r="52" spans="1:2" x14ac:dyDescent="0.25">
      <c r="A52" s="63"/>
      <c r="B52" s="64"/>
    </row>
    <row r="53" spans="1:2" x14ac:dyDescent="0.25">
      <c r="A53" s="63"/>
      <c r="B53" s="64"/>
    </row>
    <row r="54" spans="1:2" x14ac:dyDescent="0.25">
      <c r="A54" s="63"/>
      <c r="B54" s="64"/>
    </row>
    <row r="55" spans="1:2" x14ac:dyDescent="0.25">
      <c r="A55" s="63"/>
      <c r="B55" s="64"/>
    </row>
    <row r="56" spans="1:2" x14ac:dyDescent="0.25">
      <c r="A56" s="63"/>
      <c r="B56" s="64"/>
    </row>
    <row r="57" spans="1:2" x14ac:dyDescent="0.25">
      <c r="A57" s="63"/>
      <c r="B57" s="64"/>
    </row>
    <row r="58" spans="1:2" x14ac:dyDescent="0.25">
      <c r="A58" s="63"/>
      <c r="B58" s="64"/>
    </row>
    <row r="59" spans="1:2" x14ac:dyDescent="0.25">
      <c r="A59" s="63"/>
      <c r="B59" s="64"/>
    </row>
    <row r="60" spans="1:2" x14ac:dyDescent="0.25">
      <c r="A60" s="63"/>
      <c r="B60" s="64"/>
    </row>
    <row r="61" spans="1:2" x14ac:dyDescent="0.25">
      <c r="A61" s="63"/>
      <c r="B61" s="64"/>
    </row>
    <row r="62" spans="1:2" x14ac:dyDescent="0.25">
      <c r="A62" s="63"/>
      <c r="B62" s="64"/>
    </row>
    <row r="63" spans="1:2" x14ac:dyDescent="0.25">
      <c r="A63" s="63"/>
      <c r="B63" s="64"/>
    </row>
    <row r="64" spans="1:2" x14ac:dyDescent="0.25">
      <c r="A64" s="71"/>
      <c r="B64" s="72"/>
    </row>
  </sheetData>
  <sheetProtection algorithmName="SHA-512" hashValue="L+/+/lLCVi7xCDmWb9DnZZhN7c1Vn0qI7+fntIxydpphCu5KzJlD6JcTZozrHp4aBMCx6JhxcYvD6LdVvqaYIQ==" saltValue="918PYyOGVx0S4Zw83pZ3NA==" spinCount="100000" sheet="1" objects="1" scenarios="1"/>
  <pageMargins left="0.74803149606299213" right="0.74803149606299213" top="0.98425196850393704" bottom="0.98425196850393704" header="0.51181102362204722" footer="0.51181102362204722"/>
  <pageSetup paperSize="9" orientation="landscape" r:id="rId1"/>
  <headerFooter alignWithMargins="0"/>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sheetPr codeName="Sheet87"/>
  <dimension ref="A1:I76"/>
  <sheetViews>
    <sheetView showGridLines="0" zoomScale="85" zoomScaleNormal="85" workbookViewId="0">
      <selection activeCell="B18" sqref="B18"/>
    </sheetView>
  </sheetViews>
  <sheetFormatPr defaultColWidth="10" defaultRowHeight="12.5" x14ac:dyDescent="0.25"/>
  <cols>
    <col min="1" max="1" width="31.81640625" style="28" customWidth="1"/>
    <col min="2" max="5" width="22.81640625" style="28" customWidth="1"/>
    <col min="6" max="16384" width="10" style="28"/>
  </cols>
  <sheetData>
    <row r="1" spans="1:9" ht="20" x14ac:dyDescent="0.4">
      <c r="A1" s="40" t="s">
        <v>227</v>
      </c>
      <c r="B1" s="41"/>
      <c r="C1" s="41"/>
      <c r="D1" s="41"/>
      <c r="E1" s="41"/>
      <c r="F1" s="41"/>
      <c r="G1" s="41"/>
      <c r="H1" s="41"/>
      <c r="I1" s="41"/>
    </row>
    <row r="2" spans="1:9" ht="15.5" x14ac:dyDescent="0.35">
      <c r="A2" s="42" t="str">
        <f>IF(title="&gt; Enter workbook title here","Enter workbook title in Cover sheet",title)</f>
        <v>Fire Northern Ireland - Consolidated Factor Spreadsheet</v>
      </c>
      <c r="B2" s="43"/>
      <c r="C2" s="43"/>
      <c r="D2" s="43"/>
      <c r="E2" s="43"/>
      <c r="F2" s="43"/>
      <c r="G2" s="43"/>
      <c r="H2" s="43"/>
      <c r="I2" s="43"/>
    </row>
    <row r="3" spans="1:9" ht="15.5" x14ac:dyDescent="0.35">
      <c r="A3" s="44" t="str">
        <f>TABLE_FACTOR_TYPE_1&amp;" - x-"&amp;TABLE_SERIES_NUMBER_1</f>
        <v>Scheme pays AA - x-607</v>
      </c>
      <c r="B3" s="43"/>
      <c r="C3" s="43"/>
      <c r="D3" s="43"/>
      <c r="E3" s="43"/>
      <c r="F3" s="43"/>
      <c r="G3" s="43"/>
      <c r="H3" s="43"/>
      <c r="I3" s="43"/>
    </row>
    <row r="4" spans="1:9" x14ac:dyDescent="0.25">
      <c r="A4" s="45"/>
    </row>
    <row r="6" spans="1:9" ht="13" x14ac:dyDescent="0.3">
      <c r="A6" s="75" t="s">
        <v>562</v>
      </c>
      <c r="B6" s="159" t="s">
        <v>563</v>
      </c>
      <c r="C6" s="159"/>
      <c r="D6" s="159"/>
      <c r="E6" s="159"/>
    </row>
    <row r="7" spans="1:9" x14ac:dyDescent="0.25">
      <c r="A7" s="77" t="s">
        <v>305</v>
      </c>
      <c r="B7" s="159" t="s">
        <v>319</v>
      </c>
      <c r="C7" s="159"/>
      <c r="D7" s="159"/>
      <c r="E7" s="159"/>
    </row>
    <row r="8" spans="1:9" x14ac:dyDescent="0.25">
      <c r="A8" s="77" t="s">
        <v>306</v>
      </c>
      <c r="B8" s="159">
        <v>2015</v>
      </c>
      <c r="C8" s="159"/>
      <c r="D8" s="159"/>
      <c r="E8" s="159"/>
    </row>
    <row r="9" spans="1:9" x14ac:dyDescent="0.25">
      <c r="A9" s="77" t="s">
        <v>307</v>
      </c>
      <c r="B9" s="159" t="s">
        <v>482</v>
      </c>
      <c r="C9" s="159"/>
      <c r="D9" s="159"/>
      <c r="E9" s="159"/>
    </row>
    <row r="10" spans="1:9" x14ac:dyDescent="0.25">
      <c r="A10" s="77" t="s">
        <v>233</v>
      </c>
      <c r="B10" s="159" t="s">
        <v>493</v>
      </c>
      <c r="C10" s="159"/>
      <c r="D10" s="159"/>
      <c r="E10" s="159"/>
    </row>
    <row r="11" spans="1:9" x14ac:dyDescent="0.25">
      <c r="A11" s="77" t="s">
        <v>308</v>
      </c>
      <c r="B11" s="159" t="s">
        <v>323</v>
      </c>
      <c r="C11" s="159"/>
      <c r="D11" s="159"/>
      <c r="E11" s="159"/>
    </row>
    <row r="12" spans="1:9" x14ac:dyDescent="0.25">
      <c r="A12" s="77" t="s">
        <v>309</v>
      </c>
      <c r="B12" s="159" t="s">
        <v>485</v>
      </c>
      <c r="C12" s="159"/>
      <c r="D12" s="159"/>
      <c r="E12" s="159"/>
    </row>
    <row r="13" spans="1:9" x14ac:dyDescent="0.25">
      <c r="A13" s="77" t="s">
        <v>570</v>
      </c>
      <c r="B13" s="159">
        <v>0</v>
      </c>
      <c r="C13" s="159"/>
      <c r="D13" s="159"/>
      <c r="E13" s="159"/>
    </row>
    <row r="14" spans="1:9" x14ac:dyDescent="0.25">
      <c r="A14" s="77" t="s">
        <v>311</v>
      </c>
      <c r="B14" s="159">
        <v>607</v>
      </c>
      <c r="C14" s="159"/>
      <c r="D14" s="159"/>
      <c r="E14" s="159"/>
    </row>
    <row r="15" spans="1:9" x14ac:dyDescent="0.25">
      <c r="A15" s="77" t="s">
        <v>573</v>
      </c>
      <c r="B15" s="159" t="s">
        <v>494</v>
      </c>
      <c r="C15" s="159"/>
      <c r="D15" s="159"/>
      <c r="E15" s="159"/>
    </row>
    <row r="16" spans="1:9" x14ac:dyDescent="0.25">
      <c r="A16" s="77" t="s">
        <v>313</v>
      </c>
      <c r="B16" s="159" t="s">
        <v>326</v>
      </c>
      <c r="C16" s="159"/>
      <c r="D16" s="159"/>
      <c r="E16" s="159"/>
    </row>
    <row r="17" spans="1:5" x14ac:dyDescent="0.25">
      <c r="A17" s="77" t="s">
        <v>642</v>
      </c>
      <c r="B17" s="159"/>
      <c r="C17" s="159"/>
      <c r="D17" s="159"/>
      <c r="E17" s="159"/>
    </row>
    <row r="18" spans="1:5" x14ac:dyDescent="0.25">
      <c r="A18" s="77" t="s">
        <v>315</v>
      </c>
      <c r="B18" s="161">
        <v>45135</v>
      </c>
      <c r="C18" s="159"/>
      <c r="D18" s="159"/>
      <c r="E18" s="159"/>
    </row>
    <row r="19" spans="1:5" x14ac:dyDescent="0.25">
      <c r="A19" s="77" t="s">
        <v>316</v>
      </c>
      <c r="B19" s="161">
        <v>45135</v>
      </c>
      <c r="C19" s="159"/>
      <c r="D19" s="159"/>
      <c r="E19" s="159"/>
    </row>
    <row r="20" spans="1:5" x14ac:dyDescent="0.25">
      <c r="A20" s="77" t="s">
        <v>317</v>
      </c>
      <c r="B20" s="159" t="s">
        <v>327</v>
      </c>
      <c r="C20" s="159"/>
      <c r="D20" s="159"/>
      <c r="E20" s="159"/>
    </row>
    <row r="21" spans="1:5" x14ac:dyDescent="0.25">
      <c r="A21" s="77" t="s">
        <v>318</v>
      </c>
      <c r="B21" s="159" t="s">
        <v>328</v>
      </c>
      <c r="C21" s="159"/>
      <c r="D21" s="159"/>
      <c r="E21" s="159"/>
    </row>
    <row r="23" spans="1:5" x14ac:dyDescent="0.25">
      <c r="B23" s="91" t="str">
        <f>HYPERLINK("#'Factor List'!A1","Back to Factor List")</f>
        <v>Back to Factor List</v>
      </c>
    </row>
    <row r="24" spans="1:5" x14ac:dyDescent="0.25">
      <c r="B24" s="91" t="s">
        <v>240</v>
      </c>
    </row>
    <row r="25" spans="1:5" x14ac:dyDescent="0.25">
      <c r="B25" s="91"/>
    </row>
    <row r="26" spans="1:5" ht="13" x14ac:dyDescent="0.25">
      <c r="A26" s="87" t="s">
        <v>643</v>
      </c>
      <c r="B26" s="87" t="s">
        <v>663</v>
      </c>
      <c r="C26" s="87" t="s">
        <v>664</v>
      </c>
      <c r="D26" s="87" t="s">
        <v>665</v>
      </c>
      <c r="E26" s="87" t="s">
        <v>666</v>
      </c>
    </row>
    <row r="27" spans="1:5" x14ac:dyDescent="0.25">
      <c r="A27" s="88">
        <v>18</v>
      </c>
      <c r="B27" s="89">
        <v>8.64</v>
      </c>
      <c r="C27" s="89">
        <v>8.2100000000000009</v>
      </c>
      <c r="D27" s="89">
        <v>7.8</v>
      </c>
      <c r="E27" s="89">
        <v>7.4</v>
      </c>
    </row>
    <row r="28" spans="1:5" x14ac:dyDescent="0.25">
      <c r="A28" s="88">
        <v>19</v>
      </c>
      <c r="B28" s="89">
        <v>8.76</v>
      </c>
      <c r="C28" s="89">
        <v>8.33</v>
      </c>
      <c r="D28" s="89">
        <v>7.91</v>
      </c>
      <c r="E28" s="89">
        <v>7.5</v>
      </c>
    </row>
    <row r="29" spans="1:5" x14ac:dyDescent="0.25">
      <c r="A29" s="88">
        <v>20</v>
      </c>
      <c r="B29" s="89">
        <v>8.8800000000000008</v>
      </c>
      <c r="C29" s="89">
        <v>8.44</v>
      </c>
      <c r="D29" s="89">
        <v>8.02</v>
      </c>
      <c r="E29" s="89">
        <v>7.6</v>
      </c>
    </row>
    <row r="30" spans="1:5" x14ac:dyDescent="0.25">
      <c r="A30" s="88">
        <v>21</v>
      </c>
      <c r="B30" s="89">
        <v>9</v>
      </c>
      <c r="C30" s="89">
        <v>8.56</v>
      </c>
      <c r="D30" s="89">
        <v>8.1199999999999992</v>
      </c>
      <c r="E30" s="89">
        <v>7.7</v>
      </c>
    </row>
    <row r="31" spans="1:5" x14ac:dyDescent="0.25">
      <c r="A31" s="88">
        <v>22</v>
      </c>
      <c r="B31" s="89">
        <v>9.1300000000000008</v>
      </c>
      <c r="C31" s="89">
        <v>8.68</v>
      </c>
      <c r="D31" s="89">
        <v>8.24</v>
      </c>
      <c r="E31" s="89">
        <v>7.81</v>
      </c>
    </row>
    <row r="32" spans="1:5" x14ac:dyDescent="0.25">
      <c r="A32" s="88">
        <v>23</v>
      </c>
      <c r="B32" s="89">
        <v>9.25</v>
      </c>
      <c r="C32" s="89">
        <v>8.8000000000000007</v>
      </c>
      <c r="D32" s="89">
        <v>8.35</v>
      </c>
      <c r="E32" s="89">
        <v>7.91</v>
      </c>
    </row>
    <row r="33" spans="1:5" x14ac:dyDescent="0.25">
      <c r="A33" s="88">
        <v>24</v>
      </c>
      <c r="B33" s="89">
        <v>9.3800000000000008</v>
      </c>
      <c r="C33" s="89">
        <v>8.92</v>
      </c>
      <c r="D33" s="89">
        <v>8.4600000000000009</v>
      </c>
      <c r="E33" s="89">
        <v>8.02</v>
      </c>
    </row>
    <row r="34" spans="1:5" x14ac:dyDescent="0.25">
      <c r="A34" s="88">
        <v>25</v>
      </c>
      <c r="B34" s="89">
        <v>9.51</v>
      </c>
      <c r="C34" s="89">
        <v>9.0399999999999991</v>
      </c>
      <c r="D34" s="89">
        <v>8.58</v>
      </c>
      <c r="E34" s="89">
        <v>8.1199999999999992</v>
      </c>
    </row>
    <row r="35" spans="1:5" x14ac:dyDescent="0.25">
      <c r="A35" s="88">
        <v>26</v>
      </c>
      <c r="B35" s="89">
        <v>9.65</v>
      </c>
      <c r="C35" s="89">
        <v>9.16</v>
      </c>
      <c r="D35" s="89">
        <v>8.69</v>
      </c>
      <c r="E35" s="89">
        <v>8.23</v>
      </c>
    </row>
    <row r="36" spans="1:5" x14ac:dyDescent="0.25">
      <c r="A36" s="88">
        <v>27</v>
      </c>
      <c r="B36" s="89">
        <v>9.7799999999999994</v>
      </c>
      <c r="C36" s="89">
        <v>9.2899999999999991</v>
      </c>
      <c r="D36" s="89">
        <v>8.81</v>
      </c>
      <c r="E36" s="89">
        <v>8.35</v>
      </c>
    </row>
    <row r="37" spans="1:5" x14ac:dyDescent="0.25">
      <c r="A37" s="88">
        <v>28</v>
      </c>
      <c r="B37" s="89">
        <v>9.92</v>
      </c>
      <c r="C37" s="89">
        <v>9.42</v>
      </c>
      <c r="D37" s="89">
        <v>8.93</v>
      </c>
      <c r="E37" s="89">
        <v>8.4600000000000009</v>
      </c>
    </row>
    <row r="38" spans="1:5" x14ac:dyDescent="0.25">
      <c r="A38" s="88">
        <v>29</v>
      </c>
      <c r="B38" s="89">
        <v>10.050000000000001</v>
      </c>
      <c r="C38" s="89">
        <v>9.5500000000000007</v>
      </c>
      <c r="D38" s="89">
        <v>9.06</v>
      </c>
      <c r="E38" s="89">
        <v>8.57</v>
      </c>
    </row>
    <row r="39" spans="1:5" x14ac:dyDescent="0.25">
      <c r="A39" s="88">
        <v>30</v>
      </c>
      <c r="B39" s="89">
        <v>10.199999999999999</v>
      </c>
      <c r="C39" s="89">
        <v>9.68</v>
      </c>
      <c r="D39" s="89">
        <v>9.18</v>
      </c>
      <c r="E39" s="89">
        <v>8.69</v>
      </c>
    </row>
    <row r="40" spans="1:5" x14ac:dyDescent="0.25">
      <c r="A40" s="88">
        <v>31</v>
      </c>
      <c r="B40" s="89">
        <v>10.34</v>
      </c>
      <c r="C40" s="89">
        <v>9.82</v>
      </c>
      <c r="D40" s="89">
        <v>9.31</v>
      </c>
      <c r="E40" s="89">
        <v>8.81</v>
      </c>
    </row>
    <row r="41" spans="1:5" x14ac:dyDescent="0.25">
      <c r="A41" s="88">
        <v>32</v>
      </c>
      <c r="B41" s="89">
        <v>10.49</v>
      </c>
      <c r="C41" s="89">
        <v>9.9499999999999993</v>
      </c>
      <c r="D41" s="89">
        <v>9.43</v>
      </c>
      <c r="E41" s="89">
        <v>8.93</v>
      </c>
    </row>
    <row r="42" spans="1:5" x14ac:dyDescent="0.25">
      <c r="A42" s="88">
        <v>33</v>
      </c>
      <c r="B42" s="89">
        <v>10.63</v>
      </c>
      <c r="C42" s="89">
        <v>10.09</v>
      </c>
      <c r="D42" s="89">
        <v>9.57</v>
      </c>
      <c r="E42" s="89">
        <v>9.0500000000000007</v>
      </c>
    </row>
    <row r="43" spans="1:5" x14ac:dyDescent="0.25">
      <c r="A43" s="88">
        <v>34</v>
      </c>
      <c r="B43" s="89">
        <v>10.78</v>
      </c>
      <c r="C43" s="89">
        <v>10.24</v>
      </c>
      <c r="D43" s="89">
        <v>9.6999999999999993</v>
      </c>
      <c r="E43" s="89">
        <v>9.17</v>
      </c>
    </row>
    <row r="44" spans="1:5" x14ac:dyDescent="0.25">
      <c r="A44" s="88">
        <v>35</v>
      </c>
      <c r="B44" s="89">
        <v>10.94</v>
      </c>
      <c r="C44" s="89">
        <v>10.38</v>
      </c>
      <c r="D44" s="89">
        <v>9.83</v>
      </c>
      <c r="E44" s="89">
        <v>9.3000000000000007</v>
      </c>
    </row>
    <row r="45" spans="1:5" x14ac:dyDescent="0.25">
      <c r="A45" s="88">
        <v>36</v>
      </c>
      <c r="B45" s="89">
        <v>11.09</v>
      </c>
      <c r="C45" s="89">
        <v>10.53</v>
      </c>
      <c r="D45" s="89">
        <v>9.9700000000000006</v>
      </c>
      <c r="E45" s="89">
        <v>9.43</v>
      </c>
    </row>
    <row r="46" spans="1:5" x14ac:dyDescent="0.25">
      <c r="A46" s="88">
        <v>37</v>
      </c>
      <c r="B46" s="89">
        <v>11.25</v>
      </c>
      <c r="C46" s="89">
        <v>10.68</v>
      </c>
      <c r="D46" s="89">
        <v>10.11</v>
      </c>
      <c r="E46" s="89">
        <v>9.56</v>
      </c>
    </row>
    <row r="47" spans="1:5" x14ac:dyDescent="0.25">
      <c r="A47" s="88">
        <v>38</v>
      </c>
      <c r="B47" s="89">
        <v>11.42</v>
      </c>
      <c r="C47" s="89">
        <v>10.83</v>
      </c>
      <c r="D47" s="89">
        <v>10.25</v>
      </c>
      <c r="E47" s="89">
        <v>9.69</v>
      </c>
    </row>
    <row r="48" spans="1:5" x14ac:dyDescent="0.25">
      <c r="A48" s="88">
        <v>39</v>
      </c>
      <c r="B48" s="89">
        <v>11.58</v>
      </c>
      <c r="C48" s="89">
        <v>10.98</v>
      </c>
      <c r="D48" s="89">
        <v>10.4</v>
      </c>
      <c r="E48" s="89">
        <v>9.83</v>
      </c>
    </row>
    <row r="49" spans="1:5" x14ac:dyDescent="0.25">
      <c r="A49" s="88">
        <v>40</v>
      </c>
      <c r="B49" s="89">
        <v>11.75</v>
      </c>
      <c r="C49" s="89">
        <v>11.14</v>
      </c>
      <c r="D49" s="89">
        <v>10.54</v>
      </c>
      <c r="E49" s="89">
        <v>9.9600000000000009</v>
      </c>
    </row>
    <row r="50" spans="1:5" x14ac:dyDescent="0.25">
      <c r="A50" s="88">
        <v>41</v>
      </c>
      <c r="B50" s="89">
        <v>11.92</v>
      </c>
      <c r="C50" s="89">
        <v>11.3</v>
      </c>
      <c r="D50" s="89">
        <v>10.7</v>
      </c>
      <c r="E50" s="89">
        <v>10.1</v>
      </c>
    </row>
    <row r="51" spans="1:5" x14ac:dyDescent="0.25">
      <c r="A51" s="88">
        <v>42</v>
      </c>
      <c r="B51" s="89">
        <v>12.09</v>
      </c>
      <c r="C51" s="89">
        <v>11.46</v>
      </c>
      <c r="D51" s="89">
        <v>10.85</v>
      </c>
      <c r="E51" s="89">
        <v>10.25</v>
      </c>
    </row>
    <row r="52" spans="1:5" x14ac:dyDescent="0.25">
      <c r="A52" s="88">
        <v>43</v>
      </c>
      <c r="B52" s="89">
        <v>12.27</v>
      </c>
      <c r="C52" s="89">
        <v>11.63</v>
      </c>
      <c r="D52" s="89">
        <v>11.01</v>
      </c>
      <c r="E52" s="89">
        <v>10.39</v>
      </c>
    </row>
    <row r="53" spans="1:5" x14ac:dyDescent="0.25">
      <c r="A53" s="88">
        <v>44</v>
      </c>
      <c r="B53" s="89">
        <v>12.46</v>
      </c>
      <c r="C53" s="89">
        <v>11.8</v>
      </c>
      <c r="D53" s="89">
        <v>11.17</v>
      </c>
      <c r="E53" s="89">
        <v>10.54</v>
      </c>
    </row>
    <row r="54" spans="1:5" x14ac:dyDescent="0.25">
      <c r="A54" s="88">
        <v>45</v>
      </c>
      <c r="B54" s="89">
        <v>12.64</v>
      </c>
      <c r="C54" s="89">
        <v>11.98</v>
      </c>
      <c r="D54" s="89">
        <v>11.33</v>
      </c>
      <c r="E54" s="89">
        <v>10.7</v>
      </c>
    </row>
    <row r="55" spans="1:5" x14ac:dyDescent="0.25">
      <c r="A55" s="88">
        <v>46</v>
      </c>
      <c r="B55" s="89">
        <v>12.83</v>
      </c>
      <c r="C55" s="89">
        <v>12.16</v>
      </c>
      <c r="D55" s="89">
        <v>11.5</v>
      </c>
      <c r="E55" s="89">
        <v>10.85</v>
      </c>
    </row>
    <row r="56" spans="1:5" x14ac:dyDescent="0.25">
      <c r="A56" s="88">
        <v>47</v>
      </c>
      <c r="B56" s="89">
        <v>13.03</v>
      </c>
      <c r="C56" s="89">
        <v>12.34</v>
      </c>
      <c r="D56" s="89">
        <v>11.67</v>
      </c>
      <c r="E56" s="89">
        <v>11.01</v>
      </c>
    </row>
    <row r="57" spans="1:5" x14ac:dyDescent="0.25">
      <c r="A57" s="88">
        <v>48</v>
      </c>
      <c r="B57" s="89">
        <v>13.23</v>
      </c>
      <c r="C57" s="89">
        <v>12.53</v>
      </c>
      <c r="D57" s="89">
        <v>11.84</v>
      </c>
      <c r="E57" s="89">
        <v>11.18</v>
      </c>
    </row>
    <row r="58" spans="1:5" x14ac:dyDescent="0.25">
      <c r="A58" s="88">
        <v>49</v>
      </c>
      <c r="B58" s="89">
        <v>13.44</v>
      </c>
      <c r="C58" s="89">
        <v>12.72</v>
      </c>
      <c r="D58" s="89">
        <v>12.02</v>
      </c>
      <c r="E58" s="89">
        <v>11.34</v>
      </c>
    </row>
    <row r="59" spans="1:5" x14ac:dyDescent="0.25">
      <c r="A59" s="88">
        <v>50</v>
      </c>
      <c r="B59" s="89">
        <v>13.65</v>
      </c>
      <c r="C59" s="89">
        <v>12.92</v>
      </c>
      <c r="D59" s="89">
        <v>12.21</v>
      </c>
      <c r="E59" s="89">
        <v>11.52</v>
      </c>
    </row>
    <row r="60" spans="1:5" x14ac:dyDescent="0.25">
      <c r="A60" s="88">
        <v>51</v>
      </c>
      <c r="B60" s="89">
        <v>13.86</v>
      </c>
      <c r="C60" s="89">
        <v>13.12</v>
      </c>
      <c r="D60" s="89">
        <v>12.4</v>
      </c>
      <c r="E60" s="89">
        <v>11.69</v>
      </c>
    </row>
    <row r="61" spans="1:5" x14ac:dyDescent="0.25">
      <c r="A61" s="88">
        <v>52</v>
      </c>
      <c r="B61" s="89">
        <v>14.08</v>
      </c>
      <c r="C61" s="89">
        <v>13.33</v>
      </c>
      <c r="D61" s="89">
        <v>12.59</v>
      </c>
      <c r="E61" s="89">
        <v>11.87</v>
      </c>
    </row>
    <row r="62" spans="1:5" x14ac:dyDescent="0.25">
      <c r="A62" s="88">
        <v>53</v>
      </c>
      <c r="B62" s="89">
        <v>14.31</v>
      </c>
      <c r="C62" s="89">
        <v>13.54</v>
      </c>
      <c r="D62" s="89">
        <v>12.79</v>
      </c>
      <c r="E62" s="89">
        <v>12.06</v>
      </c>
    </row>
    <row r="63" spans="1:5" x14ac:dyDescent="0.25">
      <c r="A63" s="88">
        <v>54</v>
      </c>
      <c r="B63" s="89">
        <v>14.55</v>
      </c>
      <c r="C63" s="89">
        <v>13.76</v>
      </c>
      <c r="D63" s="89">
        <v>13</v>
      </c>
      <c r="E63" s="89">
        <v>12.25</v>
      </c>
    </row>
    <row r="64" spans="1:5" x14ac:dyDescent="0.25">
      <c r="A64" s="88">
        <v>55</v>
      </c>
      <c r="B64" s="89">
        <v>14.79</v>
      </c>
      <c r="C64" s="89">
        <v>13.99</v>
      </c>
      <c r="D64" s="89">
        <v>13.21</v>
      </c>
      <c r="E64" s="89">
        <v>12.45</v>
      </c>
    </row>
    <row r="65" spans="1:5" x14ac:dyDescent="0.25">
      <c r="A65" s="88">
        <v>56</v>
      </c>
      <c r="B65" s="89">
        <v>15.04</v>
      </c>
      <c r="C65" s="89">
        <v>14.22</v>
      </c>
      <c r="D65" s="89">
        <v>13.42</v>
      </c>
      <c r="E65" s="89">
        <v>12.65</v>
      </c>
    </row>
    <row r="66" spans="1:5" x14ac:dyDescent="0.25">
      <c r="A66" s="88">
        <v>57</v>
      </c>
      <c r="B66" s="89">
        <v>15.3</v>
      </c>
      <c r="C66" s="89">
        <v>14.46</v>
      </c>
      <c r="D66" s="89">
        <v>13.65</v>
      </c>
      <c r="E66" s="89">
        <v>12.86</v>
      </c>
    </row>
    <row r="67" spans="1:5" x14ac:dyDescent="0.25">
      <c r="A67" s="88">
        <v>58</v>
      </c>
      <c r="B67" s="89">
        <v>15.56</v>
      </c>
      <c r="C67" s="89">
        <v>14.71</v>
      </c>
      <c r="D67" s="89">
        <v>13.88</v>
      </c>
      <c r="E67" s="89">
        <v>13.08</v>
      </c>
    </row>
    <row r="68" spans="1:5" x14ac:dyDescent="0.25">
      <c r="A68" s="88">
        <v>59</v>
      </c>
      <c r="B68" s="89">
        <v>15.84</v>
      </c>
      <c r="C68" s="89">
        <v>14.97</v>
      </c>
      <c r="D68" s="89">
        <v>14.13</v>
      </c>
      <c r="E68" s="89">
        <v>13.3</v>
      </c>
    </row>
    <row r="69" spans="1:5" x14ac:dyDescent="0.25">
      <c r="A69" s="88">
        <v>60</v>
      </c>
      <c r="B69" s="89">
        <v>16.13</v>
      </c>
      <c r="C69" s="89">
        <v>15.24</v>
      </c>
      <c r="D69" s="89">
        <v>14.38</v>
      </c>
      <c r="E69" s="89">
        <v>13.54</v>
      </c>
    </row>
    <row r="70" spans="1:5" x14ac:dyDescent="0.25">
      <c r="A70" s="88">
        <v>61</v>
      </c>
      <c r="B70" s="89">
        <v>16.43</v>
      </c>
      <c r="C70" s="89">
        <v>15.53</v>
      </c>
      <c r="D70" s="89">
        <v>14.64</v>
      </c>
      <c r="E70" s="89">
        <v>13.78</v>
      </c>
    </row>
    <row r="71" spans="1:5" x14ac:dyDescent="0.25">
      <c r="A71" s="88">
        <v>62</v>
      </c>
      <c r="B71" s="89">
        <v>16.75</v>
      </c>
      <c r="C71" s="89">
        <v>15.82</v>
      </c>
      <c r="D71" s="89">
        <v>14.92</v>
      </c>
      <c r="E71" s="89">
        <v>14.04</v>
      </c>
    </row>
    <row r="72" spans="1:5" x14ac:dyDescent="0.25">
      <c r="A72" s="88">
        <v>63</v>
      </c>
      <c r="B72" s="89">
        <v>17.079999999999998</v>
      </c>
      <c r="C72" s="89">
        <v>16.13</v>
      </c>
      <c r="D72" s="89">
        <v>15.21</v>
      </c>
      <c r="E72" s="89">
        <v>14.31</v>
      </c>
    </row>
    <row r="73" spans="1:5" x14ac:dyDescent="0.25">
      <c r="A73" s="88">
        <v>64</v>
      </c>
      <c r="B73" s="89">
        <v>17.43</v>
      </c>
      <c r="C73" s="89">
        <v>16.46</v>
      </c>
      <c r="D73" s="89">
        <v>15.52</v>
      </c>
      <c r="E73" s="89">
        <v>14.6</v>
      </c>
    </row>
    <row r="74" spans="1:5" x14ac:dyDescent="0.25">
      <c r="A74" s="88">
        <v>65</v>
      </c>
      <c r="B74" s="89"/>
      <c r="C74" s="89">
        <v>16.82</v>
      </c>
      <c r="D74" s="89">
        <v>15.85</v>
      </c>
      <c r="E74" s="89">
        <v>14.9</v>
      </c>
    </row>
    <row r="75" spans="1:5" x14ac:dyDescent="0.25">
      <c r="A75" s="88">
        <v>66</v>
      </c>
      <c r="B75" s="89"/>
      <c r="C75" s="89"/>
      <c r="D75" s="89">
        <v>16.2</v>
      </c>
      <c r="E75" s="89">
        <v>15.23</v>
      </c>
    </row>
    <row r="76" spans="1:5" x14ac:dyDescent="0.25">
      <c r="A76" s="88">
        <v>67</v>
      </c>
      <c r="B76" s="89"/>
      <c r="C76" s="89"/>
      <c r="D76" s="89"/>
      <c r="E76" s="89">
        <v>15.58</v>
      </c>
    </row>
  </sheetData>
  <sheetProtection algorithmName="SHA-512" hashValue="ab+bVVpt2MVp8DAPVyZ5fnKdsLARSmasYx4duHYfQOgW8KoFSg8ZHAb1NdvKZ6R5mK5UDwnogVGXyuHglSNEKg==" saltValue="KZ0tc2E8/XPzoOi1FCBpwA==" spinCount="100000" sheet="1" objects="1" scenarios="1"/>
  <conditionalFormatting sqref="A6:A16">
    <cfRule type="expression" dxfId="429" priority="29" stopIfTrue="1">
      <formula>MOD(ROW(),2)=0</formula>
    </cfRule>
    <cfRule type="expression" dxfId="428" priority="30" stopIfTrue="1">
      <formula>MOD(ROW(),2)&lt;&gt;0</formula>
    </cfRule>
  </conditionalFormatting>
  <conditionalFormatting sqref="B6:E21">
    <cfRule type="expression" dxfId="427" priority="31" stopIfTrue="1">
      <formula>MOD(ROW(),2)=0</formula>
    </cfRule>
    <cfRule type="expression" dxfId="426" priority="32" stopIfTrue="1">
      <formula>MOD(ROW(),2)&lt;&gt;0</formula>
    </cfRule>
  </conditionalFormatting>
  <conditionalFormatting sqref="A17:A20">
    <cfRule type="expression" dxfId="425" priority="21" stopIfTrue="1">
      <formula>MOD(ROW(),2)=0</formula>
    </cfRule>
    <cfRule type="expression" dxfId="424" priority="22" stopIfTrue="1">
      <formula>MOD(ROW(),2)&lt;&gt;0</formula>
    </cfRule>
  </conditionalFormatting>
  <conditionalFormatting sqref="B17:B18 B20:B21">
    <cfRule type="expression" dxfId="423" priority="23" stopIfTrue="1">
      <formula>MOD(ROW(),2)=0</formula>
    </cfRule>
    <cfRule type="expression" dxfId="422" priority="24" stopIfTrue="1">
      <formula>MOD(ROW(),2)&lt;&gt;0</formula>
    </cfRule>
  </conditionalFormatting>
  <conditionalFormatting sqref="A26:A76">
    <cfRule type="expression" dxfId="421" priority="15" stopIfTrue="1">
      <formula>MOD(ROW(),2)=0</formula>
    </cfRule>
    <cfRule type="expression" dxfId="420" priority="16" stopIfTrue="1">
      <formula>MOD(ROW(),2)&lt;&gt;0</formula>
    </cfRule>
  </conditionalFormatting>
  <conditionalFormatting sqref="B26:E76">
    <cfRule type="expression" dxfId="419" priority="17" stopIfTrue="1">
      <formula>MOD(ROW(),2)=0</formula>
    </cfRule>
    <cfRule type="expression" dxfId="418" priority="18" stopIfTrue="1">
      <formula>MOD(ROW(),2)&lt;&gt;0</formula>
    </cfRule>
  </conditionalFormatting>
  <conditionalFormatting sqref="B19">
    <cfRule type="expression" dxfId="417" priority="13" stopIfTrue="1">
      <formula>MOD(ROW(),2)=0</formula>
    </cfRule>
    <cfRule type="expression" dxfId="416" priority="14" stopIfTrue="1">
      <formula>MOD(ROW(),2)&lt;&gt;0</formula>
    </cfRule>
  </conditionalFormatting>
  <conditionalFormatting sqref="A21">
    <cfRule type="expression" dxfId="415" priority="1" stopIfTrue="1">
      <formula>MOD(ROW(),2)=0</formula>
    </cfRule>
    <cfRule type="expression" dxfId="414" priority="2" stopIfTrue="1">
      <formula>MOD(ROW(),2)&lt;&gt;0</formula>
    </cfRule>
  </conditionalFormatting>
  <hyperlinks>
    <hyperlink ref="B24" location="Assumptions!A1" display="Assumptions" xr:uid="{D210F281-FC75-4496-B6B6-FE5C045BBD78}"/>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sheetPr codeName="Sheet88"/>
  <dimension ref="A1:I76"/>
  <sheetViews>
    <sheetView showGridLines="0" zoomScale="85" zoomScaleNormal="85" workbookViewId="0">
      <selection activeCell="B18" sqref="B18"/>
    </sheetView>
  </sheetViews>
  <sheetFormatPr defaultColWidth="10" defaultRowHeight="12.5" x14ac:dyDescent="0.25"/>
  <cols>
    <col min="1" max="1" width="31.81640625" style="28" customWidth="1"/>
    <col min="2" max="5" width="22.81640625" style="28" customWidth="1"/>
    <col min="6" max="16384" width="10" style="28"/>
  </cols>
  <sheetData>
    <row r="1" spans="1:9" ht="20" x14ac:dyDescent="0.4">
      <c r="A1" s="40" t="s">
        <v>227</v>
      </c>
      <c r="B1" s="41"/>
      <c r="C1" s="41"/>
      <c r="D1" s="41"/>
      <c r="E1" s="41"/>
      <c r="F1" s="41"/>
      <c r="G1" s="41"/>
      <c r="H1" s="41"/>
      <c r="I1" s="41"/>
    </row>
    <row r="2" spans="1:9" ht="15.5" x14ac:dyDescent="0.35">
      <c r="A2" s="42" t="str">
        <f>IF(title="&gt; Enter workbook title here","Enter workbook title in Cover sheet",title)</f>
        <v>Fire Northern Ireland - Consolidated Factor Spreadsheet</v>
      </c>
      <c r="B2" s="43"/>
      <c r="C2" s="43"/>
      <c r="D2" s="43"/>
      <c r="E2" s="43"/>
      <c r="F2" s="43"/>
      <c r="G2" s="43"/>
      <c r="H2" s="43"/>
      <c r="I2" s="43"/>
    </row>
    <row r="3" spans="1:9" ht="15.5" x14ac:dyDescent="0.35">
      <c r="A3" s="44" t="str">
        <f>TABLE_FACTOR_TYPE_1&amp;" - x-"&amp;TABLE_SERIES_NUMBER_1</f>
        <v>Scheme pays AA - x-608</v>
      </c>
      <c r="B3" s="43"/>
      <c r="C3" s="43"/>
      <c r="D3" s="43"/>
      <c r="E3" s="43"/>
      <c r="F3" s="43"/>
      <c r="G3" s="43"/>
      <c r="H3" s="43"/>
      <c r="I3" s="43"/>
    </row>
    <row r="4" spans="1:9" x14ac:dyDescent="0.25">
      <c r="A4" s="45"/>
    </row>
    <row r="6" spans="1:9" ht="13" x14ac:dyDescent="0.3">
      <c r="A6" s="75" t="s">
        <v>562</v>
      </c>
      <c r="B6" s="159" t="s">
        <v>563</v>
      </c>
      <c r="C6" s="159"/>
      <c r="D6" s="159"/>
      <c r="E6" s="159"/>
    </row>
    <row r="7" spans="1:9" x14ac:dyDescent="0.25">
      <c r="A7" s="77" t="s">
        <v>305</v>
      </c>
      <c r="B7" s="159" t="s">
        <v>319</v>
      </c>
      <c r="C7" s="159"/>
      <c r="D7" s="159"/>
      <c r="E7" s="159"/>
    </row>
    <row r="8" spans="1:9" x14ac:dyDescent="0.25">
      <c r="A8" s="77" t="s">
        <v>306</v>
      </c>
      <c r="B8" s="159">
        <v>2015</v>
      </c>
      <c r="C8" s="159"/>
      <c r="D8" s="159"/>
      <c r="E8" s="159"/>
    </row>
    <row r="9" spans="1:9" x14ac:dyDescent="0.25">
      <c r="A9" s="77" t="s">
        <v>307</v>
      </c>
      <c r="B9" s="159" t="s">
        <v>482</v>
      </c>
      <c r="C9" s="159"/>
      <c r="D9" s="159"/>
      <c r="E9" s="159"/>
    </row>
    <row r="10" spans="1:9" x14ac:dyDescent="0.25">
      <c r="A10" s="77" t="s">
        <v>233</v>
      </c>
      <c r="B10" s="159" t="s">
        <v>493</v>
      </c>
      <c r="C10" s="159"/>
      <c r="D10" s="159"/>
      <c r="E10" s="159"/>
    </row>
    <row r="11" spans="1:9" x14ac:dyDescent="0.25">
      <c r="A11" s="77" t="s">
        <v>308</v>
      </c>
      <c r="B11" s="159" t="s">
        <v>329</v>
      </c>
      <c r="C11" s="159"/>
      <c r="D11" s="159"/>
      <c r="E11" s="159"/>
    </row>
    <row r="12" spans="1:9" x14ac:dyDescent="0.25">
      <c r="A12" s="77" t="s">
        <v>309</v>
      </c>
      <c r="B12" s="159" t="s">
        <v>485</v>
      </c>
      <c r="C12" s="159"/>
      <c r="D12" s="159"/>
      <c r="E12" s="159"/>
    </row>
    <row r="13" spans="1:9" x14ac:dyDescent="0.25">
      <c r="A13" s="77" t="s">
        <v>570</v>
      </c>
      <c r="B13" s="159">
        <v>0</v>
      </c>
      <c r="C13" s="159"/>
      <c r="D13" s="159"/>
      <c r="E13" s="159"/>
    </row>
    <row r="14" spans="1:9" x14ac:dyDescent="0.25">
      <c r="A14" s="77" t="s">
        <v>311</v>
      </c>
      <c r="B14" s="159">
        <v>608</v>
      </c>
      <c r="C14" s="159"/>
      <c r="D14" s="159"/>
      <c r="E14" s="159"/>
    </row>
    <row r="15" spans="1:9" x14ac:dyDescent="0.25">
      <c r="A15" s="77" t="s">
        <v>573</v>
      </c>
      <c r="B15" s="159" t="s">
        <v>495</v>
      </c>
      <c r="C15" s="159"/>
      <c r="D15" s="159"/>
      <c r="E15" s="159"/>
    </row>
    <row r="16" spans="1:9" x14ac:dyDescent="0.25">
      <c r="A16" s="77" t="s">
        <v>313</v>
      </c>
      <c r="B16" s="159" t="s">
        <v>331</v>
      </c>
      <c r="C16" s="159"/>
      <c r="D16" s="159"/>
      <c r="E16" s="159"/>
    </row>
    <row r="17" spans="1:5" x14ac:dyDescent="0.25">
      <c r="A17" s="77" t="s">
        <v>642</v>
      </c>
      <c r="B17" s="159"/>
      <c r="C17" s="159"/>
      <c r="D17" s="159"/>
      <c r="E17" s="159"/>
    </row>
    <row r="18" spans="1:5" x14ac:dyDescent="0.25">
      <c r="A18" s="77" t="s">
        <v>315</v>
      </c>
      <c r="B18" s="161">
        <v>45135</v>
      </c>
      <c r="C18" s="159"/>
      <c r="D18" s="159"/>
      <c r="E18" s="159"/>
    </row>
    <row r="19" spans="1:5" x14ac:dyDescent="0.25">
      <c r="A19" s="77" t="s">
        <v>316</v>
      </c>
      <c r="B19" s="161">
        <v>45135</v>
      </c>
      <c r="C19" s="159"/>
      <c r="D19" s="159"/>
      <c r="E19" s="159"/>
    </row>
    <row r="20" spans="1:5" x14ac:dyDescent="0.25">
      <c r="A20" s="77" t="s">
        <v>317</v>
      </c>
      <c r="B20" s="159" t="s">
        <v>327</v>
      </c>
      <c r="C20" s="159"/>
      <c r="D20" s="159"/>
      <c r="E20" s="159"/>
    </row>
    <row r="21" spans="1:5" x14ac:dyDescent="0.25">
      <c r="A21" s="77" t="s">
        <v>318</v>
      </c>
      <c r="B21" s="159" t="s">
        <v>328</v>
      </c>
      <c r="C21" s="159"/>
      <c r="D21" s="159"/>
      <c r="E21" s="159"/>
    </row>
    <row r="23" spans="1:5" x14ac:dyDescent="0.25">
      <c r="B23" s="91" t="str">
        <f>HYPERLINK("#'Factor List'!A1","Back to Factor List")</f>
        <v>Back to Factor List</v>
      </c>
    </row>
    <row r="24" spans="1:5" x14ac:dyDescent="0.25">
      <c r="B24" s="91" t="s">
        <v>240</v>
      </c>
    </row>
    <row r="25" spans="1:5" x14ac:dyDescent="0.25">
      <c r="B25" s="91"/>
    </row>
    <row r="26" spans="1:5" ht="13" x14ac:dyDescent="0.25">
      <c r="A26" s="87" t="s">
        <v>643</v>
      </c>
      <c r="B26" s="87" t="s">
        <v>663</v>
      </c>
      <c r="C26" s="87" t="s">
        <v>664</v>
      </c>
      <c r="D26" s="87" t="s">
        <v>665</v>
      </c>
      <c r="E26" s="87" t="s">
        <v>666</v>
      </c>
    </row>
    <row r="27" spans="1:5" x14ac:dyDescent="0.25">
      <c r="A27" s="88">
        <v>18</v>
      </c>
      <c r="B27" s="89">
        <v>8.64</v>
      </c>
      <c r="C27" s="89">
        <v>8.2100000000000009</v>
      </c>
      <c r="D27" s="89">
        <v>7.8</v>
      </c>
      <c r="E27" s="89">
        <v>7.4</v>
      </c>
    </row>
    <row r="28" spans="1:5" x14ac:dyDescent="0.25">
      <c r="A28" s="88">
        <v>19</v>
      </c>
      <c r="B28" s="89">
        <v>8.76</v>
      </c>
      <c r="C28" s="89">
        <v>8.33</v>
      </c>
      <c r="D28" s="89">
        <v>7.91</v>
      </c>
      <c r="E28" s="89">
        <v>7.5</v>
      </c>
    </row>
    <row r="29" spans="1:5" x14ac:dyDescent="0.25">
      <c r="A29" s="88">
        <v>20</v>
      </c>
      <c r="B29" s="89">
        <v>8.8800000000000008</v>
      </c>
      <c r="C29" s="89">
        <v>8.44</v>
      </c>
      <c r="D29" s="89">
        <v>8.02</v>
      </c>
      <c r="E29" s="89">
        <v>7.6</v>
      </c>
    </row>
    <row r="30" spans="1:5" x14ac:dyDescent="0.25">
      <c r="A30" s="88">
        <v>21</v>
      </c>
      <c r="B30" s="89">
        <v>9</v>
      </c>
      <c r="C30" s="89">
        <v>8.56</v>
      </c>
      <c r="D30" s="89">
        <v>8.1199999999999992</v>
      </c>
      <c r="E30" s="89">
        <v>7.7</v>
      </c>
    </row>
    <row r="31" spans="1:5" x14ac:dyDescent="0.25">
      <c r="A31" s="88">
        <v>22</v>
      </c>
      <c r="B31" s="89">
        <v>9.1300000000000008</v>
      </c>
      <c r="C31" s="89">
        <v>8.68</v>
      </c>
      <c r="D31" s="89">
        <v>8.24</v>
      </c>
      <c r="E31" s="89">
        <v>7.81</v>
      </c>
    </row>
    <row r="32" spans="1:5" x14ac:dyDescent="0.25">
      <c r="A32" s="88">
        <v>23</v>
      </c>
      <c r="B32" s="89">
        <v>9.25</v>
      </c>
      <c r="C32" s="89">
        <v>8.8000000000000007</v>
      </c>
      <c r="D32" s="89">
        <v>8.35</v>
      </c>
      <c r="E32" s="89">
        <v>7.91</v>
      </c>
    </row>
    <row r="33" spans="1:5" x14ac:dyDescent="0.25">
      <c r="A33" s="88">
        <v>24</v>
      </c>
      <c r="B33" s="89">
        <v>9.3800000000000008</v>
      </c>
      <c r="C33" s="89">
        <v>8.92</v>
      </c>
      <c r="D33" s="89">
        <v>8.4600000000000009</v>
      </c>
      <c r="E33" s="89">
        <v>8.02</v>
      </c>
    </row>
    <row r="34" spans="1:5" x14ac:dyDescent="0.25">
      <c r="A34" s="88">
        <v>25</v>
      </c>
      <c r="B34" s="89">
        <v>9.51</v>
      </c>
      <c r="C34" s="89">
        <v>9.0399999999999991</v>
      </c>
      <c r="D34" s="89">
        <v>8.58</v>
      </c>
      <c r="E34" s="89">
        <v>8.1199999999999992</v>
      </c>
    </row>
    <row r="35" spans="1:5" x14ac:dyDescent="0.25">
      <c r="A35" s="88">
        <v>26</v>
      </c>
      <c r="B35" s="89">
        <v>9.65</v>
      </c>
      <c r="C35" s="89">
        <v>9.16</v>
      </c>
      <c r="D35" s="89">
        <v>8.69</v>
      </c>
      <c r="E35" s="89">
        <v>8.23</v>
      </c>
    </row>
    <row r="36" spans="1:5" x14ac:dyDescent="0.25">
      <c r="A36" s="88">
        <v>27</v>
      </c>
      <c r="B36" s="89">
        <v>9.7799999999999994</v>
      </c>
      <c r="C36" s="89">
        <v>9.2899999999999991</v>
      </c>
      <c r="D36" s="89">
        <v>8.81</v>
      </c>
      <c r="E36" s="89">
        <v>8.35</v>
      </c>
    </row>
    <row r="37" spans="1:5" x14ac:dyDescent="0.25">
      <c r="A37" s="88">
        <v>28</v>
      </c>
      <c r="B37" s="89">
        <v>9.92</v>
      </c>
      <c r="C37" s="89">
        <v>9.42</v>
      </c>
      <c r="D37" s="89">
        <v>8.93</v>
      </c>
      <c r="E37" s="89">
        <v>8.4600000000000009</v>
      </c>
    </row>
    <row r="38" spans="1:5" x14ac:dyDescent="0.25">
      <c r="A38" s="88">
        <v>29</v>
      </c>
      <c r="B38" s="89">
        <v>10.050000000000001</v>
      </c>
      <c r="C38" s="89">
        <v>9.5500000000000007</v>
      </c>
      <c r="D38" s="89">
        <v>9.06</v>
      </c>
      <c r="E38" s="89">
        <v>8.57</v>
      </c>
    </row>
    <row r="39" spans="1:5" x14ac:dyDescent="0.25">
      <c r="A39" s="88">
        <v>30</v>
      </c>
      <c r="B39" s="89">
        <v>10.199999999999999</v>
      </c>
      <c r="C39" s="89">
        <v>9.68</v>
      </c>
      <c r="D39" s="89">
        <v>9.18</v>
      </c>
      <c r="E39" s="89">
        <v>8.69</v>
      </c>
    </row>
    <row r="40" spans="1:5" x14ac:dyDescent="0.25">
      <c r="A40" s="88">
        <v>31</v>
      </c>
      <c r="B40" s="89">
        <v>10.34</v>
      </c>
      <c r="C40" s="89">
        <v>9.82</v>
      </c>
      <c r="D40" s="89">
        <v>9.31</v>
      </c>
      <c r="E40" s="89">
        <v>8.81</v>
      </c>
    </row>
    <row r="41" spans="1:5" x14ac:dyDescent="0.25">
      <c r="A41" s="88">
        <v>32</v>
      </c>
      <c r="B41" s="89">
        <v>10.49</v>
      </c>
      <c r="C41" s="89">
        <v>9.9499999999999993</v>
      </c>
      <c r="D41" s="89">
        <v>9.43</v>
      </c>
      <c r="E41" s="89">
        <v>8.93</v>
      </c>
    </row>
    <row r="42" spans="1:5" x14ac:dyDescent="0.25">
      <c r="A42" s="88">
        <v>33</v>
      </c>
      <c r="B42" s="89">
        <v>10.63</v>
      </c>
      <c r="C42" s="89">
        <v>10.09</v>
      </c>
      <c r="D42" s="89">
        <v>9.57</v>
      </c>
      <c r="E42" s="89">
        <v>9.0500000000000007</v>
      </c>
    </row>
    <row r="43" spans="1:5" x14ac:dyDescent="0.25">
      <c r="A43" s="88">
        <v>34</v>
      </c>
      <c r="B43" s="89">
        <v>10.78</v>
      </c>
      <c r="C43" s="89">
        <v>10.24</v>
      </c>
      <c r="D43" s="89">
        <v>9.6999999999999993</v>
      </c>
      <c r="E43" s="89">
        <v>9.17</v>
      </c>
    </row>
    <row r="44" spans="1:5" x14ac:dyDescent="0.25">
      <c r="A44" s="88">
        <v>35</v>
      </c>
      <c r="B44" s="89">
        <v>10.94</v>
      </c>
      <c r="C44" s="89">
        <v>10.38</v>
      </c>
      <c r="D44" s="89">
        <v>9.83</v>
      </c>
      <c r="E44" s="89">
        <v>9.3000000000000007</v>
      </c>
    </row>
    <row r="45" spans="1:5" x14ac:dyDescent="0.25">
      <c r="A45" s="88">
        <v>36</v>
      </c>
      <c r="B45" s="89">
        <v>11.09</v>
      </c>
      <c r="C45" s="89">
        <v>10.53</v>
      </c>
      <c r="D45" s="89">
        <v>9.9700000000000006</v>
      </c>
      <c r="E45" s="89">
        <v>9.43</v>
      </c>
    </row>
    <row r="46" spans="1:5" x14ac:dyDescent="0.25">
      <c r="A46" s="88">
        <v>37</v>
      </c>
      <c r="B46" s="89">
        <v>11.25</v>
      </c>
      <c r="C46" s="89">
        <v>10.68</v>
      </c>
      <c r="D46" s="89">
        <v>10.11</v>
      </c>
      <c r="E46" s="89">
        <v>9.56</v>
      </c>
    </row>
    <row r="47" spans="1:5" x14ac:dyDescent="0.25">
      <c r="A47" s="88">
        <v>38</v>
      </c>
      <c r="B47" s="89">
        <v>11.42</v>
      </c>
      <c r="C47" s="89">
        <v>10.83</v>
      </c>
      <c r="D47" s="89">
        <v>10.25</v>
      </c>
      <c r="E47" s="89">
        <v>9.69</v>
      </c>
    </row>
    <row r="48" spans="1:5" x14ac:dyDescent="0.25">
      <c r="A48" s="88">
        <v>39</v>
      </c>
      <c r="B48" s="89">
        <v>11.58</v>
      </c>
      <c r="C48" s="89">
        <v>10.98</v>
      </c>
      <c r="D48" s="89">
        <v>10.4</v>
      </c>
      <c r="E48" s="89">
        <v>9.83</v>
      </c>
    </row>
    <row r="49" spans="1:5" x14ac:dyDescent="0.25">
      <c r="A49" s="88">
        <v>40</v>
      </c>
      <c r="B49" s="89">
        <v>11.75</v>
      </c>
      <c r="C49" s="89">
        <v>11.14</v>
      </c>
      <c r="D49" s="89">
        <v>10.54</v>
      </c>
      <c r="E49" s="89">
        <v>9.9600000000000009</v>
      </c>
    </row>
    <row r="50" spans="1:5" x14ac:dyDescent="0.25">
      <c r="A50" s="88">
        <v>41</v>
      </c>
      <c r="B50" s="89">
        <v>11.92</v>
      </c>
      <c r="C50" s="89">
        <v>11.3</v>
      </c>
      <c r="D50" s="89">
        <v>10.7</v>
      </c>
      <c r="E50" s="89">
        <v>10.1</v>
      </c>
    </row>
    <row r="51" spans="1:5" x14ac:dyDescent="0.25">
      <c r="A51" s="88">
        <v>42</v>
      </c>
      <c r="B51" s="89">
        <v>12.09</v>
      </c>
      <c r="C51" s="89">
        <v>11.46</v>
      </c>
      <c r="D51" s="89">
        <v>10.85</v>
      </c>
      <c r="E51" s="89">
        <v>10.25</v>
      </c>
    </row>
    <row r="52" spans="1:5" x14ac:dyDescent="0.25">
      <c r="A52" s="88">
        <v>43</v>
      </c>
      <c r="B52" s="89">
        <v>12.27</v>
      </c>
      <c r="C52" s="89">
        <v>11.63</v>
      </c>
      <c r="D52" s="89">
        <v>11.01</v>
      </c>
      <c r="E52" s="89">
        <v>10.39</v>
      </c>
    </row>
    <row r="53" spans="1:5" x14ac:dyDescent="0.25">
      <c r="A53" s="88">
        <v>44</v>
      </c>
      <c r="B53" s="89">
        <v>12.46</v>
      </c>
      <c r="C53" s="89">
        <v>11.8</v>
      </c>
      <c r="D53" s="89">
        <v>11.17</v>
      </c>
      <c r="E53" s="89">
        <v>10.54</v>
      </c>
    </row>
    <row r="54" spans="1:5" x14ac:dyDescent="0.25">
      <c r="A54" s="88">
        <v>45</v>
      </c>
      <c r="B54" s="89">
        <v>12.64</v>
      </c>
      <c r="C54" s="89">
        <v>11.98</v>
      </c>
      <c r="D54" s="89">
        <v>11.33</v>
      </c>
      <c r="E54" s="89">
        <v>10.7</v>
      </c>
    </row>
    <row r="55" spans="1:5" x14ac:dyDescent="0.25">
      <c r="A55" s="88">
        <v>46</v>
      </c>
      <c r="B55" s="89">
        <v>12.83</v>
      </c>
      <c r="C55" s="89">
        <v>12.16</v>
      </c>
      <c r="D55" s="89">
        <v>11.5</v>
      </c>
      <c r="E55" s="89">
        <v>10.85</v>
      </c>
    </row>
    <row r="56" spans="1:5" x14ac:dyDescent="0.25">
      <c r="A56" s="88">
        <v>47</v>
      </c>
      <c r="B56" s="89">
        <v>13.03</v>
      </c>
      <c r="C56" s="89">
        <v>12.34</v>
      </c>
      <c r="D56" s="89">
        <v>11.67</v>
      </c>
      <c r="E56" s="89">
        <v>11.01</v>
      </c>
    </row>
    <row r="57" spans="1:5" x14ac:dyDescent="0.25">
      <c r="A57" s="88">
        <v>48</v>
      </c>
      <c r="B57" s="89">
        <v>13.23</v>
      </c>
      <c r="C57" s="89">
        <v>12.53</v>
      </c>
      <c r="D57" s="89">
        <v>11.84</v>
      </c>
      <c r="E57" s="89">
        <v>11.18</v>
      </c>
    </row>
    <row r="58" spans="1:5" x14ac:dyDescent="0.25">
      <c r="A58" s="88">
        <v>49</v>
      </c>
      <c r="B58" s="89">
        <v>13.44</v>
      </c>
      <c r="C58" s="89">
        <v>12.72</v>
      </c>
      <c r="D58" s="89">
        <v>12.02</v>
      </c>
      <c r="E58" s="89">
        <v>11.34</v>
      </c>
    </row>
    <row r="59" spans="1:5" x14ac:dyDescent="0.25">
      <c r="A59" s="88">
        <v>50</v>
      </c>
      <c r="B59" s="89">
        <v>13.65</v>
      </c>
      <c r="C59" s="89">
        <v>12.92</v>
      </c>
      <c r="D59" s="89">
        <v>12.21</v>
      </c>
      <c r="E59" s="89">
        <v>11.52</v>
      </c>
    </row>
    <row r="60" spans="1:5" x14ac:dyDescent="0.25">
      <c r="A60" s="88">
        <v>51</v>
      </c>
      <c r="B60" s="89">
        <v>13.86</v>
      </c>
      <c r="C60" s="89">
        <v>13.12</v>
      </c>
      <c r="D60" s="89">
        <v>12.4</v>
      </c>
      <c r="E60" s="89">
        <v>11.69</v>
      </c>
    </row>
    <row r="61" spans="1:5" x14ac:dyDescent="0.25">
      <c r="A61" s="88">
        <v>52</v>
      </c>
      <c r="B61" s="89">
        <v>14.08</v>
      </c>
      <c r="C61" s="89">
        <v>13.33</v>
      </c>
      <c r="D61" s="89">
        <v>12.59</v>
      </c>
      <c r="E61" s="89">
        <v>11.87</v>
      </c>
    </row>
    <row r="62" spans="1:5" x14ac:dyDescent="0.25">
      <c r="A62" s="88">
        <v>53</v>
      </c>
      <c r="B62" s="89">
        <v>14.31</v>
      </c>
      <c r="C62" s="89">
        <v>13.54</v>
      </c>
      <c r="D62" s="89">
        <v>12.79</v>
      </c>
      <c r="E62" s="89">
        <v>12.06</v>
      </c>
    </row>
    <row r="63" spans="1:5" x14ac:dyDescent="0.25">
      <c r="A63" s="88">
        <v>54</v>
      </c>
      <c r="B63" s="89">
        <v>14.55</v>
      </c>
      <c r="C63" s="89">
        <v>13.76</v>
      </c>
      <c r="D63" s="89">
        <v>13</v>
      </c>
      <c r="E63" s="89">
        <v>12.25</v>
      </c>
    </row>
    <row r="64" spans="1:5" x14ac:dyDescent="0.25">
      <c r="A64" s="88">
        <v>55</v>
      </c>
      <c r="B64" s="89">
        <v>14.79</v>
      </c>
      <c r="C64" s="89">
        <v>13.99</v>
      </c>
      <c r="D64" s="89">
        <v>13.21</v>
      </c>
      <c r="E64" s="89">
        <v>12.45</v>
      </c>
    </row>
    <row r="65" spans="1:5" x14ac:dyDescent="0.25">
      <c r="A65" s="88">
        <v>56</v>
      </c>
      <c r="B65" s="89">
        <v>15.04</v>
      </c>
      <c r="C65" s="89">
        <v>14.22</v>
      </c>
      <c r="D65" s="89">
        <v>13.42</v>
      </c>
      <c r="E65" s="89">
        <v>12.65</v>
      </c>
    </row>
    <row r="66" spans="1:5" x14ac:dyDescent="0.25">
      <c r="A66" s="88">
        <v>57</v>
      </c>
      <c r="B66" s="89">
        <v>15.3</v>
      </c>
      <c r="C66" s="89">
        <v>14.46</v>
      </c>
      <c r="D66" s="89">
        <v>13.65</v>
      </c>
      <c r="E66" s="89">
        <v>12.86</v>
      </c>
    </row>
    <row r="67" spans="1:5" x14ac:dyDescent="0.25">
      <c r="A67" s="88">
        <v>58</v>
      </c>
      <c r="B67" s="89">
        <v>15.56</v>
      </c>
      <c r="C67" s="89">
        <v>14.71</v>
      </c>
      <c r="D67" s="89">
        <v>13.88</v>
      </c>
      <c r="E67" s="89">
        <v>13.08</v>
      </c>
    </row>
    <row r="68" spans="1:5" x14ac:dyDescent="0.25">
      <c r="A68" s="88">
        <v>59</v>
      </c>
      <c r="B68" s="89">
        <v>15.84</v>
      </c>
      <c r="C68" s="89">
        <v>14.97</v>
      </c>
      <c r="D68" s="89">
        <v>14.13</v>
      </c>
      <c r="E68" s="89">
        <v>13.3</v>
      </c>
    </row>
    <row r="69" spans="1:5" x14ac:dyDescent="0.25">
      <c r="A69" s="88">
        <v>60</v>
      </c>
      <c r="B69" s="89">
        <v>16.13</v>
      </c>
      <c r="C69" s="89">
        <v>15.24</v>
      </c>
      <c r="D69" s="89">
        <v>14.38</v>
      </c>
      <c r="E69" s="89">
        <v>13.54</v>
      </c>
    </row>
    <row r="70" spans="1:5" x14ac:dyDescent="0.25">
      <c r="A70" s="88">
        <v>61</v>
      </c>
      <c r="B70" s="89">
        <v>16.43</v>
      </c>
      <c r="C70" s="89">
        <v>15.53</v>
      </c>
      <c r="D70" s="89">
        <v>14.64</v>
      </c>
      <c r="E70" s="89">
        <v>13.78</v>
      </c>
    </row>
    <row r="71" spans="1:5" x14ac:dyDescent="0.25">
      <c r="A71" s="88">
        <v>62</v>
      </c>
      <c r="B71" s="89">
        <v>16.75</v>
      </c>
      <c r="C71" s="89">
        <v>15.82</v>
      </c>
      <c r="D71" s="89">
        <v>14.92</v>
      </c>
      <c r="E71" s="89">
        <v>14.04</v>
      </c>
    </row>
    <row r="72" spans="1:5" x14ac:dyDescent="0.25">
      <c r="A72" s="88">
        <v>63</v>
      </c>
      <c r="B72" s="89">
        <v>17.079999999999998</v>
      </c>
      <c r="C72" s="89">
        <v>16.13</v>
      </c>
      <c r="D72" s="89">
        <v>15.21</v>
      </c>
      <c r="E72" s="89">
        <v>14.31</v>
      </c>
    </row>
    <row r="73" spans="1:5" x14ac:dyDescent="0.25">
      <c r="A73" s="88">
        <v>64</v>
      </c>
      <c r="B73" s="89">
        <v>17.43</v>
      </c>
      <c r="C73" s="89">
        <v>16.46</v>
      </c>
      <c r="D73" s="89">
        <v>15.52</v>
      </c>
      <c r="E73" s="89">
        <v>14.6</v>
      </c>
    </row>
    <row r="74" spans="1:5" x14ac:dyDescent="0.25">
      <c r="A74" s="88">
        <v>65</v>
      </c>
      <c r="B74" s="89"/>
      <c r="C74" s="89">
        <v>16.82</v>
      </c>
      <c r="D74" s="89">
        <v>15.85</v>
      </c>
      <c r="E74" s="89">
        <v>14.9</v>
      </c>
    </row>
    <row r="75" spans="1:5" x14ac:dyDescent="0.25">
      <c r="A75" s="88">
        <v>66</v>
      </c>
      <c r="B75" s="89"/>
      <c r="C75" s="89"/>
      <c r="D75" s="89">
        <v>16.2</v>
      </c>
      <c r="E75" s="89">
        <v>15.23</v>
      </c>
    </row>
    <row r="76" spans="1:5" x14ac:dyDescent="0.25">
      <c r="A76" s="88">
        <v>67</v>
      </c>
      <c r="B76" s="89"/>
      <c r="C76" s="89"/>
      <c r="D76" s="89"/>
      <c r="E76" s="89">
        <v>15.58</v>
      </c>
    </row>
  </sheetData>
  <sheetProtection algorithmName="SHA-512" hashValue="ojAgGr7aui2ncaaO9A9pa8K2k6MTlaZEa1jKAgcWerYhMHeNR0G5OlY+9KKLd9eHQn0YxXTOrQTMTyT8SkJs6Q==" saltValue="mizMf1O6h2LRl0i/Nk82Ug==" spinCount="100000" sheet="1" objects="1" scenarios="1"/>
  <conditionalFormatting sqref="A6:A16">
    <cfRule type="expression" dxfId="413" priority="29" stopIfTrue="1">
      <formula>MOD(ROW(),2)=0</formula>
    </cfRule>
    <cfRule type="expression" dxfId="412" priority="30" stopIfTrue="1">
      <formula>MOD(ROW(),2)&lt;&gt;0</formula>
    </cfRule>
  </conditionalFormatting>
  <conditionalFormatting sqref="B6:E21">
    <cfRule type="expression" dxfId="411" priority="31" stopIfTrue="1">
      <formula>MOD(ROW(),2)=0</formula>
    </cfRule>
    <cfRule type="expression" dxfId="410" priority="32" stopIfTrue="1">
      <formula>MOD(ROW(),2)&lt;&gt;0</formula>
    </cfRule>
  </conditionalFormatting>
  <conditionalFormatting sqref="A17:A20">
    <cfRule type="expression" dxfId="409" priority="21" stopIfTrue="1">
      <formula>MOD(ROW(),2)=0</formula>
    </cfRule>
    <cfRule type="expression" dxfId="408" priority="22" stopIfTrue="1">
      <formula>MOD(ROW(),2)&lt;&gt;0</formula>
    </cfRule>
  </conditionalFormatting>
  <conditionalFormatting sqref="B17:B18 B20:B21">
    <cfRule type="expression" dxfId="407" priority="23" stopIfTrue="1">
      <formula>MOD(ROW(),2)=0</formula>
    </cfRule>
    <cfRule type="expression" dxfId="406" priority="24" stopIfTrue="1">
      <formula>MOD(ROW(),2)&lt;&gt;0</formula>
    </cfRule>
  </conditionalFormatting>
  <conditionalFormatting sqref="A26:A76">
    <cfRule type="expression" dxfId="405" priority="15" stopIfTrue="1">
      <formula>MOD(ROW(),2)=0</formula>
    </cfRule>
    <cfRule type="expression" dxfId="404" priority="16" stopIfTrue="1">
      <formula>MOD(ROW(),2)&lt;&gt;0</formula>
    </cfRule>
  </conditionalFormatting>
  <conditionalFormatting sqref="B26:E76">
    <cfRule type="expression" dxfId="403" priority="17" stopIfTrue="1">
      <formula>MOD(ROW(),2)=0</formula>
    </cfRule>
    <cfRule type="expression" dxfId="402" priority="18" stopIfTrue="1">
      <formula>MOD(ROW(),2)&lt;&gt;0</formula>
    </cfRule>
  </conditionalFormatting>
  <conditionalFormatting sqref="B19">
    <cfRule type="expression" dxfId="401" priority="13" stopIfTrue="1">
      <formula>MOD(ROW(),2)=0</formula>
    </cfRule>
    <cfRule type="expression" dxfId="400" priority="14" stopIfTrue="1">
      <formula>MOD(ROW(),2)&lt;&gt;0</formula>
    </cfRule>
  </conditionalFormatting>
  <conditionalFormatting sqref="A21">
    <cfRule type="expression" dxfId="399" priority="1" stopIfTrue="1">
      <formula>MOD(ROW(),2)=0</formula>
    </cfRule>
    <cfRule type="expression" dxfId="398" priority="2" stopIfTrue="1">
      <formula>MOD(ROW(),2)&lt;&gt;0</formula>
    </cfRule>
  </conditionalFormatting>
  <hyperlinks>
    <hyperlink ref="B24" location="Assumptions!A1" display="Assumptions" xr:uid="{6ACDD289-B007-4F60-A1EC-CFFEAA00C077}"/>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sheetPr codeName="Sheet89"/>
  <dimension ref="A1:I47"/>
  <sheetViews>
    <sheetView showGridLines="0" zoomScale="85" zoomScaleNormal="85" workbookViewId="0">
      <selection activeCell="B18" sqref="B18"/>
    </sheetView>
  </sheetViews>
  <sheetFormatPr defaultColWidth="10" defaultRowHeight="12.5" x14ac:dyDescent="0.25"/>
  <cols>
    <col min="1" max="1" width="31.81640625" style="28" customWidth="1"/>
    <col min="2" max="2" width="22.81640625" style="28" customWidth="1"/>
    <col min="3" max="3" width="29.54296875" style="28" customWidth="1"/>
    <col min="4" max="4" width="10" style="28" customWidth="1"/>
    <col min="5" max="16384" width="10" style="28"/>
  </cols>
  <sheetData>
    <row r="1" spans="1:9" ht="20" x14ac:dyDescent="0.4">
      <c r="A1" s="40" t="s">
        <v>227</v>
      </c>
      <c r="B1" s="41"/>
      <c r="C1" s="41"/>
      <c r="D1" s="41"/>
      <c r="E1" s="41"/>
      <c r="F1" s="41"/>
      <c r="G1" s="41"/>
      <c r="H1" s="41"/>
      <c r="I1" s="41"/>
    </row>
    <row r="2" spans="1:9" ht="15.5" x14ac:dyDescent="0.35">
      <c r="A2" s="42" t="str">
        <f>IF(title="&gt; Enter workbook title here","Enter workbook title in Cover sheet",title)</f>
        <v>Fire Northern Ireland - Consolidated Factor Spreadsheet</v>
      </c>
      <c r="B2" s="43"/>
      <c r="C2" s="43"/>
      <c r="D2" s="43"/>
      <c r="E2" s="43"/>
      <c r="F2" s="43"/>
      <c r="G2" s="43"/>
      <c r="H2" s="43"/>
      <c r="I2" s="43"/>
    </row>
    <row r="3" spans="1:9" ht="15.5" x14ac:dyDescent="0.35">
      <c r="A3" s="44" t="str">
        <f>TABLE_FACTOR_TYPE_1&amp;" - x-"&amp;TABLE_SERIES_NUMBER_1</f>
        <v>Scheme pays AA - x-609</v>
      </c>
      <c r="B3" s="43"/>
      <c r="C3" s="43"/>
      <c r="D3" s="43"/>
      <c r="E3" s="43"/>
      <c r="F3" s="43"/>
      <c r="G3" s="43"/>
      <c r="H3" s="43"/>
      <c r="I3" s="43"/>
    </row>
    <row r="4" spans="1:9" x14ac:dyDescent="0.25">
      <c r="A4" s="45"/>
    </row>
    <row r="6" spans="1:9" ht="13" x14ac:dyDescent="0.3">
      <c r="A6" s="75" t="s">
        <v>562</v>
      </c>
      <c r="B6" s="159" t="s">
        <v>563</v>
      </c>
      <c r="C6" s="159"/>
    </row>
    <row r="7" spans="1:9" x14ac:dyDescent="0.25">
      <c r="A7" s="77" t="s">
        <v>305</v>
      </c>
      <c r="B7" s="159" t="s">
        <v>319</v>
      </c>
      <c r="C7" s="159"/>
    </row>
    <row r="8" spans="1:9" x14ac:dyDescent="0.25">
      <c r="A8" s="77" t="s">
        <v>306</v>
      </c>
      <c r="B8" s="159">
        <v>2015</v>
      </c>
      <c r="C8" s="159"/>
    </row>
    <row r="9" spans="1:9" x14ac:dyDescent="0.25">
      <c r="A9" s="77" t="s">
        <v>307</v>
      </c>
      <c r="B9" s="159" t="s">
        <v>482</v>
      </c>
      <c r="C9" s="159"/>
    </row>
    <row r="10" spans="1:9" x14ac:dyDescent="0.25">
      <c r="A10" s="77" t="s">
        <v>233</v>
      </c>
      <c r="B10" s="159" t="s">
        <v>496</v>
      </c>
      <c r="C10" s="159"/>
    </row>
    <row r="11" spans="1:9" x14ac:dyDescent="0.25">
      <c r="A11" s="77" t="s">
        <v>308</v>
      </c>
      <c r="B11" s="159" t="s">
        <v>484</v>
      </c>
      <c r="C11" s="159"/>
    </row>
    <row r="12" spans="1:9" x14ac:dyDescent="0.25">
      <c r="A12" s="77" t="s">
        <v>309</v>
      </c>
      <c r="B12" s="159" t="s">
        <v>324</v>
      </c>
      <c r="C12" s="159"/>
    </row>
    <row r="13" spans="1:9" x14ac:dyDescent="0.25">
      <c r="A13" s="77" t="s">
        <v>570</v>
      </c>
      <c r="B13" s="159">
        <v>0</v>
      </c>
      <c r="C13" s="159"/>
    </row>
    <row r="14" spans="1:9" x14ac:dyDescent="0.25">
      <c r="A14" s="77" t="s">
        <v>311</v>
      </c>
      <c r="B14" s="159">
        <v>609</v>
      </c>
      <c r="C14" s="159"/>
    </row>
    <row r="15" spans="1:9" x14ac:dyDescent="0.25">
      <c r="A15" s="77" t="s">
        <v>573</v>
      </c>
      <c r="B15" s="159" t="s">
        <v>497</v>
      </c>
      <c r="C15" s="159"/>
    </row>
    <row r="16" spans="1:9" x14ac:dyDescent="0.25">
      <c r="A16" s="77" t="s">
        <v>313</v>
      </c>
      <c r="B16" s="159" t="s">
        <v>398</v>
      </c>
      <c r="C16" s="159"/>
    </row>
    <row r="17" spans="1:3" x14ac:dyDescent="0.25">
      <c r="A17" s="77" t="s">
        <v>642</v>
      </c>
      <c r="B17" s="159"/>
      <c r="C17" s="159"/>
    </row>
    <row r="18" spans="1:3" x14ac:dyDescent="0.25">
      <c r="A18" s="77" t="s">
        <v>315</v>
      </c>
      <c r="B18" s="161">
        <v>45135</v>
      </c>
      <c r="C18" s="159"/>
    </row>
    <row r="19" spans="1:3" x14ac:dyDescent="0.25">
      <c r="A19" s="77" t="s">
        <v>316</v>
      </c>
      <c r="B19" s="161">
        <v>45135</v>
      </c>
      <c r="C19" s="159"/>
    </row>
    <row r="20" spans="1:3" x14ac:dyDescent="0.25">
      <c r="A20" s="77" t="s">
        <v>317</v>
      </c>
      <c r="B20" s="159" t="s">
        <v>327</v>
      </c>
      <c r="C20" s="159"/>
    </row>
    <row r="21" spans="1:3" x14ac:dyDescent="0.25">
      <c r="A21" s="77" t="s">
        <v>318</v>
      </c>
      <c r="B21" s="159" t="s">
        <v>328</v>
      </c>
      <c r="C21" s="159"/>
    </row>
    <row r="23" spans="1:3" x14ac:dyDescent="0.25">
      <c r="B23" s="91" t="str">
        <f>HYPERLINK("#'Factor List'!A1","Back to Factor List")</f>
        <v>Back to Factor List</v>
      </c>
    </row>
    <row r="24" spans="1:3" x14ac:dyDescent="0.25">
      <c r="B24" s="91" t="s">
        <v>240</v>
      </c>
    </row>
    <row r="25" spans="1:3" x14ac:dyDescent="0.25">
      <c r="B25" s="91"/>
    </row>
    <row r="26" spans="1:3" ht="13" x14ac:dyDescent="0.25">
      <c r="A26" s="87" t="s">
        <v>643</v>
      </c>
      <c r="B26" s="87" t="s">
        <v>693</v>
      </c>
      <c r="C26" s="87" t="s">
        <v>694</v>
      </c>
    </row>
    <row r="27" spans="1:3" x14ac:dyDescent="0.25">
      <c r="A27" s="88">
        <v>55</v>
      </c>
      <c r="B27" s="89">
        <v>23.37</v>
      </c>
      <c r="C27" s="89">
        <v>23.37</v>
      </c>
    </row>
    <row r="28" spans="1:3" x14ac:dyDescent="0.25">
      <c r="A28" s="88">
        <v>56</v>
      </c>
      <c r="B28" s="89">
        <v>22.78</v>
      </c>
      <c r="C28" s="89">
        <v>22.78</v>
      </c>
    </row>
    <row r="29" spans="1:3" x14ac:dyDescent="0.25">
      <c r="A29" s="88">
        <v>57</v>
      </c>
      <c r="B29" s="89">
        <v>22.19</v>
      </c>
      <c r="C29" s="89">
        <v>22.19</v>
      </c>
    </row>
    <row r="30" spans="1:3" x14ac:dyDescent="0.25">
      <c r="A30" s="88">
        <v>58</v>
      </c>
      <c r="B30" s="89">
        <v>21.6</v>
      </c>
      <c r="C30" s="89">
        <v>21.6</v>
      </c>
    </row>
    <row r="31" spans="1:3" x14ac:dyDescent="0.25">
      <c r="A31" s="88">
        <v>59</v>
      </c>
      <c r="B31" s="89">
        <v>20.99</v>
      </c>
      <c r="C31" s="89">
        <v>20.99</v>
      </c>
    </row>
    <row r="32" spans="1:3" x14ac:dyDescent="0.25">
      <c r="A32" s="88">
        <v>60</v>
      </c>
      <c r="B32" s="89">
        <v>20.37</v>
      </c>
      <c r="C32" s="89">
        <v>20.37</v>
      </c>
    </row>
    <row r="33" spans="1:3" x14ac:dyDescent="0.25">
      <c r="A33" s="88">
        <v>61</v>
      </c>
      <c r="B33" s="89">
        <v>19.739999999999998</v>
      </c>
      <c r="C33" s="89">
        <v>19.739999999999998</v>
      </c>
    </row>
    <row r="34" spans="1:3" x14ac:dyDescent="0.25">
      <c r="A34" s="88">
        <v>62</v>
      </c>
      <c r="B34" s="89">
        <v>19.100000000000001</v>
      </c>
      <c r="C34" s="89">
        <v>19.100000000000001</v>
      </c>
    </row>
    <row r="35" spans="1:3" x14ac:dyDescent="0.25">
      <c r="A35" s="88">
        <v>63</v>
      </c>
      <c r="B35" s="89">
        <v>18.46</v>
      </c>
      <c r="C35" s="89">
        <v>18.46</v>
      </c>
    </row>
    <row r="36" spans="1:3" x14ac:dyDescent="0.25">
      <c r="A36" s="88">
        <v>64</v>
      </c>
      <c r="B36" s="89">
        <v>17.829999999999998</v>
      </c>
      <c r="C36" s="89">
        <v>17.829999999999998</v>
      </c>
    </row>
    <row r="37" spans="1:3" x14ac:dyDescent="0.25">
      <c r="A37" s="88">
        <v>65</v>
      </c>
      <c r="B37" s="89">
        <v>17.2</v>
      </c>
      <c r="C37" s="89">
        <v>17.2</v>
      </c>
    </row>
    <row r="38" spans="1:3" x14ac:dyDescent="0.25">
      <c r="A38" s="88">
        <v>66</v>
      </c>
      <c r="B38" s="89">
        <v>16.57</v>
      </c>
      <c r="C38" s="89">
        <v>16.57</v>
      </c>
    </row>
    <row r="39" spans="1:3" x14ac:dyDescent="0.25">
      <c r="A39" s="88">
        <v>67</v>
      </c>
      <c r="B39" s="89">
        <v>15.94</v>
      </c>
      <c r="C39" s="89">
        <v>15.94</v>
      </c>
    </row>
    <row r="40" spans="1:3" x14ac:dyDescent="0.25">
      <c r="A40" s="88">
        <v>68</v>
      </c>
      <c r="B40" s="89">
        <v>15.31</v>
      </c>
      <c r="C40" s="89">
        <v>15.31</v>
      </c>
    </row>
    <row r="41" spans="1:3" x14ac:dyDescent="0.25">
      <c r="A41" s="88">
        <v>69</v>
      </c>
      <c r="B41" s="89">
        <v>14.67</v>
      </c>
      <c r="C41" s="89">
        <v>14.67</v>
      </c>
    </row>
    <row r="42" spans="1:3" x14ac:dyDescent="0.25">
      <c r="A42" s="88">
        <v>70</v>
      </c>
      <c r="B42" s="89">
        <v>14.04</v>
      </c>
      <c r="C42" s="89">
        <v>14.04</v>
      </c>
    </row>
    <row r="43" spans="1:3" x14ac:dyDescent="0.25">
      <c r="A43" s="88">
        <v>71</v>
      </c>
      <c r="B43" s="89">
        <v>13.42</v>
      </c>
      <c r="C43" s="89">
        <v>13.42</v>
      </c>
    </row>
    <row r="44" spans="1:3" x14ac:dyDescent="0.25">
      <c r="A44" s="88">
        <v>72</v>
      </c>
      <c r="B44" s="89">
        <v>12.79</v>
      </c>
      <c r="C44" s="89">
        <v>12.79</v>
      </c>
    </row>
    <row r="45" spans="1:3" x14ac:dyDescent="0.25">
      <c r="A45" s="88">
        <v>73</v>
      </c>
      <c r="B45" s="89">
        <v>12.17</v>
      </c>
      <c r="C45" s="89">
        <v>12.17</v>
      </c>
    </row>
    <row r="46" spans="1:3" x14ac:dyDescent="0.25">
      <c r="A46" s="88">
        <v>74</v>
      </c>
      <c r="B46" s="89">
        <v>11.56</v>
      </c>
      <c r="C46" s="89">
        <v>11.56</v>
      </c>
    </row>
    <row r="47" spans="1:3" x14ac:dyDescent="0.25">
      <c r="A47" s="88">
        <v>75</v>
      </c>
      <c r="B47" s="89">
        <v>10.95</v>
      </c>
      <c r="C47" s="89">
        <v>10.95</v>
      </c>
    </row>
  </sheetData>
  <sheetProtection algorithmName="SHA-512" hashValue="6FJkqaE1UaDZGFEWzLj0q/gDCJawQ/9l6pbxFGB4EeLQ4siBi3SdLJaEZaeUCnazqMdY2Vz1ACYREy/UOC8ifA==" saltValue="KMXu4zGdk7pguyHF6By+QQ==" spinCount="100000" sheet="1" objects="1" scenarios="1"/>
  <conditionalFormatting sqref="A6:A16">
    <cfRule type="expression" dxfId="397" priority="29" stopIfTrue="1">
      <formula>MOD(ROW(),2)=0</formula>
    </cfRule>
    <cfRule type="expression" dxfId="396" priority="30" stopIfTrue="1">
      <formula>MOD(ROW(),2)&lt;&gt;0</formula>
    </cfRule>
  </conditionalFormatting>
  <conditionalFormatting sqref="B6:C21">
    <cfRule type="expression" dxfId="395" priority="31" stopIfTrue="1">
      <formula>MOD(ROW(),2)=0</formula>
    </cfRule>
    <cfRule type="expression" dxfId="394" priority="32" stopIfTrue="1">
      <formula>MOD(ROW(),2)&lt;&gt;0</formula>
    </cfRule>
  </conditionalFormatting>
  <conditionalFormatting sqref="A17:A20">
    <cfRule type="expression" dxfId="393" priority="21" stopIfTrue="1">
      <formula>MOD(ROW(),2)=0</formula>
    </cfRule>
    <cfRule type="expression" dxfId="392" priority="22" stopIfTrue="1">
      <formula>MOD(ROW(),2)&lt;&gt;0</formula>
    </cfRule>
  </conditionalFormatting>
  <conditionalFormatting sqref="B17:B18 B20:B21">
    <cfRule type="expression" dxfId="391" priority="23" stopIfTrue="1">
      <formula>MOD(ROW(),2)=0</formula>
    </cfRule>
    <cfRule type="expression" dxfId="390" priority="24" stopIfTrue="1">
      <formula>MOD(ROW(),2)&lt;&gt;0</formula>
    </cfRule>
  </conditionalFormatting>
  <conditionalFormatting sqref="A26:A47">
    <cfRule type="expression" dxfId="389" priority="15" stopIfTrue="1">
      <formula>MOD(ROW(),2)=0</formula>
    </cfRule>
    <cfRule type="expression" dxfId="388" priority="16" stopIfTrue="1">
      <formula>MOD(ROW(),2)&lt;&gt;0</formula>
    </cfRule>
  </conditionalFormatting>
  <conditionalFormatting sqref="B26:C47">
    <cfRule type="expression" dxfId="387" priority="17" stopIfTrue="1">
      <formula>MOD(ROW(),2)=0</formula>
    </cfRule>
    <cfRule type="expression" dxfId="386" priority="18" stopIfTrue="1">
      <formula>MOD(ROW(),2)&lt;&gt;0</formula>
    </cfRule>
  </conditionalFormatting>
  <conditionalFormatting sqref="B19">
    <cfRule type="expression" dxfId="385" priority="13" stopIfTrue="1">
      <formula>MOD(ROW(),2)=0</formula>
    </cfRule>
    <cfRule type="expression" dxfId="384" priority="14" stopIfTrue="1">
      <formula>MOD(ROW(),2)&lt;&gt;0</formula>
    </cfRule>
  </conditionalFormatting>
  <conditionalFormatting sqref="A21">
    <cfRule type="expression" dxfId="383" priority="1" stopIfTrue="1">
      <formula>MOD(ROW(),2)=0</formula>
    </cfRule>
    <cfRule type="expression" dxfId="382" priority="2" stopIfTrue="1">
      <formula>MOD(ROW(),2)&lt;&gt;0</formula>
    </cfRule>
  </conditionalFormatting>
  <hyperlinks>
    <hyperlink ref="B24" location="Assumptions!A1" display="Assumptions" xr:uid="{59FA8456-979C-4C8A-A245-3402E0F78FB3}"/>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sheetPr codeName="Sheet90"/>
  <dimension ref="A1:I82"/>
  <sheetViews>
    <sheetView showGridLines="0" zoomScale="85" zoomScaleNormal="85" workbookViewId="0">
      <selection activeCell="B18" sqref="B18"/>
    </sheetView>
  </sheetViews>
  <sheetFormatPr defaultColWidth="10" defaultRowHeight="12.5" x14ac:dyDescent="0.25"/>
  <cols>
    <col min="1" max="1" width="31.81640625" style="28" customWidth="1"/>
    <col min="2" max="2" width="22.81640625" style="28" customWidth="1"/>
    <col min="3" max="3" width="26.54296875" style="28" customWidth="1"/>
    <col min="4" max="4" width="10" style="28" customWidth="1"/>
    <col min="5" max="16384" width="10" style="28"/>
  </cols>
  <sheetData>
    <row r="1" spans="1:9" ht="20" x14ac:dyDescent="0.4">
      <c r="A1" s="40" t="s">
        <v>227</v>
      </c>
      <c r="B1" s="41"/>
      <c r="C1" s="41"/>
      <c r="D1" s="41"/>
      <c r="E1" s="41"/>
      <c r="F1" s="41"/>
      <c r="G1" s="41"/>
      <c r="H1" s="41"/>
      <c r="I1" s="41"/>
    </row>
    <row r="2" spans="1:9" ht="15.5" x14ac:dyDescent="0.35">
      <c r="A2" s="42" t="str">
        <f>IF(title="&gt; Enter workbook title here","Enter workbook title in Cover sheet",title)</f>
        <v>Fire Northern Ireland - Consolidated Factor Spreadsheet</v>
      </c>
      <c r="B2" s="43"/>
      <c r="C2" s="43"/>
      <c r="D2" s="43"/>
      <c r="E2" s="43"/>
      <c r="F2" s="43"/>
      <c r="G2" s="43"/>
      <c r="H2" s="43"/>
      <c r="I2" s="43"/>
    </row>
    <row r="3" spans="1:9" ht="15.5" x14ac:dyDescent="0.35">
      <c r="A3" s="44" t="str">
        <f>TABLE_FACTOR_TYPE_1&amp;" - x-"&amp;TABLE_SERIES_NUMBER_1</f>
        <v>Scheme pays AA - x-610</v>
      </c>
      <c r="B3" s="43"/>
      <c r="C3" s="43"/>
      <c r="D3" s="43"/>
      <c r="E3" s="43"/>
      <c r="F3" s="43"/>
      <c r="G3" s="43"/>
      <c r="H3" s="43"/>
      <c r="I3" s="43"/>
    </row>
    <row r="4" spans="1:9" x14ac:dyDescent="0.25">
      <c r="A4" s="45"/>
    </row>
    <row r="6" spans="1:9" ht="13" x14ac:dyDescent="0.3">
      <c r="A6" s="75" t="s">
        <v>562</v>
      </c>
      <c r="B6" s="159" t="s">
        <v>563</v>
      </c>
      <c r="C6" s="159"/>
    </row>
    <row r="7" spans="1:9" x14ac:dyDescent="0.25">
      <c r="A7" s="77" t="s">
        <v>305</v>
      </c>
      <c r="B7" s="159" t="s">
        <v>319</v>
      </c>
      <c r="C7" s="159"/>
    </row>
    <row r="8" spans="1:9" x14ac:dyDescent="0.25">
      <c r="A8" s="77" t="s">
        <v>306</v>
      </c>
      <c r="B8" s="159">
        <v>2015</v>
      </c>
      <c r="C8" s="159"/>
    </row>
    <row r="9" spans="1:9" x14ac:dyDescent="0.25">
      <c r="A9" s="77" t="s">
        <v>307</v>
      </c>
      <c r="B9" s="159" t="s">
        <v>482</v>
      </c>
      <c r="C9" s="159"/>
    </row>
    <row r="10" spans="1:9" x14ac:dyDescent="0.25">
      <c r="A10" s="77" t="s">
        <v>233</v>
      </c>
      <c r="B10" s="159" t="s">
        <v>498</v>
      </c>
      <c r="C10" s="159"/>
    </row>
    <row r="11" spans="1:9" x14ac:dyDescent="0.25">
      <c r="A11" s="77" t="s">
        <v>308</v>
      </c>
      <c r="B11" s="159" t="s">
        <v>484</v>
      </c>
      <c r="C11" s="159"/>
    </row>
    <row r="12" spans="1:9" x14ac:dyDescent="0.25">
      <c r="A12" s="77" t="s">
        <v>309</v>
      </c>
      <c r="B12" s="159" t="s">
        <v>324</v>
      </c>
      <c r="C12" s="159"/>
    </row>
    <row r="13" spans="1:9" x14ac:dyDescent="0.25">
      <c r="A13" s="77" t="s">
        <v>570</v>
      </c>
      <c r="B13" s="159">
        <v>0</v>
      </c>
      <c r="C13" s="159"/>
    </row>
    <row r="14" spans="1:9" x14ac:dyDescent="0.25">
      <c r="A14" s="77" t="s">
        <v>311</v>
      </c>
      <c r="B14" s="159">
        <v>610</v>
      </c>
      <c r="C14" s="159"/>
    </row>
    <row r="15" spans="1:9" x14ac:dyDescent="0.25">
      <c r="A15" s="77" t="s">
        <v>573</v>
      </c>
      <c r="B15" s="159" t="s">
        <v>499</v>
      </c>
      <c r="C15" s="159"/>
    </row>
    <row r="16" spans="1:9" x14ac:dyDescent="0.25">
      <c r="A16" s="77" t="s">
        <v>313</v>
      </c>
      <c r="B16" s="159" t="s">
        <v>500</v>
      </c>
      <c r="C16" s="159"/>
    </row>
    <row r="17" spans="1:3" ht="37.5" customHeight="1" x14ac:dyDescent="0.25">
      <c r="A17" s="77" t="s">
        <v>642</v>
      </c>
      <c r="B17" s="159"/>
      <c r="C17" s="159"/>
    </row>
    <row r="18" spans="1:3" x14ac:dyDescent="0.25">
      <c r="A18" s="77" t="s">
        <v>315</v>
      </c>
      <c r="B18" s="161">
        <v>45135</v>
      </c>
      <c r="C18" s="159"/>
    </row>
    <row r="19" spans="1:3" x14ac:dyDescent="0.25">
      <c r="A19" s="77" t="s">
        <v>316</v>
      </c>
      <c r="B19" s="161">
        <v>45135</v>
      </c>
      <c r="C19" s="159"/>
    </row>
    <row r="20" spans="1:3" x14ac:dyDescent="0.25">
      <c r="A20" s="77" t="s">
        <v>317</v>
      </c>
      <c r="B20" s="159" t="s">
        <v>327</v>
      </c>
      <c r="C20" s="159"/>
    </row>
    <row r="21" spans="1:3" x14ac:dyDescent="0.25">
      <c r="A21" s="77" t="s">
        <v>318</v>
      </c>
      <c r="B21" s="159" t="s">
        <v>328</v>
      </c>
      <c r="C21" s="159"/>
    </row>
    <row r="23" spans="1:3" x14ac:dyDescent="0.25">
      <c r="B23" s="91" t="str">
        <f>HYPERLINK("#'Factor List'!A1","Back to Factor List")</f>
        <v>Back to Factor List</v>
      </c>
    </row>
    <row r="24" spans="1:3" x14ac:dyDescent="0.25">
      <c r="B24" s="91" t="s">
        <v>240</v>
      </c>
    </row>
    <row r="25" spans="1:3" x14ac:dyDescent="0.25">
      <c r="B25" s="91"/>
    </row>
    <row r="26" spans="1:3" ht="13" x14ac:dyDescent="0.25">
      <c r="A26" s="87" t="s">
        <v>643</v>
      </c>
      <c r="B26" s="87" t="s">
        <v>693</v>
      </c>
      <c r="C26" s="87" t="s">
        <v>694</v>
      </c>
    </row>
    <row r="27" spans="1:3" x14ac:dyDescent="0.25">
      <c r="A27" s="88">
        <v>20</v>
      </c>
      <c r="B27" s="89">
        <v>39.64</v>
      </c>
      <c r="C27" s="89">
        <v>39.64</v>
      </c>
    </row>
    <row r="28" spans="1:3" x14ac:dyDescent="0.25">
      <c r="A28" s="88">
        <v>21</v>
      </c>
      <c r="B28" s="89">
        <v>39.28</v>
      </c>
      <c r="C28" s="89">
        <v>39.28</v>
      </c>
    </row>
    <row r="29" spans="1:3" x14ac:dyDescent="0.25">
      <c r="A29" s="88">
        <v>22</v>
      </c>
      <c r="B29" s="89">
        <v>38.92</v>
      </c>
      <c r="C29" s="89">
        <v>38.92</v>
      </c>
    </row>
    <row r="30" spans="1:3" x14ac:dyDescent="0.25">
      <c r="A30" s="88">
        <v>23</v>
      </c>
      <c r="B30" s="89">
        <v>38.549999999999997</v>
      </c>
      <c r="C30" s="89">
        <v>38.549999999999997</v>
      </c>
    </row>
    <row r="31" spans="1:3" x14ac:dyDescent="0.25">
      <c r="A31" s="88">
        <v>24</v>
      </c>
      <c r="B31" s="89">
        <v>38.17</v>
      </c>
      <c r="C31" s="89">
        <v>38.17</v>
      </c>
    </row>
    <row r="32" spans="1:3" x14ac:dyDescent="0.25">
      <c r="A32" s="88">
        <v>25</v>
      </c>
      <c r="B32" s="89">
        <v>37.79</v>
      </c>
      <c r="C32" s="89">
        <v>37.79</v>
      </c>
    </row>
    <row r="33" spans="1:3" x14ac:dyDescent="0.25">
      <c r="A33" s="88">
        <v>26</v>
      </c>
      <c r="B33" s="89">
        <v>37.4</v>
      </c>
      <c r="C33" s="89">
        <v>37.4</v>
      </c>
    </row>
    <row r="34" spans="1:3" x14ac:dyDescent="0.25">
      <c r="A34" s="88">
        <v>27</v>
      </c>
      <c r="B34" s="89">
        <v>37.01</v>
      </c>
      <c r="C34" s="89">
        <v>37.01</v>
      </c>
    </row>
    <row r="35" spans="1:3" x14ac:dyDescent="0.25">
      <c r="A35" s="88">
        <v>28</v>
      </c>
      <c r="B35" s="89">
        <v>36.61</v>
      </c>
      <c r="C35" s="89">
        <v>36.61</v>
      </c>
    </row>
    <row r="36" spans="1:3" x14ac:dyDescent="0.25">
      <c r="A36" s="88">
        <v>29</v>
      </c>
      <c r="B36" s="89">
        <v>36.200000000000003</v>
      </c>
      <c r="C36" s="89">
        <v>36.200000000000003</v>
      </c>
    </row>
    <row r="37" spans="1:3" x14ac:dyDescent="0.25">
      <c r="A37" s="88">
        <v>30</v>
      </c>
      <c r="B37" s="89">
        <v>35.79</v>
      </c>
      <c r="C37" s="89">
        <v>35.79</v>
      </c>
    </row>
    <row r="38" spans="1:3" x14ac:dyDescent="0.25">
      <c r="A38" s="88">
        <v>31</v>
      </c>
      <c r="B38" s="89">
        <v>35.369999999999997</v>
      </c>
      <c r="C38" s="89">
        <v>35.369999999999997</v>
      </c>
    </row>
    <row r="39" spans="1:3" x14ac:dyDescent="0.25">
      <c r="A39" s="88">
        <v>32</v>
      </c>
      <c r="B39" s="89">
        <v>34.950000000000003</v>
      </c>
      <c r="C39" s="89">
        <v>34.950000000000003</v>
      </c>
    </row>
    <row r="40" spans="1:3" x14ac:dyDescent="0.25">
      <c r="A40" s="88">
        <v>33</v>
      </c>
      <c r="B40" s="89">
        <v>34.51</v>
      </c>
      <c r="C40" s="89">
        <v>34.51</v>
      </c>
    </row>
    <row r="41" spans="1:3" x14ac:dyDescent="0.25">
      <c r="A41" s="88">
        <v>34</v>
      </c>
      <c r="B41" s="89">
        <v>34.08</v>
      </c>
      <c r="C41" s="89">
        <v>34.08</v>
      </c>
    </row>
    <row r="42" spans="1:3" x14ac:dyDescent="0.25">
      <c r="A42" s="88">
        <v>35</v>
      </c>
      <c r="B42" s="89">
        <v>33.630000000000003</v>
      </c>
      <c r="C42" s="89">
        <v>33.630000000000003</v>
      </c>
    </row>
    <row r="43" spans="1:3" x14ac:dyDescent="0.25">
      <c r="A43" s="88">
        <v>36</v>
      </c>
      <c r="B43" s="89">
        <v>33.18</v>
      </c>
      <c r="C43" s="89">
        <v>33.18</v>
      </c>
    </row>
    <row r="44" spans="1:3" x14ac:dyDescent="0.25">
      <c r="A44" s="88">
        <v>37</v>
      </c>
      <c r="B44" s="89">
        <v>32.72</v>
      </c>
      <c r="C44" s="89">
        <v>32.72</v>
      </c>
    </row>
    <row r="45" spans="1:3" x14ac:dyDescent="0.25">
      <c r="A45" s="88">
        <v>38</v>
      </c>
      <c r="B45" s="89">
        <v>32.26</v>
      </c>
      <c r="C45" s="89">
        <v>32.26</v>
      </c>
    </row>
    <row r="46" spans="1:3" x14ac:dyDescent="0.25">
      <c r="A46" s="88">
        <v>39</v>
      </c>
      <c r="B46" s="89">
        <v>31.79</v>
      </c>
      <c r="C46" s="89">
        <v>31.79</v>
      </c>
    </row>
    <row r="47" spans="1:3" x14ac:dyDescent="0.25">
      <c r="A47" s="88">
        <v>40</v>
      </c>
      <c r="B47" s="89">
        <v>31.31</v>
      </c>
      <c r="C47" s="89">
        <v>31.31</v>
      </c>
    </row>
    <row r="48" spans="1:3" x14ac:dyDescent="0.25">
      <c r="A48" s="88">
        <v>41</v>
      </c>
      <c r="B48" s="89">
        <v>30.82</v>
      </c>
      <c r="C48" s="89">
        <v>30.82</v>
      </c>
    </row>
    <row r="49" spans="1:3" x14ac:dyDescent="0.25">
      <c r="A49" s="88">
        <v>42</v>
      </c>
      <c r="B49" s="89">
        <v>30.33</v>
      </c>
      <c r="C49" s="89">
        <v>30.33</v>
      </c>
    </row>
    <row r="50" spans="1:3" x14ac:dyDescent="0.25">
      <c r="A50" s="88">
        <v>43</v>
      </c>
      <c r="B50" s="89">
        <v>29.83</v>
      </c>
      <c r="C50" s="89">
        <v>29.83</v>
      </c>
    </row>
    <row r="51" spans="1:3" x14ac:dyDescent="0.25">
      <c r="A51" s="88">
        <v>44</v>
      </c>
      <c r="B51" s="89">
        <v>29.33</v>
      </c>
      <c r="C51" s="89">
        <v>29.33</v>
      </c>
    </row>
    <row r="52" spans="1:3" x14ac:dyDescent="0.25">
      <c r="A52" s="88">
        <v>45</v>
      </c>
      <c r="B52" s="89">
        <v>28.82</v>
      </c>
      <c r="C52" s="89">
        <v>28.82</v>
      </c>
    </row>
    <row r="53" spans="1:3" x14ac:dyDescent="0.25">
      <c r="A53" s="88">
        <v>46</v>
      </c>
      <c r="B53" s="89">
        <v>28.3</v>
      </c>
      <c r="C53" s="89">
        <v>28.3</v>
      </c>
    </row>
    <row r="54" spans="1:3" x14ac:dyDescent="0.25">
      <c r="A54" s="88">
        <v>47</v>
      </c>
      <c r="B54" s="89">
        <v>27.78</v>
      </c>
      <c r="C54" s="89">
        <v>27.78</v>
      </c>
    </row>
    <row r="55" spans="1:3" x14ac:dyDescent="0.25">
      <c r="A55" s="88">
        <v>48</v>
      </c>
      <c r="B55" s="89">
        <v>27.25</v>
      </c>
      <c r="C55" s="89">
        <v>27.25</v>
      </c>
    </row>
    <row r="56" spans="1:3" x14ac:dyDescent="0.25">
      <c r="A56" s="88">
        <v>49</v>
      </c>
      <c r="B56" s="89">
        <v>26.71</v>
      </c>
      <c r="C56" s="89">
        <v>26.71</v>
      </c>
    </row>
    <row r="57" spans="1:3" x14ac:dyDescent="0.25">
      <c r="A57" s="88">
        <v>50</v>
      </c>
      <c r="B57" s="89">
        <v>26.16</v>
      </c>
      <c r="C57" s="89">
        <v>26.16</v>
      </c>
    </row>
    <row r="58" spans="1:3" x14ac:dyDescent="0.25">
      <c r="A58" s="88">
        <v>51</v>
      </c>
      <c r="B58" s="89">
        <v>25.61</v>
      </c>
      <c r="C58" s="89">
        <v>25.61</v>
      </c>
    </row>
    <row r="59" spans="1:3" x14ac:dyDescent="0.25">
      <c r="A59" s="88">
        <v>52</v>
      </c>
      <c r="B59" s="89">
        <v>25.05</v>
      </c>
      <c r="C59" s="89">
        <v>25.05</v>
      </c>
    </row>
    <row r="60" spans="1:3" x14ac:dyDescent="0.25">
      <c r="A60" s="88">
        <v>53</v>
      </c>
      <c r="B60" s="89">
        <v>24.48</v>
      </c>
      <c r="C60" s="89">
        <v>24.48</v>
      </c>
    </row>
    <row r="61" spans="1:3" x14ac:dyDescent="0.25">
      <c r="A61" s="88">
        <v>54</v>
      </c>
      <c r="B61" s="89">
        <v>23.91</v>
      </c>
      <c r="C61" s="89">
        <v>23.91</v>
      </c>
    </row>
    <row r="62" spans="1:3" x14ac:dyDescent="0.25">
      <c r="A62" s="88">
        <v>55</v>
      </c>
      <c r="B62" s="89">
        <v>23.33</v>
      </c>
      <c r="C62" s="89">
        <v>23.33</v>
      </c>
    </row>
    <row r="63" spans="1:3" x14ac:dyDescent="0.25">
      <c r="A63" s="88">
        <v>56</v>
      </c>
      <c r="B63" s="89">
        <v>22.74</v>
      </c>
      <c r="C63" s="89">
        <v>22.74</v>
      </c>
    </row>
    <row r="64" spans="1:3" x14ac:dyDescent="0.25">
      <c r="A64" s="88">
        <v>57</v>
      </c>
      <c r="B64" s="89">
        <v>22.14</v>
      </c>
      <c r="C64" s="89">
        <v>22.14</v>
      </c>
    </row>
    <row r="65" spans="1:3" x14ac:dyDescent="0.25">
      <c r="A65" s="88">
        <v>58</v>
      </c>
      <c r="B65" s="89">
        <v>21.54</v>
      </c>
      <c r="C65" s="89">
        <v>21.54</v>
      </c>
    </row>
    <row r="66" spans="1:3" x14ac:dyDescent="0.25">
      <c r="A66" s="88">
        <v>59</v>
      </c>
      <c r="B66" s="89">
        <v>20.93</v>
      </c>
      <c r="C66" s="89">
        <v>20.93</v>
      </c>
    </row>
    <row r="67" spans="1:3" x14ac:dyDescent="0.25">
      <c r="A67" s="88">
        <v>60</v>
      </c>
      <c r="B67" s="89">
        <v>20.32</v>
      </c>
      <c r="C67" s="89">
        <v>20.32</v>
      </c>
    </row>
    <row r="68" spans="1:3" x14ac:dyDescent="0.25">
      <c r="A68" s="88">
        <v>61</v>
      </c>
      <c r="B68" s="89">
        <v>19.7</v>
      </c>
      <c r="C68" s="89">
        <v>19.7</v>
      </c>
    </row>
    <row r="69" spans="1:3" x14ac:dyDescent="0.25">
      <c r="A69" s="88">
        <v>62</v>
      </c>
      <c r="B69" s="89">
        <v>19.079999999999998</v>
      </c>
      <c r="C69" s="89">
        <v>19.079999999999998</v>
      </c>
    </row>
    <row r="70" spans="1:3" x14ac:dyDescent="0.25">
      <c r="A70" s="88">
        <v>63</v>
      </c>
      <c r="B70" s="89">
        <v>18.46</v>
      </c>
      <c r="C70" s="89">
        <v>18.46</v>
      </c>
    </row>
    <row r="71" spans="1:3" x14ac:dyDescent="0.25">
      <c r="A71" s="88">
        <v>64</v>
      </c>
      <c r="B71" s="89">
        <v>17.829999999999998</v>
      </c>
      <c r="C71" s="89">
        <v>17.829999999999998</v>
      </c>
    </row>
    <row r="72" spans="1:3" x14ac:dyDescent="0.25">
      <c r="A72" s="88">
        <v>65</v>
      </c>
      <c r="B72" s="89">
        <v>17.2</v>
      </c>
      <c r="C72" s="89">
        <v>17.2</v>
      </c>
    </row>
    <row r="73" spans="1:3" x14ac:dyDescent="0.25">
      <c r="A73" s="88">
        <v>66</v>
      </c>
      <c r="B73" s="89">
        <v>16.57</v>
      </c>
      <c r="C73" s="89">
        <v>16.57</v>
      </c>
    </row>
    <row r="74" spans="1:3" x14ac:dyDescent="0.25">
      <c r="A74" s="88">
        <v>67</v>
      </c>
      <c r="B74" s="89">
        <v>15.94</v>
      </c>
      <c r="C74" s="89">
        <v>15.94</v>
      </c>
    </row>
    <row r="75" spans="1:3" x14ac:dyDescent="0.25">
      <c r="A75" s="88">
        <v>68</v>
      </c>
      <c r="B75" s="89">
        <v>15.31</v>
      </c>
      <c r="C75" s="89">
        <v>15.31</v>
      </c>
    </row>
    <row r="76" spans="1:3" x14ac:dyDescent="0.25">
      <c r="A76" s="88">
        <v>69</v>
      </c>
      <c r="B76" s="89">
        <v>14.67</v>
      </c>
      <c r="C76" s="89">
        <v>14.67</v>
      </c>
    </row>
    <row r="77" spans="1:3" x14ac:dyDescent="0.25">
      <c r="A77" s="88">
        <v>70</v>
      </c>
      <c r="B77" s="89">
        <v>14.04</v>
      </c>
      <c r="C77" s="89">
        <v>14.04</v>
      </c>
    </row>
    <row r="78" spans="1:3" x14ac:dyDescent="0.25">
      <c r="A78" s="88">
        <v>71</v>
      </c>
      <c r="B78" s="89">
        <v>13.42</v>
      </c>
      <c r="C78" s="89">
        <v>13.42</v>
      </c>
    </row>
    <row r="79" spans="1:3" x14ac:dyDescent="0.25">
      <c r="A79" s="88">
        <v>72</v>
      </c>
      <c r="B79" s="89">
        <v>12.79</v>
      </c>
      <c r="C79" s="89">
        <v>12.79</v>
      </c>
    </row>
    <row r="80" spans="1:3" x14ac:dyDescent="0.25">
      <c r="A80" s="88">
        <v>73</v>
      </c>
      <c r="B80" s="89">
        <v>12.17</v>
      </c>
      <c r="C80" s="89">
        <v>12.17</v>
      </c>
    </row>
    <row r="81" spans="1:3" x14ac:dyDescent="0.25">
      <c r="A81" s="88">
        <v>74</v>
      </c>
      <c r="B81" s="89">
        <v>11.56</v>
      </c>
      <c r="C81" s="89">
        <v>11.56</v>
      </c>
    </row>
    <row r="82" spans="1:3" x14ac:dyDescent="0.25">
      <c r="A82" s="88">
        <v>75</v>
      </c>
      <c r="B82" s="89">
        <v>10.95</v>
      </c>
      <c r="C82" s="89">
        <v>10.95</v>
      </c>
    </row>
  </sheetData>
  <sheetProtection algorithmName="SHA-512" hashValue="MYqu1X3pxOrgoDN+SXw3xuxQ4tGDH2eOLyRueUsKMS802bz8ukGBK6mTbX4fFTAu1UQNkQEj4zq0sQ8aV3GVVw==" saltValue="Ol0rkkK5aM0cVbR36i/g6w==" spinCount="100000" sheet="1" objects="1" scenarios="1"/>
  <conditionalFormatting sqref="A6:A16">
    <cfRule type="expression" dxfId="381" priority="29" stopIfTrue="1">
      <formula>MOD(ROW(),2)=0</formula>
    </cfRule>
    <cfRule type="expression" dxfId="380" priority="30" stopIfTrue="1">
      <formula>MOD(ROW(),2)&lt;&gt;0</formula>
    </cfRule>
  </conditionalFormatting>
  <conditionalFormatting sqref="B6:C21">
    <cfRule type="expression" dxfId="379" priority="31" stopIfTrue="1">
      <formula>MOD(ROW(),2)=0</formula>
    </cfRule>
    <cfRule type="expression" dxfId="378" priority="32" stopIfTrue="1">
      <formula>MOD(ROW(),2)&lt;&gt;0</formula>
    </cfRule>
  </conditionalFormatting>
  <conditionalFormatting sqref="A17:A20">
    <cfRule type="expression" dxfId="377" priority="21" stopIfTrue="1">
      <formula>MOD(ROW(),2)=0</formula>
    </cfRule>
    <cfRule type="expression" dxfId="376" priority="22" stopIfTrue="1">
      <formula>MOD(ROW(),2)&lt;&gt;0</formula>
    </cfRule>
  </conditionalFormatting>
  <conditionalFormatting sqref="B17:B18 B20:B21">
    <cfRule type="expression" dxfId="375" priority="23" stopIfTrue="1">
      <formula>MOD(ROW(),2)=0</formula>
    </cfRule>
    <cfRule type="expression" dxfId="374" priority="24" stopIfTrue="1">
      <formula>MOD(ROW(),2)&lt;&gt;0</formula>
    </cfRule>
  </conditionalFormatting>
  <conditionalFormatting sqref="A26:A82">
    <cfRule type="expression" dxfId="373" priority="15" stopIfTrue="1">
      <formula>MOD(ROW(),2)=0</formula>
    </cfRule>
    <cfRule type="expression" dxfId="372" priority="16" stopIfTrue="1">
      <formula>MOD(ROW(),2)&lt;&gt;0</formula>
    </cfRule>
  </conditionalFormatting>
  <conditionalFormatting sqref="B26:C82">
    <cfRule type="expression" dxfId="371" priority="17" stopIfTrue="1">
      <formula>MOD(ROW(),2)=0</formula>
    </cfRule>
    <cfRule type="expression" dxfId="370" priority="18" stopIfTrue="1">
      <formula>MOD(ROW(),2)&lt;&gt;0</formula>
    </cfRule>
  </conditionalFormatting>
  <conditionalFormatting sqref="B19">
    <cfRule type="expression" dxfId="369" priority="13" stopIfTrue="1">
      <formula>MOD(ROW(),2)=0</formula>
    </cfRule>
    <cfRule type="expression" dxfId="368" priority="14" stopIfTrue="1">
      <formula>MOD(ROW(),2)&lt;&gt;0</formula>
    </cfRule>
  </conditionalFormatting>
  <conditionalFormatting sqref="A21">
    <cfRule type="expression" dxfId="367" priority="1" stopIfTrue="1">
      <formula>MOD(ROW(),2)=0</formula>
    </cfRule>
    <cfRule type="expression" dxfId="366" priority="2" stopIfTrue="1">
      <formula>MOD(ROW(),2)&lt;&gt;0</formula>
    </cfRule>
  </conditionalFormatting>
  <hyperlinks>
    <hyperlink ref="B24" location="Assumptions!A1" display="Assumptions" xr:uid="{C0021632-2681-44F5-AF41-8329D6575A2D}"/>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sheetPr codeName="Sheet91"/>
  <dimension ref="A1:L46"/>
  <sheetViews>
    <sheetView showGridLines="0" zoomScale="85" zoomScaleNormal="85" workbookViewId="0">
      <selection activeCell="B18" sqref="B18"/>
    </sheetView>
  </sheetViews>
  <sheetFormatPr defaultColWidth="10" defaultRowHeight="12.5" x14ac:dyDescent="0.25"/>
  <cols>
    <col min="1" max="1" width="31.81640625" style="28" customWidth="1"/>
    <col min="2" max="11" width="22.81640625" style="28" customWidth="1"/>
    <col min="12" max="16384" width="10" style="28"/>
  </cols>
  <sheetData>
    <row r="1" spans="1:12" ht="20" x14ac:dyDescent="0.4">
      <c r="A1" s="40" t="s">
        <v>227</v>
      </c>
      <c r="B1" s="41"/>
      <c r="C1" s="41"/>
      <c r="D1" s="41"/>
      <c r="E1" s="41"/>
      <c r="F1" s="41"/>
      <c r="G1" s="41"/>
      <c r="H1" s="41"/>
      <c r="I1" s="41"/>
      <c r="L1" s="91"/>
    </row>
    <row r="2" spans="1:12" ht="15.5" x14ac:dyDescent="0.35">
      <c r="A2" s="42" t="str">
        <f>IF(title="&gt; Enter workbook title here","Enter workbook title in Cover sheet",title)</f>
        <v>Fire Northern Ireland - Consolidated Factor Spreadsheet</v>
      </c>
      <c r="B2" s="43"/>
      <c r="C2" s="43"/>
      <c r="D2" s="43"/>
      <c r="E2" s="43"/>
      <c r="F2" s="43"/>
      <c r="G2" s="43"/>
      <c r="H2" s="43"/>
      <c r="I2" s="43"/>
    </row>
    <row r="3" spans="1:12" ht="15.5" x14ac:dyDescent="0.35">
      <c r="A3" s="44" t="str">
        <f>TABLE_FACTOR_TYPE_1&amp;" - x-"&amp;TABLE_SERIES_NUMBER_1</f>
        <v>Scheme pays AA - x-611</v>
      </c>
      <c r="B3" s="43"/>
      <c r="C3" s="43"/>
      <c r="D3" s="43"/>
      <c r="E3" s="43"/>
      <c r="F3" s="43"/>
      <c r="G3" s="43"/>
      <c r="H3" s="43"/>
      <c r="I3" s="43"/>
    </row>
    <row r="4" spans="1:12" x14ac:dyDescent="0.25">
      <c r="A4" s="45"/>
    </row>
    <row r="6" spans="1:12" ht="13" x14ac:dyDescent="0.3">
      <c r="A6" s="75" t="s">
        <v>562</v>
      </c>
      <c r="B6" s="159" t="s">
        <v>563</v>
      </c>
      <c r="C6" s="159"/>
      <c r="D6" s="159"/>
      <c r="E6" s="159"/>
      <c r="F6" s="159"/>
      <c r="G6" s="159"/>
      <c r="H6" s="159"/>
      <c r="I6" s="159"/>
      <c r="J6" s="159"/>
      <c r="K6" s="159"/>
    </row>
    <row r="7" spans="1:12" x14ac:dyDescent="0.25">
      <c r="A7" s="77" t="s">
        <v>305</v>
      </c>
      <c r="B7" s="159" t="s">
        <v>319</v>
      </c>
      <c r="C7" s="159"/>
      <c r="D7" s="159"/>
      <c r="E7" s="159"/>
      <c r="F7" s="159"/>
      <c r="G7" s="159"/>
      <c r="H7" s="159"/>
      <c r="I7" s="159"/>
      <c r="J7" s="159"/>
      <c r="K7" s="159"/>
    </row>
    <row r="8" spans="1:12" x14ac:dyDescent="0.25">
      <c r="A8" s="77" t="s">
        <v>306</v>
      </c>
      <c r="B8" s="159" t="s">
        <v>320</v>
      </c>
      <c r="C8" s="159"/>
      <c r="D8" s="159"/>
      <c r="E8" s="159"/>
      <c r="F8" s="159"/>
      <c r="G8" s="159"/>
      <c r="H8" s="159"/>
      <c r="I8" s="159"/>
      <c r="J8" s="159"/>
      <c r="K8" s="159"/>
    </row>
    <row r="9" spans="1:12" x14ac:dyDescent="0.25">
      <c r="A9" s="77" t="s">
        <v>307</v>
      </c>
      <c r="B9" s="159" t="s">
        <v>482</v>
      </c>
      <c r="C9" s="159"/>
      <c r="D9" s="159"/>
      <c r="E9" s="159"/>
      <c r="F9" s="159"/>
      <c r="G9" s="159"/>
      <c r="H9" s="159"/>
      <c r="I9" s="159"/>
      <c r="J9" s="159"/>
      <c r="K9" s="159"/>
    </row>
    <row r="10" spans="1:12" x14ac:dyDescent="0.25">
      <c r="A10" s="77" t="s">
        <v>233</v>
      </c>
      <c r="B10" s="159" t="s">
        <v>501</v>
      </c>
      <c r="C10" s="159"/>
      <c r="D10" s="159"/>
      <c r="E10" s="159"/>
      <c r="F10" s="159"/>
      <c r="G10" s="159"/>
      <c r="H10" s="159"/>
      <c r="I10" s="159"/>
      <c r="J10" s="159"/>
      <c r="K10" s="159"/>
    </row>
    <row r="11" spans="1:12" x14ac:dyDescent="0.25">
      <c r="A11" s="77" t="s">
        <v>308</v>
      </c>
      <c r="B11" s="159" t="s">
        <v>404</v>
      </c>
      <c r="C11" s="159"/>
      <c r="D11" s="159"/>
      <c r="E11" s="159"/>
      <c r="F11" s="159"/>
      <c r="G11" s="159"/>
      <c r="H11" s="159"/>
      <c r="I11" s="159"/>
      <c r="J11" s="159"/>
      <c r="K11" s="159"/>
    </row>
    <row r="12" spans="1:12" x14ac:dyDescent="0.25">
      <c r="A12" s="77" t="s">
        <v>309</v>
      </c>
      <c r="B12" s="159" t="s">
        <v>405</v>
      </c>
      <c r="C12" s="159"/>
      <c r="D12" s="159"/>
      <c r="E12" s="159"/>
      <c r="F12" s="159"/>
      <c r="G12" s="159"/>
      <c r="H12" s="159"/>
      <c r="I12" s="159"/>
      <c r="J12" s="159"/>
      <c r="K12" s="159"/>
    </row>
    <row r="13" spans="1:12" x14ac:dyDescent="0.25">
      <c r="A13" s="77" t="s">
        <v>570</v>
      </c>
      <c r="B13" s="159">
        <v>2</v>
      </c>
      <c r="C13" s="159"/>
      <c r="D13" s="159"/>
      <c r="E13" s="159"/>
      <c r="F13" s="159"/>
      <c r="G13" s="159"/>
      <c r="H13" s="159"/>
      <c r="I13" s="159"/>
      <c r="J13" s="159"/>
      <c r="K13" s="159"/>
    </row>
    <row r="14" spans="1:12" x14ac:dyDescent="0.25">
      <c r="A14" s="77" t="s">
        <v>311</v>
      </c>
      <c r="B14" s="159">
        <v>611</v>
      </c>
      <c r="C14" s="159"/>
      <c r="D14" s="159"/>
      <c r="E14" s="159"/>
      <c r="F14" s="159"/>
      <c r="G14" s="159"/>
      <c r="H14" s="159"/>
      <c r="I14" s="159"/>
      <c r="J14" s="159"/>
      <c r="K14" s="159"/>
    </row>
    <row r="15" spans="1:12" x14ac:dyDescent="0.25">
      <c r="A15" s="77" t="s">
        <v>573</v>
      </c>
      <c r="B15" s="159" t="s">
        <v>502</v>
      </c>
      <c r="C15" s="159"/>
      <c r="D15" s="159"/>
      <c r="E15" s="159"/>
      <c r="F15" s="159"/>
      <c r="G15" s="159"/>
      <c r="H15" s="159"/>
      <c r="I15" s="159"/>
      <c r="J15" s="159"/>
      <c r="K15" s="159"/>
    </row>
    <row r="16" spans="1:12" x14ac:dyDescent="0.25">
      <c r="A16" s="77" t="s">
        <v>313</v>
      </c>
      <c r="B16" s="159" t="s">
        <v>340</v>
      </c>
      <c r="C16" s="159"/>
      <c r="D16" s="159"/>
      <c r="E16" s="159"/>
      <c r="F16" s="159"/>
      <c r="G16" s="159"/>
      <c r="H16" s="159"/>
      <c r="I16" s="159"/>
      <c r="J16" s="159"/>
      <c r="K16" s="159"/>
    </row>
    <row r="17" spans="1:11" x14ac:dyDescent="0.25">
      <c r="A17" s="77" t="s">
        <v>642</v>
      </c>
      <c r="B17" s="159"/>
      <c r="C17" s="159"/>
      <c r="D17" s="159"/>
      <c r="E17" s="159"/>
      <c r="F17" s="159"/>
      <c r="G17" s="159"/>
      <c r="H17" s="159"/>
      <c r="I17" s="159"/>
      <c r="J17" s="159"/>
      <c r="K17" s="159"/>
    </row>
    <row r="18" spans="1:11" x14ac:dyDescent="0.25">
      <c r="A18" s="77" t="s">
        <v>315</v>
      </c>
      <c r="B18" s="161">
        <v>45135</v>
      </c>
      <c r="C18" s="159"/>
      <c r="D18" s="159"/>
      <c r="E18" s="159"/>
      <c r="F18" s="159"/>
      <c r="G18" s="159"/>
      <c r="H18" s="159"/>
      <c r="I18" s="159"/>
      <c r="J18" s="159"/>
      <c r="K18" s="159"/>
    </row>
    <row r="19" spans="1:11" x14ac:dyDescent="0.25">
      <c r="A19" s="77" t="s">
        <v>316</v>
      </c>
      <c r="B19" s="161">
        <v>45135</v>
      </c>
      <c r="C19" s="159"/>
      <c r="D19" s="159"/>
      <c r="E19" s="159"/>
      <c r="F19" s="159"/>
      <c r="G19" s="159"/>
      <c r="H19" s="159"/>
      <c r="I19" s="159"/>
      <c r="J19" s="159"/>
      <c r="K19" s="159"/>
    </row>
    <row r="20" spans="1:11" x14ac:dyDescent="0.25">
      <c r="A20" s="77" t="s">
        <v>317</v>
      </c>
      <c r="B20" s="159" t="s">
        <v>327</v>
      </c>
      <c r="C20" s="159"/>
      <c r="D20" s="159"/>
      <c r="E20" s="159"/>
      <c r="F20" s="159"/>
      <c r="G20" s="159"/>
      <c r="H20" s="159"/>
      <c r="I20" s="159"/>
      <c r="J20" s="159"/>
      <c r="K20" s="159"/>
    </row>
    <row r="21" spans="1:11" x14ac:dyDescent="0.25">
      <c r="A21" s="77" t="s">
        <v>318</v>
      </c>
      <c r="B21" s="159" t="s">
        <v>328</v>
      </c>
      <c r="C21" s="159"/>
      <c r="D21" s="159"/>
      <c r="E21" s="159"/>
      <c r="F21" s="159"/>
      <c r="G21" s="159"/>
      <c r="H21" s="159"/>
      <c r="I21" s="159"/>
      <c r="J21" s="159"/>
      <c r="K21" s="159"/>
    </row>
    <row r="23" spans="1:11" x14ac:dyDescent="0.25">
      <c r="B23" s="91" t="str">
        <f>HYPERLINK("#'Factor List'!A1","Back to Factor List")</f>
        <v>Back to Factor List</v>
      </c>
    </row>
    <row r="24" spans="1:11" x14ac:dyDescent="0.25">
      <c r="B24" s="91" t="s">
        <v>240</v>
      </c>
    </row>
    <row r="25" spans="1:11" x14ac:dyDescent="0.25">
      <c r="B25" s="91"/>
    </row>
    <row r="26" spans="1:11" ht="13" x14ac:dyDescent="0.25">
      <c r="A26" s="87" t="s">
        <v>667</v>
      </c>
      <c r="B26" s="87">
        <v>50</v>
      </c>
      <c r="C26" s="87">
        <v>51</v>
      </c>
      <c r="D26" s="87">
        <v>52</v>
      </c>
      <c r="E26" s="87">
        <v>53</v>
      </c>
      <c r="F26" s="87">
        <v>54</v>
      </c>
      <c r="G26" s="87">
        <v>55</v>
      </c>
      <c r="H26" s="87">
        <v>56</v>
      </c>
      <c r="I26" s="87">
        <v>57</v>
      </c>
      <c r="J26" s="87">
        <v>58</v>
      </c>
      <c r="K26" s="87">
        <v>59</v>
      </c>
    </row>
    <row r="27" spans="1:11" x14ac:dyDescent="0.25">
      <c r="A27" s="88">
        <v>0</v>
      </c>
      <c r="B27" s="90">
        <v>0.66300000000000003</v>
      </c>
      <c r="C27" s="90">
        <v>0.68600000000000005</v>
      </c>
      <c r="D27" s="90">
        <v>0.71099999999999997</v>
      </c>
      <c r="E27" s="90">
        <v>0.73799999999999999</v>
      </c>
      <c r="F27" s="90">
        <v>0.76800000000000002</v>
      </c>
      <c r="G27" s="90">
        <v>0.8</v>
      </c>
      <c r="H27" s="90">
        <v>0.83399999999999996</v>
      </c>
      <c r="I27" s="90">
        <v>0.871</v>
      </c>
      <c r="J27" s="90">
        <v>0.91100000000000003</v>
      </c>
      <c r="K27" s="90">
        <v>0.95399999999999996</v>
      </c>
    </row>
    <row r="28" spans="1:11" x14ac:dyDescent="0.25">
      <c r="A28" s="88">
        <v>1</v>
      </c>
      <c r="B28" s="90">
        <v>0.66500000000000004</v>
      </c>
      <c r="C28" s="90">
        <v>0.68799999999999994</v>
      </c>
      <c r="D28" s="90">
        <v>0.71399999999999997</v>
      </c>
      <c r="E28" s="90">
        <v>0.74099999999999999</v>
      </c>
      <c r="F28" s="90">
        <v>0.77</v>
      </c>
      <c r="G28" s="90">
        <v>0.80200000000000005</v>
      </c>
      <c r="H28" s="90">
        <v>0.83699999999999997</v>
      </c>
      <c r="I28" s="90">
        <v>0.874</v>
      </c>
      <c r="J28" s="90">
        <v>0.91400000000000003</v>
      </c>
      <c r="K28" s="90">
        <v>0.95799999999999996</v>
      </c>
    </row>
    <row r="29" spans="1:11" x14ac:dyDescent="0.25">
      <c r="A29" s="88">
        <v>2</v>
      </c>
      <c r="B29" s="90">
        <v>0.66700000000000004</v>
      </c>
      <c r="C29" s="90">
        <v>0.69</v>
      </c>
      <c r="D29" s="90">
        <v>0.71599999999999997</v>
      </c>
      <c r="E29" s="90">
        <v>0.74299999999999999</v>
      </c>
      <c r="F29" s="90">
        <v>0.77300000000000002</v>
      </c>
      <c r="G29" s="90">
        <v>0.80500000000000005</v>
      </c>
      <c r="H29" s="90">
        <v>0.84</v>
      </c>
      <c r="I29" s="90">
        <v>0.878</v>
      </c>
      <c r="J29" s="90">
        <v>0.91800000000000004</v>
      </c>
      <c r="K29" s="90">
        <v>0.96099999999999997</v>
      </c>
    </row>
    <row r="30" spans="1:11" x14ac:dyDescent="0.25">
      <c r="A30" s="88">
        <v>3</v>
      </c>
      <c r="B30" s="90">
        <v>0.66900000000000004</v>
      </c>
      <c r="C30" s="90">
        <v>0.69299999999999995</v>
      </c>
      <c r="D30" s="90">
        <v>0.71799999999999997</v>
      </c>
      <c r="E30" s="90">
        <v>0.746</v>
      </c>
      <c r="F30" s="90">
        <v>0.77600000000000002</v>
      </c>
      <c r="G30" s="90">
        <v>0.80800000000000005</v>
      </c>
      <c r="H30" s="90">
        <v>0.84299999999999997</v>
      </c>
      <c r="I30" s="90">
        <v>0.88100000000000001</v>
      </c>
      <c r="J30" s="90">
        <v>0.92200000000000004</v>
      </c>
      <c r="K30" s="90">
        <v>0.96499999999999997</v>
      </c>
    </row>
    <row r="31" spans="1:11" x14ac:dyDescent="0.25">
      <c r="A31" s="88">
        <v>4</v>
      </c>
      <c r="B31" s="90">
        <v>0.67100000000000004</v>
      </c>
      <c r="C31" s="90">
        <v>0.69499999999999995</v>
      </c>
      <c r="D31" s="90">
        <v>0.72</v>
      </c>
      <c r="E31" s="90">
        <v>0.748</v>
      </c>
      <c r="F31" s="90">
        <v>0.77800000000000002</v>
      </c>
      <c r="G31" s="90">
        <v>0.81100000000000005</v>
      </c>
      <c r="H31" s="90">
        <v>0.84599999999999997</v>
      </c>
      <c r="I31" s="90">
        <v>0.88400000000000001</v>
      </c>
      <c r="J31" s="90">
        <v>0.92500000000000004</v>
      </c>
      <c r="K31" s="90">
        <v>0.96899999999999997</v>
      </c>
    </row>
    <row r="32" spans="1:11" x14ac:dyDescent="0.25">
      <c r="A32" s="88">
        <v>5</v>
      </c>
      <c r="B32" s="90">
        <v>0.67300000000000004</v>
      </c>
      <c r="C32" s="90">
        <v>0.69699999999999995</v>
      </c>
      <c r="D32" s="90">
        <v>0.72299999999999998</v>
      </c>
      <c r="E32" s="90">
        <v>0.751</v>
      </c>
      <c r="F32" s="90">
        <v>0.78100000000000003</v>
      </c>
      <c r="G32" s="90">
        <v>0.81399999999999995</v>
      </c>
      <c r="H32" s="90">
        <v>0.84899999999999998</v>
      </c>
      <c r="I32" s="90">
        <v>0.88800000000000001</v>
      </c>
      <c r="J32" s="90">
        <v>0.92900000000000005</v>
      </c>
      <c r="K32" s="90">
        <v>0.97299999999999998</v>
      </c>
    </row>
    <row r="33" spans="1:11" x14ac:dyDescent="0.25">
      <c r="A33" s="88">
        <v>6</v>
      </c>
      <c r="B33" s="90">
        <v>0.67500000000000004</v>
      </c>
      <c r="C33" s="90">
        <v>0.69899999999999995</v>
      </c>
      <c r="D33" s="90">
        <v>0.72499999999999998</v>
      </c>
      <c r="E33" s="90">
        <v>0.753</v>
      </c>
      <c r="F33" s="90">
        <v>0.78400000000000003</v>
      </c>
      <c r="G33" s="90">
        <v>0.81699999999999995</v>
      </c>
      <c r="H33" s="90">
        <v>0.85299999999999998</v>
      </c>
      <c r="I33" s="90">
        <v>0.89100000000000001</v>
      </c>
      <c r="J33" s="90">
        <v>0.93200000000000005</v>
      </c>
      <c r="K33" s="90">
        <v>0.97699999999999998</v>
      </c>
    </row>
    <row r="34" spans="1:11" x14ac:dyDescent="0.25">
      <c r="A34" s="88">
        <v>7</v>
      </c>
      <c r="B34" s="90">
        <v>0.67700000000000005</v>
      </c>
      <c r="C34" s="90">
        <v>0.70099999999999996</v>
      </c>
      <c r="D34" s="90">
        <v>0.72699999999999998</v>
      </c>
      <c r="E34" s="90">
        <v>0.755</v>
      </c>
      <c r="F34" s="90">
        <v>0.78600000000000003</v>
      </c>
      <c r="G34" s="90">
        <v>0.82</v>
      </c>
      <c r="H34" s="90">
        <v>0.85599999999999998</v>
      </c>
      <c r="I34" s="90">
        <v>0.89400000000000002</v>
      </c>
      <c r="J34" s="90">
        <v>0.93600000000000005</v>
      </c>
      <c r="K34" s="90">
        <v>0.98099999999999998</v>
      </c>
    </row>
    <row r="35" spans="1:11" x14ac:dyDescent="0.25">
      <c r="A35" s="88">
        <v>8</v>
      </c>
      <c r="B35" s="90">
        <v>0.67900000000000005</v>
      </c>
      <c r="C35" s="90">
        <v>0.70299999999999996</v>
      </c>
      <c r="D35" s="90">
        <v>0.72899999999999998</v>
      </c>
      <c r="E35" s="90">
        <v>0.75800000000000001</v>
      </c>
      <c r="F35" s="90">
        <v>0.78900000000000003</v>
      </c>
      <c r="G35" s="90">
        <v>0.82299999999999995</v>
      </c>
      <c r="H35" s="90">
        <v>0.85899999999999999</v>
      </c>
      <c r="I35" s="90">
        <v>0.89800000000000002</v>
      </c>
      <c r="J35" s="90">
        <v>0.93899999999999995</v>
      </c>
      <c r="K35" s="90">
        <v>0.98499999999999999</v>
      </c>
    </row>
    <row r="36" spans="1:11" x14ac:dyDescent="0.25">
      <c r="A36" s="88">
        <v>9</v>
      </c>
      <c r="B36" s="90">
        <v>0.68100000000000005</v>
      </c>
      <c r="C36" s="90">
        <v>0.70499999999999996</v>
      </c>
      <c r="D36" s="90">
        <v>0.73199999999999998</v>
      </c>
      <c r="E36" s="90">
        <v>0.76</v>
      </c>
      <c r="F36" s="90">
        <v>0.79200000000000004</v>
      </c>
      <c r="G36" s="90">
        <v>0.82499999999999996</v>
      </c>
      <c r="H36" s="90">
        <v>0.86199999999999999</v>
      </c>
      <c r="I36" s="90">
        <v>0.90100000000000002</v>
      </c>
      <c r="J36" s="90">
        <v>0.94299999999999995</v>
      </c>
      <c r="K36" s="90">
        <v>0.98799999999999999</v>
      </c>
    </row>
    <row r="37" spans="1:11" x14ac:dyDescent="0.25">
      <c r="A37" s="88">
        <v>10</v>
      </c>
      <c r="B37" s="90">
        <v>0.68200000000000005</v>
      </c>
      <c r="C37" s="90">
        <v>0.70699999999999996</v>
      </c>
      <c r="D37" s="90">
        <v>0.73399999999999999</v>
      </c>
      <c r="E37" s="90">
        <v>0.76300000000000001</v>
      </c>
      <c r="F37" s="90">
        <v>0.79400000000000004</v>
      </c>
      <c r="G37" s="90">
        <v>0.82799999999999996</v>
      </c>
      <c r="H37" s="90">
        <v>0.86499999999999999</v>
      </c>
      <c r="I37" s="90">
        <v>0.90400000000000003</v>
      </c>
      <c r="J37" s="90">
        <v>0.94699999999999995</v>
      </c>
      <c r="K37" s="90">
        <v>0.99199999999999999</v>
      </c>
    </row>
    <row r="38" spans="1:11" x14ac:dyDescent="0.25">
      <c r="A38" s="88">
        <v>11</v>
      </c>
      <c r="B38" s="90">
        <v>0.68400000000000005</v>
      </c>
      <c r="C38" s="90">
        <v>0.70899999999999996</v>
      </c>
      <c r="D38" s="90">
        <v>0.73599999999999999</v>
      </c>
      <c r="E38" s="90">
        <v>0.76500000000000001</v>
      </c>
      <c r="F38" s="90">
        <v>0.79700000000000004</v>
      </c>
      <c r="G38" s="90">
        <v>0.83099999999999996</v>
      </c>
      <c r="H38" s="90">
        <v>0.86799999999999999</v>
      </c>
      <c r="I38" s="90">
        <v>0.90800000000000003</v>
      </c>
      <c r="J38" s="90">
        <v>0.95</v>
      </c>
      <c r="K38" s="90">
        <v>0.996</v>
      </c>
    </row>
    <row r="44" spans="1:11" ht="39.65" customHeight="1" x14ac:dyDescent="0.25"/>
    <row r="46" spans="1:11" ht="27.65" customHeight="1" x14ac:dyDescent="0.25"/>
  </sheetData>
  <sheetProtection algorithmName="SHA-512" hashValue="YV549LbSSXAHKMa/w2ydpCWno/4Kiszi6BPhyf8eBamiMSoB/RqiLGivxFyfK7POx/956wfXC1gi7C7s6lq5wQ==" saltValue="j2RFxc2sS/h00BowjvViMg==" spinCount="100000" sheet="1" objects="1" scenarios="1"/>
  <conditionalFormatting sqref="A6:A16">
    <cfRule type="expression" dxfId="365" priority="29" stopIfTrue="1">
      <formula>MOD(ROW(),2)=0</formula>
    </cfRule>
    <cfRule type="expression" dxfId="364" priority="30" stopIfTrue="1">
      <formula>MOD(ROW(),2)&lt;&gt;0</formula>
    </cfRule>
  </conditionalFormatting>
  <conditionalFormatting sqref="B6:K21">
    <cfRule type="expression" dxfId="363" priority="31" stopIfTrue="1">
      <formula>MOD(ROW(),2)=0</formula>
    </cfRule>
    <cfRule type="expression" dxfId="362" priority="32" stopIfTrue="1">
      <formula>MOD(ROW(),2)&lt;&gt;0</formula>
    </cfRule>
  </conditionalFormatting>
  <conditionalFormatting sqref="A17:A20">
    <cfRule type="expression" dxfId="361" priority="21" stopIfTrue="1">
      <formula>MOD(ROW(),2)=0</formula>
    </cfRule>
    <cfRule type="expression" dxfId="360" priority="22" stopIfTrue="1">
      <formula>MOD(ROW(),2)&lt;&gt;0</formula>
    </cfRule>
  </conditionalFormatting>
  <conditionalFormatting sqref="B17:B18 B20:B21">
    <cfRule type="expression" dxfId="359" priority="23" stopIfTrue="1">
      <formula>MOD(ROW(),2)=0</formula>
    </cfRule>
    <cfRule type="expression" dxfId="358" priority="24" stopIfTrue="1">
      <formula>MOD(ROW(),2)&lt;&gt;0</formula>
    </cfRule>
  </conditionalFormatting>
  <conditionalFormatting sqref="A26:A38">
    <cfRule type="expression" dxfId="357" priority="15" stopIfTrue="1">
      <formula>MOD(ROW(),2)=0</formula>
    </cfRule>
    <cfRule type="expression" dxfId="356" priority="16" stopIfTrue="1">
      <formula>MOD(ROW(),2)&lt;&gt;0</formula>
    </cfRule>
  </conditionalFormatting>
  <conditionalFormatting sqref="B26:K38">
    <cfRule type="expression" dxfId="355" priority="17" stopIfTrue="1">
      <formula>MOD(ROW(),2)=0</formula>
    </cfRule>
    <cfRule type="expression" dxfId="354" priority="18" stopIfTrue="1">
      <formula>MOD(ROW(),2)&lt;&gt;0</formula>
    </cfRule>
  </conditionalFormatting>
  <conditionalFormatting sqref="B19">
    <cfRule type="expression" dxfId="353" priority="13" stopIfTrue="1">
      <formula>MOD(ROW(),2)=0</formula>
    </cfRule>
    <cfRule type="expression" dxfId="352" priority="14" stopIfTrue="1">
      <formula>MOD(ROW(),2)&lt;&gt;0</formula>
    </cfRule>
  </conditionalFormatting>
  <conditionalFormatting sqref="A21">
    <cfRule type="expression" dxfId="351" priority="1" stopIfTrue="1">
      <formula>MOD(ROW(),2)=0</formula>
    </cfRule>
    <cfRule type="expression" dxfId="350" priority="2" stopIfTrue="1">
      <formula>MOD(ROW(),2)&lt;&gt;0</formula>
    </cfRule>
  </conditionalFormatting>
  <hyperlinks>
    <hyperlink ref="B24" location="Assumptions!A1" display="Assumptions" xr:uid="{6F00A5DB-F523-44FC-B0E9-B20DEE930969}"/>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sheetPr codeName="Sheet92"/>
  <dimension ref="A1:H46"/>
  <sheetViews>
    <sheetView showGridLines="0" zoomScale="85" zoomScaleNormal="85" workbookViewId="0">
      <selection activeCell="B18" sqref="B18"/>
    </sheetView>
  </sheetViews>
  <sheetFormatPr defaultColWidth="10" defaultRowHeight="12.5" x14ac:dyDescent="0.25"/>
  <cols>
    <col min="1" max="1" width="31.81640625" style="28" customWidth="1"/>
    <col min="2" max="7" width="22.81640625" style="28" customWidth="1"/>
    <col min="8" max="16384" width="10" style="28"/>
  </cols>
  <sheetData>
    <row r="1" spans="1:8" ht="20" x14ac:dyDescent="0.4">
      <c r="A1" s="40" t="s">
        <v>227</v>
      </c>
      <c r="B1" s="41"/>
      <c r="C1" s="41"/>
      <c r="D1" s="41"/>
      <c r="E1" s="41"/>
      <c r="F1" s="41"/>
      <c r="G1" s="41"/>
      <c r="H1" s="41"/>
    </row>
    <row r="2" spans="1:8" ht="15.5" x14ac:dyDescent="0.35">
      <c r="A2" s="42" t="str">
        <f>IF(title="&gt; Enter workbook title here","Enter workbook title in Cover sheet",title)</f>
        <v>Fire Northern Ireland - Consolidated Factor Spreadsheet</v>
      </c>
      <c r="B2" s="43"/>
      <c r="C2" s="43"/>
      <c r="D2" s="43"/>
      <c r="E2" s="43"/>
      <c r="F2" s="43"/>
      <c r="G2" s="43"/>
      <c r="H2" s="43"/>
    </row>
    <row r="3" spans="1:8" ht="15.5" x14ac:dyDescent="0.35">
      <c r="A3" s="44" t="str">
        <f>TABLE_FACTOR_TYPE_1&amp;" - x-"&amp;TABLE_SERIES_NUMBER_1</f>
        <v>Scheme pays AA - x-612</v>
      </c>
      <c r="B3" s="43"/>
      <c r="C3" s="43"/>
      <c r="D3" s="43"/>
      <c r="E3" s="43"/>
      <c r="F3" s="43"/>
      <c r="G3" s="43"/>
      <c r="H3" s="43"/>
    </row>
    <row r="4" spans="1:8" x14ac:dyDescent="0.25">
      <c r="A4" s="45"/>
    </row>
    <row r="6" spans="1:8" ht="13" x14ac:dyDescent="0.3">
      <c r="A6" s="75" t="s">
        <v>562</v>
      </c>
      <c r="B6" s="159" t="s">
        <v>563</v>
      </c>
      <c r="C6" s="159"/>
      <c r="D6" s="159"/>
      <c r="E6" s="159"/>
      <c r="F6" s="159"/>
      <c r="G6" s="159"/>
    </row>
    <row r="7" spans="1:8" x14ac:dyDescent="0.25">
      <c r="A7" s="77" t="s">
        <v>305</v>
      </c>
      <c r="B7" s="159" t="s">
        <v>319</v>
      </c>
      <c r="C7" s="159"/>
      <c r="D7" s="159"/>
      <c r="E7" s="159"/>
      <c r="F7" s="159"/>
      <c r="G7" s="159"/>
    </row>
    <row r="8" spans="1:8" x14ac:dyDescent="0.25">
      <c r="A8" s="77" t="s">
        <v>306</v>
      </c>
      <c r="B8" s="159" t="s">
        <v>320</v>
      </c>
      <c r="C8" s="159"/>
      <c r="D8" s="159"/>
      <c r="E8" s="159"/>
      <c r="F8" s="159"/>
      <c r="G8" s="159"/>
    </row>
    <row r="9" spans="1:8" x14ac:dyDescent="0.25">
      <c r="A9" s="77" t="s">
        <v>307</v>
      </c>
      <c r="B9" s="159" t="s">
        <v>482</v>
      </c>
      <c r="C9" s="159"/>
      <c r="D9" s="159"/>
      <c r="E9" s="159"/>
      <c r="F9" s="159"/>
      <c r="G9" s="159"/>
    </row>
    <row r="10" spans="1:8" x14ac:dyDescent="0.25">
      <c r="A10" s="77" t="s">
        <v>233</v>
      </c>
      <c r="B10" s="159" t="s">
        <v>503</v>
      </c>
      <c r="C10" s="159"/>
      <c r="D10" s="159"/>
      <c r="E10" s="159"/>
      <c r="F10" s="159"/>
      <c r="G10" s="159"/>
    </row>
    <row r="11" spans="1:8" x14ac:dyDescent="0.25">
      <c r="A11" s="77" t="s">
        <v>308</v>
      </c>
      <c r="B11" s="159" t="s">
        <v>404</v>
      </c>
      <c r="C11" s="159"/>
      <c r="D11" s="159"/>
      <c r="E11" s="159"/>
      <c r="F11" s="159"/>
      <c r="G11" s="159"/>
    </row>
    <row r="12" spans="1:8" x14ac:dyDescent="0.25">
      <c r="A12" s="77" t="s">
        <v>309</v>
      </c>
      <c r="B12" s="159" t="s">
        <v>405</v>
      </c>
      <c r="C12" s="159"/>
      <c r="D12" s="159"/>
      <c r="E12" s="159"/>
      <c r="F12" s="159"/>
      <c r="G12" s="159"/>
    </row>
    <row r="13" spans="1:8" x14ac:dyDescent="0.25">
      <c r="A13" s="77" t="s">
        <v>570</v>
      </c>
      <c r="B13" s="159">
        <v>2</v>
      </c>
      <c r="C13" s="159"/>
      <c r="D13" s="159"/>
      <c r="E13" s="159"/>
      <c r="F13" s="159"/>
      <c r="G13" s="159"/>
    </row>
    <row r="14" spans="1:8" x14ac:dyDescent="0.25">
      <c r="A14" s="77" t="s">
        <v>311</v>
      </c>
      <c r="B14" s="159">
        <v>612</v>
      </c>
      <c r="C14" s="159"/>
      <c r="D14" s="159"/>
      <c r="E14" s="159"/>
      <c r="F14" s="159"/>
      <c r="G14" s="159"/>
    </row>
    <row r="15" spans="1:8" x14ac:dyDescent="0.25">
      <c r="A15" s="77" t="s">
        <v>573</v>
      </c>
      <c r="B15" s="159" t="s">
        <v>504</v>
      </c>
      <c r="C15" s="159"/>
      <c r="D15" s="159"/>
      <c r="E15" s="159"/>
      <c r="F15" s="159"/>
      <c r="G15" s="159"/>
    </row>
    <row r="16" spans="1:8" x14ac:dyDescent="0.25">
      <c r="A16" s="77" t="s">
        <v>313</v>
      </c>
      <c r="B16" s="159" t="s">
        <v>342</v>
      </c>
      <c r="C16" s="159"/>
      <c r="D16" s="159"/>
      <c r="E16" s="159"/>
      <c r="F16" s="159"/>
      <c r="G16" s="159"/>
    </row>
    <row r="17" spans="1:7" x14ac:dyDescent="0.25">
      <c r="A17" s="77" t="s">
        <v>642</v>
      </c>
      <c r="B17" s="159"/>
      <c r="C17" s="159"/>
      <c r="D17" s="159"/>
      <c r="E17" s="159"/>
      <c r="F17" s="159"/>
      <c r="G17" s="159"/>
    </row>
    <row r="18" spans="1:7" x14ac:dyDescent="0.25">
      <c r="A18" s="77" t="s">
        <v>315</v>
      </c>
      <c r="B18" s="161">
        <v>45135</v>
      </c>
      <c r="C18" s="159"/>
      <c r="D18" s="159"/>
      <c r="E18" s="159"/>
      <c r="F18" s="159"/>
      <c r="G18" s="159"/>
    </row>
    <row r="19" spans="1:7" x14ac:dyDescent="0.25">
      <c r="A19" s="77" t="s">
        <v>316</v>
      </c>
      <c r="B19" s="161">
        <v>45135</v>
      </c>
      <c r="C19" s="159"/>
      <c r="D19" s="159"/>
      <c r="E19" s="159"/>
      <c r="F19" s="159"/>
      <c r="G19" s="159"/>
    </row>
    <row r="20" spans="1:7" x14ac:dyDescent="0.25">
      <c r="A20" s="77" t="s">
        <v>317</v>
      </c>
      <c r="B20" s="159" t="s">
        <v>327</v>
      </c>
      <c r="C20" s="159"/>
      <c r="D20" s="159"/>
      <c r="E20" s="159"/>
      <c r="F20" s="159"/>
      <c r="G20" s="159"/>
    </row>
    <row r="21" spans="1:7" x14ac:dyDescent="0.25">
      <c r="A21" s="77" t="s">
        <v>318</v>
      </c>
      <c r="B21" s="159" t="s">
        <v>328</v>
      </c>
      <c r="C21" s="159"/>
      <c r="D21" s="159"/>
      <c r="E21" s="159"/>
      <c r="F21" s="159"/>
      <c r="G21" s="159"/>
    </row>
    <row r="23" spans="1:7" x14ac:dyDescent="0.25">
      <c r="B23" s="91" t="str">
        <f>HYPERLINK("#'Factor List'!A1","Back to Factor List")</f>
        <v>Back to Factor List</v>
      </c>
    </row>
    <row r="24" spans="1:7" x14ac:dyDescent="0.25">
      <c r="B24" s="91" t="s">
        <v>240</v>
      </c>
    </row>
    <row r="25" spans="1:7" x14ac:dyDescent="0.25">
      <c r="B25" s="91"/>
    </row>
    <row r="26" spans="1:7" ht="13" x14ac:dyDescent="0.25">
      <c r="A26" s="87" t="s">
        <v>667</v>
      </c>
      <c r="B26" s="87">
        <v>60</v>
      </c>
      <c r="C26" s="87">
        <v>61</v>
      </c>
      <c r="D26" s="87">
        <v>62</v>
      </c>
      <c r="E26" s="87">
        <v>63</v>
      </c>
      <c r="F26" s="87">
        <v>64</v>
      </c>
      <c r="G26" s="87">
        <v>65</v>
      </c>
    </row>
    <row r="27" spans="1:7" x14ac:dyDescent="0.25">
      <c r="A27" s="88">
        <v>0</v>
      </c>
      <c r="B27" s="90">
        <v>1</v>
      </c>
      <c r="C27" s="90">
        <v>1.05</v>
      </c>
      <c r="D27" s="90">
        <v>1.105</v>
      </c>
      <c r="E27" s="90">
        <v>1.1639999999999999</v>
      </c>
      <c r="F27" s="90">
        <v>1.228</v>
      </c>
      <c r="G27" s="90">
        <v>1.298</v>
      </c>
    </row>
    <row r="28" spans="1:7" x14ac:dyDescent="0.25">
      <c r="A28" s="88">
        <v>1</v>
      </c>
      <c r="B28" s="90">
        <v>1.004</v>
      </c>
      <c r="C28" s="90">
        <v>1.0549999999999999</v>
      </c>
      <c r="D28" s="90">
        <v>1.1100000000000001</v>
      </c>
      <c r="E28" s="90">
        <v>1.169</v>
      </c>
      <c r="F28" s="90">
        <v>1.234</v>
      </c>
      <c r="G28" s="90">
        <v>1.304</v>
      </c>
    </row>
    <row r="29" spans="1:7" x14ac:dyDescent="0.25">
      <c r="A29" s="88">
        <v>2</v>
      </c>
      <c r="B29" s="90">
        <v>1.008</v>
      </c>
      <c r="C29" s="90">
        <v>1.0589999999999999</v>
      </c>
      <c r="D29" s="90">
        <v>1.115</v>
      </c>
      <c r="E29" s="90">
        <v>1.175</v>
      </c>
      <c r="F29" s="90">
        <v>1.24</v>
      </c>
      <c r="G29" s="90">
        <v>1.3109999999999999</v>
      </c>
    </row>
    <row r="30" spans="1:7" x14ac:dyDescent="0.25">
      <c r="A30" s="88">
        <v>3</v>
      </c>
      <c r="B30" s="90">
        <v>1.0129999999999999</v>
      </c>
      <c r="C30" s="90">
        <v>1.0640000000000001</v>
      </c>
      <c r="D30" s="90">
        <v>1.1200000000000001</v>
      </c>
      <c r="E30" s="90">
        <v>1.18</v>
      </c>
      <c r="F30" s="90">
        <v>1.2450000000000001</v>
      </c>
      <c r="G30" s="90">
        <v>1.3169999999999999</v>
      </c>
    </row>
    <row r="31" spans="1:7" x14ac:dyDescent="0.25">
      <c r="A31" s="88">
        <v>4</v>
      </c>
      <c r="B31" s="90">
        <v>1.0169999999999999</v>
      </c>
      <c r="C31" s="90">
        <v>1.0680000000000001</v>
      </c>
      <c r="D31" s="90">
        <v>1.1240000000000001</v>
      </c>
      <c r="E31" s="90">
        <v>1.1850000000000001</v>
      </c>
      <c r="F31" s="90">
        <v>1.2509999999999999</v>
      </c>
      <c r="G31" s="90">
        <v>1.323</v>
      </c>
    </row>
    <row r="32" spans="1:7" x14ac:dyDescent="0.25">
      <c r="A32" s="88">
        <v>5</v>
      </c>
      <c r="B32" s="90">
        <v>1.0209999999999999</v>
      </c>
      <c r="C32" s="90">
        <v>1.073</v>
      </c>
      <c r="D32" s="90">
        <v>1.129</v>
      </c>
      <c r="E32" s="90">
        <v>1.1910000000000001</v>
      </c>
      <c r="F32" s="90">
        <v>1.2569999999999999</v>
      </c>
      <c r="G32" s="90">
        <v>1.33</v>
      </c>
    </row>
    <row r="33" spans="1:7" x14ac:dyDescent="0.25">
      <c r="A33" s="88">
        <v>6</v>
      </c>
      <c r="B33" s="90">
        <v>1.0249999999999999</v>
      </c>
      <c r="C33" s="90">
        <v>1.0780000000000001</v>
      </c>
      <c r="D33" s="90">
        <v>1.1339999999999999</v>
      </c>
      <c r="E33" s="90">
        <v>1.196</v>
      </c>
      <c r="F33" s="90">
        <v>1.2629999999999999</v>
      </c>
      <c r="G33" s="90">
        <v>1.3360000000000001</v>
      </c>
    </row>
    <row r="34" spans="1:7" x14ac:dyDescent="0.25">
      <c r="A34" s="88">
        <v>7</v>
      </c>
      <c r="B34" s="90">
        <v>1.0289999999999999</v>
      </c>
      <c r="C34" s="90">
        <v>1.0820000000000001</v>
      </c>
      <c r="D34" s="90">
        <v>1.139</v>
      </c>
      <c r="E34" s="90">
        <v>1.2010000000000001</v>
      </c>
      <c r="F34" s="90">
        <v>1.2689999999999999</v>
      </c>
      <c r="G34" s="90">
        <v>1.3420000000000001</v>
      </c>
    </row>
    <row r="35" spans="1:7" x14ac:dyDescent="0.25">
      <c r="A35" s="88">
        <v>8</v>
      </c>
      <c r="B35" s="90">
        <v>1.034</v>
      </c>
      <c r="C35" s="90">
        <v>1.087</v>
      </c>
      <c r="D35" s="90">
        <v>1.1439999999999999</v>
      </c>
      <c r="E35" s="90">
        <v>1.2070000000000001</v>
      </c>
      <c r="F35" s="90">
        <v>1.2749999999999999</v>
      </c>
      <c r="G35" s="90">
        <v>1.349</v>
      </c>
    </row>
    <row r="36" spans="1:7" x14ac:dyDescent="0.25">
      <c r="A36" s="88">
        <v>9</v>
      </c>
      <c r="B36" s="90">
        <v>1.038</v>
      </c>
      <c r="C36" s="90">
        <v>1.091</v>
      </c>
      <c r="D36" s="90">
        <v>1.149</v>
      </c>
      <c r="E36" s="90">
        <v>1.212</v>
      </c>
      <c r="F36" s="90">
        <v>1.28</v>
      </c>
      <c r="G36" s="90">
        <v>1.355</v>
      </c>
    </row>
    <row r="37" spans="1:7" x14ac:dyDescent="0.25">
      <c r="A37" s="88">
        <v>10</v>
      </c>
      <c r="B37" s="90">
        <v>1.042</v>
      </c>
      <c r="C37" s="90">
        <v>1.0960000000000001</v>
      </c>
      <c r="D37" s="90">
        <v>1.1539999999999999</v>
      </c>
      <c r="E37" s="90">
        <v>1.2170000000000001</v>
      </c>
      <c r="F37" s="90">
        <v>1.286</v>
      </c>
      <c r="G37" s="90">
        <v>1.361</v>
      </c>
    </row>
    <row r="38" spans="1:7" x14ac:dyDescent="0.25">
      <c r="A38" s="88">
        <v>11</v>
      </c>
      <c r="B38" s="90">
        <v>1.046</v>
      </c>
      <c r="C38" s="90">
        <v>1.1000000000000001</v>
      </c>
      <c r="D38" s="90">
        <v>1.159</v>
      </c>
      <c r="E38" s="90">
        <v>1.2230000000000001</v>
      </c>
      <c r="F38" s="90">
        <v>1.292</v>
      </c>
      <c r="G38" s="90">
        <v>1.3680000000000001</v>
      </c>
    </row>
    <row r="44" spans="1:7" ht="39.65" customHeight="1" x14ac:dyDescent="0.25"/>
    <row r="46" spans="1:7" ht="27.65" customHeight="1" x14ac:dyDescent="0.25"/>
  </sheetData>
  <sheetProtection algorithmName="SHA-512" hashValue="q/qopw9WBYutsKvDvUn8QMVhkFABIc7M6kfvwH7byELLjHPr97Q80HL87cRhzsu8bXrul+tI/qUyYJQEPr7g/Q==" saltValue="DnbWvRSxjho3r8g7YjTIkg==" spinCount="100000" sheet="1" objects="1" scenarios="1"/>
  <conditionalFormatting sqref="A6:A16">
    <cfRule type="expression" dxfId="349" priority="29" stopIfTrue="1">
      <formula>MOD(ROW(),2)=0</formula>
    </cfRule>
    <cfRule type="expression" dxfId="348" priority="30" stopIfTrue="1">
      <formula>MOD(ROW(),2)&lt;&gt;0</formula>
    </cfRule>
  </conditionalFormatting>
  <conditionalFormatting sqref="B6:G21">
    <cfRule type="expression" dxfId="347" priority="31" stopIfTrue="1">
      <formula>MOD(ROW(),2)=0</formula>
    </cfRule>
    <cfRule type="expression" dxfId="346" priority="32" stopIfTrue="1">
      <formula>MOD(ROW(),2)&lt;&gt;0</formula>
    </cfRule>
  </conditionalFormatting>
  <conditionalFormatting sqref="A17:A20">
    <cfRule type="expression" dxfId="345" priority="21" stopIfTrue="1">
      <formula>MOD(ROW(),2)=0</formula>
    </cfRule>
    <cfRule type="expression" dxfId="344" priority="22" stopIfTrue="1">
      <formula>MOD(ROW(),2)&lt;&gt;0</formula>
    </cfRule>
  </conditionalFormatting>
  <conditionalFormatting sqref="B17:B18 B20:B21">
    <cfRule type="expression" dxfId="343" priority="23" stopIfTrue="1">
      <formula>MOD(ROW(),2)=0</formula>
    </cfRule>
    <cfRule type="expression" dxfId="342" priority="24" stopIfTrue="1">
      <formula>MOD(ROW(),2)&lt;&gt;0</formula>
    </cfRule>
  </conditionalFormatting>
  <conditionalFormatting sqref="A26:A38">
    <cfRule type="expression" dxfId="341" priority="15" stopIfTrue="1">
      <formula>MOD(ROW(),2)=0</formula>
    </cfRule>
    <cfRule type="expression" dxfId="340" priority="16" stopIfTrue="1">
      <formula>MOD(ROW(),2)&lt;&gt;0</formula>
    </cfRule>
  </conditionalFormatting>
  <conditionalFormatting sqref="B26:G38">
    <cfRule type="expression" dxfId="339" priority="17" stopIfTrue="1">
      <formula>MOD(ROW(),2)=0</formula>
    </cfRule>
    <cfRule type="expression" dxfId="338" priority="18" stopIfTrue="1">
      <formula>MOD(ROW(),2)&lt;&gt;0</formula>
    </cfRule>
  </conditionalFormatting>
  <conditionalFormatting sqref="B19">
    <cfRule type="expression" dxfId="337" priority="13" stopIfTrue="1">
      <formula>MOD(ROW(),2)=0</formula>
    </cfRule>
    <cfRule type="expression" dxfId="336" priority="14" stopIfTrue="1">
      <formula>MOD(ROW(),2)&lt;&gt;0</formula>
    </cfRule>
  </conditionalFormatting>
  <conditionalFormatting sqref="A21">
    <cfRule type="expression" dxfId="335" priority="1" stopIfTrue="1">
      <formula>MOD(ROW(),2)=0</formula>
    </cfRule>
    <cfRule type="expression" dxfId="334" priority="2" stopIfTrue="1">
      <formula>MOD(ROW(),2)&lt;&gt;0</formula>
    </cfRule>
  </conditionalFormatting>
  <hyperlinks>
    <hyperlink ref="B24" location="Assumptions!A1" display="Assumptions" xr:uid="{35729381-4B00-42B7-9A00-977A7DAF7629}"/>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sheetPr codeName="Sheet93"/>
  <dimension ref="A1:AQ46"/>
  <sheetViews>
    <sheetView showGridLines="0" zoomScale="85" zoomScaleNormal="85" workbookViewId="0">
      <selection activeCell="B18" sqref="B18"/>
    </sheetView>
  </sheetViews>
  <sheetFormatPr defaultColWidth="10" defaultRowHeight="12.5" x14ac:dyDescent="0.25"/>
  <cols>
    <col min="1" max="1" width="31.81640625" style="28" customWidth="1"/>
    <col min="2" max="43" width="22.81640625" style="28" customWidth="1"/>
    <col min="44" max="16384" width="10" style="28"/>
  </cols>
  <sheetData>
    <row r="1" spans="1:43" ht="20" x14ac:dyDescent="0.4">
      <c r="A1" s="40" t="s">
        <v>227</v>
      </c>
      <c r="B1" s="41"/>
      <c r="C1" s="41"/>
      <c r="D1" s="41"/>
      <c r="E1" s="41"/>
      <c r="F1" s="41"/>
      <c r="G1" s="41"/>
      <c r="H1" s="41"/>
      <c r="I1" s="41"/>
    </row>
    <row r="2" spans="1:43" ht="15.5" x14ac:dyDescent="0.35">
      <c r="A2" s="42" t="str">
        <f>IF(title="&gt; Enter workbook title here","Enter workbook title in Cover sheet",title)</f>
        <v>Fire Northern Ireland - Consolidated Factor Spreadsheet</v>
      </c>
      <c r="B2" s="43"/>
      <c r="C2" s="43"/>
      <c r="D2" s="43"/>
      <c r="E2" s="43"/>
      <c r="F2" s="43"/>
      <c r="G2" s="43"/>
      <c r="H2" s="43"/>
      <c r="I2" s="43"/>
    </row>
    <row r="3" spans="1:43" ht="15.5" x14ac:dyDescent="0.35">
      <c r="A3" s="44" t="str">
        <f>TABLE_FACTOR_TYPE_1&amp;" - x-"&amp;TABLE_SERIES_NUMBER_1</f>
        <v>Scheme pays AA - x-613</v>
      </c>
      <c r="B3" s="43"/>
      <c r="C3" s="43"/>
      <c r="D3" s="43"/>
      <c r="E3" s="43"/>
      <c r="F3" s="43"/>
      <c r="G3" s="43"/>
      <c r="H3" s="43"/>
      <c r="I3" s="43"/>
    </row>
    <row r="4" spans="1:43" x14ac:dyDescent="0.25">
      <c r="A4" s="45"/>
    </row>
    <row r="6" spans="1:43" ht="13" x14ac:dyDescent="0.3">
      <c r="A6" s="75" t="s">
        <v>562</v>
      </c>
      <c r="B6" s="159" t="s">
        <v>563</v>
      </c>
      <c r="C6" s="159"/>
      <c r="D6" s="159"/>
      <c r="E6" s="159"/>
      <c r="F6" s="159"/>
      <c r="G6" s="159"/>
      <c r="H6" s="159"/>
      <c r="I6" s="159"/>
      <c r="J6" s="159"/>
      <c r="K6" s="159"/>
      <c r="L6" s="159"/>
      <c r="M6" s="159"/>
      <c r="N6" s="159"/>
      <c r="O6" s="159"/>
      <c r="P6" s="159"/>
      <c r="Q6" s="159"/>
      <c r="R6" s="159"/>
      <c r="S6" s="159"/>
      <c r="T6" s="159"/>
      <c r="U6" s="159"/>
      <c r="V6" s="159"/>
      <c r="W6" s="159"/>
      <c r="X6" s="159"/>
      <c r="Y6" s="159"/>
      <c r="Z6" s="159"/>
      <c r="AA6" s="159"/>
      <c r="AB6" s="159"/>
      <c r="AC6" s="159"/>
      <c r="AD6" s="159"/>
      <c r="AE6" s="159"/>
      <c r="AF6" s="159"/>
      <c r="AG6" s="159"/>
      <c r="AH6" s="159"/>
      <c r="AI6" s="159"/>
      <c r="AJ6" s="159"/>
      <c r="AK6" s="159"/>
      <c r="AL6" s="159"/>
      <c r="AM6" s="159"/>
      <c r="AN6" s="159"/>
      <c r="AO6" s="159"/>
      <c r="AP6" s="159"/>
      <c r="AQ6" s="159"/>
    </row>
    <row r="7" spans="1:43" x14ac:dyDescent="0.25">
      <c r="A7" s="77" t="s">
        <v>305</v>
      </c>
      <c r="B7" s="159" t="s">
        <v>319</v>
      </c>
      <c r="C7" s="159"/>
      <c r="D7" s="159"/>
      <c r="E7" s="159"/>
      <c r="F7" s="159"/>
      <c r="G7" s="159"/>
      <c r="H7" s="159"/>
      <c r="I7" s="159"/>
      <c r="J7" s="159"/>
      <c r="K7" s="159"/>
      <c r="L7" s="159"/>
      <c r="M7" s="159"/>
      <c r="N7" s="159"/>
      <c r="O7" s="159"/>
      <c r="P7" s="159"/>
      <c r="Q7" s="159"/>
      <c r="R7" s="159"/>
      <c r="S7" s="159"/>
      <c r="T7" s="159"/>
      <c r="U7" s="159"/>
      <c r="V7" s="159"/>
      <c r="W7" s="159"/>
      <c r="X7" s="159"/>
      <c r="Y7" s="159"/>
      <c r="Z7" s="159"/>
      <c r="AA7" s="159"/>
      <c r="AB7" s="159"/>
      <c r="AC7" s="159"/>
      <c r="AD7" s="159"/>
      <c r="AE7" s="159"/>
      <c r="AF7" s="159"/>
      <c r="AG7" s="159"/>
      <c r="AH7" s="159"/>
      <c r="AI7" s="159"/>
      <c r="AJ7" s="159"/>
      <c r="AK7" s="159"/>
      <c r="AL7" s="159"/>
      <c r="AM7" s="159"/>
      <c r="AN7" s="159"/>
      <c r="AO7" s="159"/>
      <c r="AP7" s="159"/>
      <c r="AQ7" s="159"/>
    </row>
    <row r="8" spans="1:43" x14ac:dyDescent="0.25">
      <c r="A8" s="77" t="s">
        <v>306</v>
      </c>
      <c r="B8" s="159" t="s">
        <v>320</v>
      </c>
      <c r="C8" s="159"/>
      <c r="D8" s="159"/>
      <c r="E8" s="159"/>
      <c r="F8" s="159"/>
      <c r="G8" s="159"/>
      <c r="H8" s="159"/>
      <c r="I8" s="159"/>
      <c r="J8" s="159"/>
      <c r="K8" s="159"/>
      <c r="L8" s="159"/>
      <c r="M8" s="159"/>
      <c r="N8" s="159"/>
      <c r="O8" s="159"/>
      <c r="P8" s="159"/>
      <c r="Q8" s="159"/>
      <c r="R8" s="159"/>
      <c r="S8" s="159"/>
      <c r="T8" s="159"/>
      <c r="U8" s="159"/>
      <c r="V8" s="159"/>
      <c r="W8" s="159"/>
      <c r="X8" s="159"/>
      <c r="Y8" s="159"/>
      <c r="Z8" s="159"/>
      <c r="AA8" s="159"/>
      <c r="AB8" s="159"/>
      <c r="AC8" s="159"/>
      <c r="AD8" s="159"/>
      <c r="AE8" s="159"/>
      <c r="AF8" s="159"/>
      <c r="AG8" s="159"/>
      <c r="AH8" s="159"/>
      <c r="AI8" s="159"/>
      <c r="AJ8" s="159"/>
      <c r="AK8" s="159"/>
      <c r="AL8" s="159"/>
      <c r="AM8" s="159"/>
      <c r="AN8" s="159"/>
      <c r="AO8" s="159"/>
      <c r="AP8" s="159"/>
      <c r="AQ8" s="159"/>
    </row>
    <row r="9" spans="1:43" x14ac:dyDescent="0.25">
      <c r="A9" s="77" t="s">
        <v>307</v>
      </c>
      <c r="B9" s="159" t="s">
        <v>482</v>
      </c>
      <c r="C9" s="159"/>
      <c r="D9" s="159"/>
      <c r="E9" s="159"/>
      <c r="F9" s="159"/>
      <c r="G9" s="159"/>
      <c r="H9" s="159"/>
      <c r="I9" s="159"/>
      <c r="J9" s="159"/>
      <c r="K9" s="159"/>
      <c r="L9" s="159"/>
      <c r="M9" s="159"/>
      <c r="N9" s="159"/>
      <c r="O9" s="159"/>
      <c r="P9" s="159"/>
      <c r="Q9" s="159"/>
      <c r="R9" s="159"/>
      <c r="S9" s="159"/>
      <c r="T9" s="159"/>
      <c r="U9" s="159"/>
      <c r="V9" s="159"/>
      <c r="W9" s="159"/>
      <c r="X9" s="159"/>
      <c r="Y9" s="159"/>
      <c r="Z9" s="159"/>
      <c r="AA9" s="159"/>
      <c r="AB9" s="159"/>
      <c r="AC9" s="159"/>
      <c r="AD9" s="159"/>
      <c r="AE9" s="159"/>
      <c r="AF9" s="159"/>
      <c r="AG9" s="159"/>
      <c r="AH9" s="159"/>
      <c r="AI9" s="159"/>
      <c r="AJ9" s="159"/>
      <c r="AK9" s="159"/>
      <c r="AL9" s="159"/>
      <c r="AM9" s="159"/>
      <c r="AN9" s="159"/>
      <c r="AO9" s="159"/>
      <c r="AP9" s="159"/>
      <c r="AQ9" s="159"/>
    </row>
    <row r="10" spans="1:43" x14ac:dyDescent="0.25">
      <c r="A10" s="77" t="s">
        <v>233</v>
      </c>
      <c r="B10" s="159" t="s">
        <v>505</v>
      </c>
      <c r="C10" s="159"/>
      <c r="D10" s="159"/>
      <c r="E10" s="159"/>
      <c r="F10" s="159"/>
      <c r="G10" s="159"/>
      <c r="H10" s="159"/>
      <c r="I10" s="159"/>
      <c r="J10" s="159"/>
      <c r="K10" s="159"/>
      <c r="L10" s="159"/>
      <c r="M10" s="159"/>
      <c r="N10" s="159"/>
      <c r="O10" s="159"/>
      <c r="P10" s="159"/>
      <c r="Q10" s="159"/>
      <c r="R10" s="159"/>
      <c r="S10" s="159"/>
      <c r="T10" s="159"/>
      <c r="U10" s="159"/>
      <c r="V10" s="159"/>
      <c r="W10" s="159"/>
      <c r="X10" s="159"/>
      <c r="Y10" s="159"/>
      <c r="Z10" s="159"/>
      <c r="AA10" s="159"/>
      <c r="AB10" s="159"/>
      <c r="AC10" s="159"/>
      <c r="AD10" s="159"/>
      <c r="AE10" s="159"/>
      <c r="AF10" s="159"/>
      <c r="AG10" s="159"/>
      <c r="AH10" s="159"/>
      <c r="AI10" s="159"/>
      <c r="AJ10" s="159"/>
      <c r="AK10" s="159"/>
      <c r="AL10" s="159"/>
      <c r="AM10" s="159"/>
      <c r="AN10" s="159"/>
      <c r="AO10" s="159"/>
      <c r="AP10" s="159"/>
      <c r="AQ10" s="159"/>
    </row>
    <row r="11" spans="1:43" x14ac:dyDescent="0.25">
      <c r="A11" s="77" t="s">
        <v>308</v>
      </c>
      <c r="B11" s="159" t="s">
        <v>404</v>
      </c>
      <c r="C11" s="159"/>
      <c r="D11" s="159"/>
      <c r="E11" s="159"/>
      <c r="F11" s="159"/>
      <c r="G11" s="159"/>
      <c r="H11" s="159"/>
      <c r="I11" s="159"/>
      <c r="J11" s="159"/>
      <c r="K11" s="159"/>
      <c r="L11" s="159"/>
      <c r="M11" s="159"/>
      <c r="N11" s="159"/>
      <c r="O11" s="159"/>
      <c r="P11" s="159"/>
      <c r="Q11" s="159"/>
      <c r="R11" s="159"/>
      <c r="S11" s="159"/>
      <c r="T11" s="159"/>
      <c r="U11" s="159"/>
      <c r="V11" s="159"/>
      <c r="W11" s="159"/>
      <c r="X11" s="159"/>
      <c r="Y11" s="159"/>
      <c r="Z11" s="159"/>
      <c r="AA11" s="159"/>
      <c r="AB11" s="159"/>
      <c r="AC11" s="159"/>
      <c r="AD11" s="159"/>
      <c r="AE11" s="159"/>
      <c r="AF11" s="159"/>
      <c r="AG11" s="159"/>
      <c r="AH11" s="159"/>
      <c r="AI11" s="159"/>
      <c r="AJ11" s="159"/>
      <c r="AK11" s="159"/>
      <c r="AL11" s="159"/>
      <c r="AM11" s="159"/>
      <c r="AN11" s="159"/>
      <c r="AO11" s="159"/>
      <c r="AP11" s="159"/>
      <c r="AQ11" s="159"/>
    </row>
    <row r="12" spans="1:43" x14ac:dyDescent="0.25">
      <c r="A12" s="77" t="s">
        <v>309</v>
      </c>
      <c r="B12" s="159" t="s">
        <v>405</v>
      </c>
      <c r="C12" s="159"/>
      <c r="D12" s="159"/>
      <c r="E12" s="159"/>
      <c r="F12" s="159"/>
      <c r="G12" s="159"/>
      <c r="H12" s="159"/>
      <c r="I12" s="159"/>
      <c r="J12" s="159"/>
      <c r="K12" s="159"/>
      <c r="L12" s="159"/>
      <c r="M12" s="159"/>
      <c r="N12" s="159"/>
      <c r="O12" s="159"/>
      <c r="P12" s="159"/>
      <c r="Q12" s="159"/>
      <c r="R12" s="159"/>
      <c r="S12" s="159"/>
      <c r="T12" s="159"/>
      <c r="U12" s="159"/>
      <c r="V12" s="159"/>
      <c r="W12" s="159"/>
      <c r="X12" s="159"/>
      <c r="Y12" s="159"/>
      <c r="Z12" s="159"/>
      <c r="AA12" s="159"/>
      <c r="AB12" s="159"/>
      <c r="AC12" s="159"/>
      <c r="AD12" s="159"/>
      <c r="AE12" s="159"/>
      <c r="AF12" s="159"/>
      <c r="AG12" s="159"/>
      <c r="AH12" s="159"/>
      <c r="AI12" s="159"/>
      <c r="AJ12" s="159"/>
      <c r="AK12" s="159"/>
      <c r="AL12" s="159"/>
      <c r="AM12" s="159"/>
      <c r="AN12" s="159"/>
      <c r="AO12" s="159"/>
      <c r="AP12" s="159"/>
      <c r="AQ12" s="159"/>
    </row>
    <row r="13" spans="1:43" x14ac:dyDescent="0.25">
      <c r="A13" s="77" t="s">
        <v>570</v>
      </c>
      <c r="B13" s="159">
        <v>2</v>
      </c>
      <c r="C13" s="159"/>
      <c r="D13" s="159"/>
      <c r="E13" s="159"/>
      <c r="F13" s="159"/>
      <c r="G13" s="159"/>
      <c r="H13" s="159"/>
      <c r="I13" s="159"/>
      <c r="J13" s="159"/>
      <c r="K13" s="159"/>
      <c r="L13" s="159"/>
      <c r="M13" s="159"/>
      <c r="N13" s="159"/>
      <c r="O13" s="159"/>
      <c r="P13" s="159"/>
      <c r="Q13" s="159"/>
      <c r="R13" s="159"/>
      <c r="S13" s="159"/>
      <c r="T13" s="159"/>
      <c r="U13" s="159"/>
      <c r="V13" s="159"/>
      <c r="W13" s="159"/>
      <c r="X13" s="159"/>
      <c r="Y13" s="159"/>
      <c r="Z13" s="159"/>
      <c r="AA13" s="159"/>
      <c r="AB13" s="159"/>
      <c r="AC13" s="159"/>
      <c r="AD13" s="159"/>
      <c r="AE13" s="159"/>
      <c r="AF13" s="159"/>
      <c r="AG13" s="159"/>
      <c r="AH13" s="159"/>
      <c r="AI13" s="159"/>
      <c r="AJ13" s="159"/>
      <c r="AK13" s="159"/>
      <c r="AL13" s="159"/>
      <c r="AM13" s="159"/>
      <c r="AN13" s="159"/>
      <c r="AO13" s="159"/>
      <c r="AP13" s="159"/>
      <c r="AQ13" s="159"/>
    </row>
    <row r="14" spans="1:43" x14ac:dyDescent="0.25">
      <c r="A14" s="77" t="s">
        <v>311</v>
      </c>
      <c r="B14" s="159">
        <v>613</v>
      </c>
      <c r="C14" s="159"/>
      <c r="D14" s="159"/>
      <c r="E14" s="159"/>
      <c r="F14" s="159"/>
      <c r="G14" s="159"/>
      <c r="H14" s="159"/>
      <c r="I14" s="159"/>
      <c r="J14" s="159"/>
      <c r="K14" s="159"/>
      <c r="L14" s="159"/>
      <c r="M14" s="159"/>
      <c r="N14" s="159"/>
      <c r="O14" s="159"/>
      <c r="P14" s="159"/>
      <c r="Q14" s="159"/>
      <c r="R14" s="159"/>
      <c r="S14" s="159"/>
      <c r="T14" s="159"/>
      <c r="U14" s="159"/>
      <c r="V14" s="159"/>
      <c r="W14" s="159"/>
      <c r="X14" s="159"/>
      <c r="Y14" s="159"/>
      <c r="Z14" s="159"/>
      <c r="AA14" s="159"/>
      <c r="AB14" s="159"/>
      <c r="AC14" s="159"/>
      <c r="AD14" s="159"/>
      <c r="AE14" s="159"/>
      <c r="AF14" s="159"/>
      <c r="AG14" s="159"/>
      <c r="AH14" s="159"/>
      <c r="AI14" s="159"/>
      <c r="AJ14" s="159"/>
      <c r="AK14" s="159"/>
      <c r="AL14" s="159"/>
      <c r="AM14" s="159"/>
      <c r="AN14" s="159"/>
      <c r="AO14" s="159"/>
      <c r="AP14" s="159"/>
      <c r="AQ14" s="159"/>
    </row>
    <row r="15" spans="1:43" x14ac:dyDescent="0.25">
      <c r="A15" s="77" t="s">
        <v>573</v>
      </c>
      <c r="B15" s="159" t="s">
        <v>506</v>
      </c>
      <c r="C15" s="159"/>
      <c r="D15" s="159"/>
      <c r="E15" s="159"/>
      <c r="F15" s="159"/>
      <c r="G15" s="159"/>
      <c r="H15" s="159"/>
      <c r="I15" s="159"/>
      <c r="J15" s="159"/>
      <c r="K15" s="159"/>
      <c r="L15" s="159"/>
      <c r="M15" s="159"/>
      <c r="N15" s="159"/>
      <c r="O15" s="159"/>
      <c r="P15" s="159"/>
      <c r="Q15" s="159"/>
      <c r="R15" s="159"/>
      <c r="S15" s="159"/>
      <c r="T15" s="159"/>
      <c r="U15" s="159"/>
      <c r="V15" s="159"/>
      <c r="W15" s="159"/>
      <c r="X15" s="159"/>
      <c r="Y15" s="159"/>
      <c r="Z15" s="159"/>
      <c r="AA15" s="159"/>
      <c r="AB15" s="159"/>
      <c r="AC15" s="159"/>
      <c r="AD15" s="159"/>
      <c r="AE15" s="159"/>
      <c r="AF15" s="159"/>
      <c r="AG15" s="159"/>
      <c r="AH15" s="159"/>
      <c r="AI15" s="159"/>
      <c r="AJ15" s="159"/>
      <c r="AK15" s="159"/>
      <c r="AL15" s="159"/>
      <c r="AM15" s="159"/>
      <c r="AN15" s="159"/>
      <c r="AO15" s="159"/>
      <c r="AP15" s="159"/>
      <c r="AQ15" s="159"/>
    </row>
    <row r="16" spans="1:43" x14ac:dyDescent="0.25">
      <c r="A16" s="77" t="s">
        <v>313</v>
      </c>
      <c r="B16" s="159" t="s">
        <v>507</v>
      </c>
      <c r="C16" s="159"/>
      <c r="D16" s="159"/>
      <c r="E16" s="159"/>
      <c r="F16" s="159"/>
      <c r="G16" s="159"/>
      <c r="H16" s="159"/>
      <c r="I16" s="159"/>
      <c r="J16" s="159"/>
      <c r="K16" s="159"/>
      <c r="L16" s="159"/>
      <c r="M16" s="159"/>
      <c r="N16" s="159"/>
      <c r="O16" s="159"/>
      <c r="P16" s="159"/>
      <c r="Q16" s="159"/>
      <c r="R16" s="159"/>
      <c r="S16" s="159"/>
      <c r="T16" s="159"/>
      <c r="U16" s="159"/>
      <c r="V16" s="159"/>
      <c r="W16" s="159"/>
      <c r="X16" s="159"/>
      <c r="Y16" s="159"/>
      <c r="Z16" s="159"/>
      <c r="AA16" s="159"/>
      <c r="AB16" s="159"/>
      <c r="AC16" s="159"/>
      <c r="AD16" s="159"/>
      <c r="AE16" s="159"/>
      <c r="AF16" s="159"/>
      <c r="AG16" s="159"/>
      <c r="AH16" s="159"/>
      <c r="AI16" s="159"/>
      <c r="AJ16" s="159"/>
      <c r="AK16" s="159"/>
      <c r="AL16" s="159"/>
      <c r="AM16" s="159"/>
      <c r="AN16" s="159"/>
      <c r="AO16" s="159"/>
      <c r="AP16" s="159"/>
      <c r="AQ16" s="159"/>
    </row>
    <row r="17" spans="1:43" x14ac:dyDescent="0.25">
      <c r="A17" s="77" t="s">
        <v>642</v>
      </c>
      <c r="B17" s="159"/>
      <c r="C17" s="159"/>
      <c r="D17" s="159"/>
      <c r="E17" s="159"/>
      <c r="F17" s="159"/>
      <c r="G17" s="159"/>
      <c r="H17" s="159"/>
      <c r="I17" s="159"/>
      <c r="J17" s="159"/>
      <c r="K17" s="159"/>
      <c r="L17" s="159"/>
      <c r="M17" s="159"/>
      <c r="N17" s="159"/>
      <c r="O17" s="159"/>
      <c r="P17" s="159"/>
      <c r="Q17" s="159"/>
      <c r="R17" s="159"/>
      <c r="S17" s="159"/>
      <c r="T17" s="159"/>
      <c r="U17" s="159"/>
      <c r="V17" s="159"/>
      <c r="W17" s="159"/>
      <c r="X17" s="159"/>
      <c r="Y17" s="159"/>
      <c r="Z17" s="159"/>
      <c r="AA17" s="159"/>
      <c r="AB17" s="159"/>
      <c r="AC17" s="159"/>
      <c r="AD17" s="159"/>
      <c r="AE17" s="159"/>
      <c r="AF17" s="159"/>
      <c r="AG17" s="159"/>
      <c r="AH17" s="159"/>
      <c r="AI17" s="159"/>
      <c r="AJ17" s="159"/>
      <c r="AK17" s="159"/>
      <c r="AL17" s="159"/>
      <c r="AM17" s="159"/>
      <c r="AN17" s="159"/>
      <c r="AO17" s="159"/>
      <c r="AP17" s="159"/>
      <c r="AQ17" s="159"/>
    </row>
    <row r="18" spans="1:43" x14ac:dyDescent="0.25">
      <c r="A18" s="77" t="s">
        <v>315</v>
      </c>
      <c r="B18" s="161">
        <v>45135</v>
      </c>
      <c r="C18" s="159"/>
      <c r="D18" s="159"/>
      <c r="E18" s="159"/>
      <c r="F18" s="159"/>
      <c r="G18" s="159"/>
      <c r="H18" s="159"/>
      <c r="I18" s="159"/>
      <c r="J18" s="159"/>
      <c r="K18" s="159"/>
      <c r="L18" s="159"/>
      <c r="M18" s="159"/>
      <c r="N18" s="159"/>
      <c r="O18" s="159"/>
      <c r="P18" s="159"/>
      <c r="Q18" s="159"/>
      <c r="R18" s="159"/>
      <c r="S18" s="159"/>
      <c r="T18" s="159"/>
      <c r="U18" s="159"/>
      <c r="V18" s="159"/>
      <c r="W18" s="159"/>
      <c r="X18" s="159"/>
      <c r="Y18" s="159"/>
      <c r="Z18" s="159"/>
      <c r="AA18" s="159"/>
      <c r="AB18" s="159"/>
      <c r="AC18" s="159"/>
      <c r="AD18" s="159"/>
      <c r="AE18" s="159"/>
      <c r="AF18" s="159"/>
      <c r="AG18" s="159"/>
      <c r="AH18" s="159"/>
      <c r="AI18" s="159"/>
      <c r="AJ18" s="159"/>
      <c r="AK18" s="159"/>
      <c r="AL18" s="159"/>
      <c r="AM18" s="159"/>
      <c r="AN18" s="159"/>
      <c r="AO18" s="159"/>
      <c r="AP18" s="159"/>
      <c r="AQ18" s="159"/>
    </row>
    <row r="19" spans="1:43" x14ac:dyDescent="0.25">
      <c r="A19" s="77" t="s">
        <v>316</v>
      </c>
      <c r="B19" s="161">
        <v>45135</v>
      </c>
      <c r="C19" s="159"/>
      <c r="D19" s="159"/>
      <c r="E19" s="159"/>
      <c r="F19" s="159"/>
      <c r="G19" s="159"/>
      <c r="H19" s="159"/>
      <c r="I19" s="159"/>
      <c r="J19" s="159"/>
      <c r="K19" s="159"/>
      <c r="L19" s="159"/>
      <c r="M19" s="159"/>
      <c r="N19" s="159"/>
      <c r="O19" s="159"/>
      <c r="P19" s="159"/>
      <c r="Q19" s="159"/>
      <c r="R19" s="159"/>
      <c r="S19" s="159"/>
      <c r="T19" s="159"/>
      <c r="U19" s="159"/>
      <c r="V19" s="159"/>
      <c r="W19" s="159"/>
      <c r="X19" s="159"/>
      <c r="Y19" s="159"/>
      <c r="Z19" s="159"/>
      <c r="AA19" s="159"/>
      <c r="AB19" s="159"/>
      <c r="AC19" s="159"/>
      <c r="AD19" s="159"/>
      <c r="AE19" s="159"/>
      <c r="AF19" s="159"/>
      <c r="AG19" s="159"/>
      <c r="AH19" s="159"/>
      <c r="AI19" s="159"/>
      <c r="AJ19" s="159"/>
      <c r="AK19" s="159"/>
      <c r="AL19" s="159"/>
      <c r="AM19" s="159"/>
      <c r="AN19" s="159"/>
      <c r="AO19" s="159"/>
      <c r="AP19" s="159"/>
      <c r="AQ19" s="159"/>
    </row>
    <row r="20" spans="1:43" x14ac:dyDescent="0.25">
      <c r="A20" s="77" t="s">
        <v>317</v>
      </c>
      <c r="B20" s="159" t="s">
        <v>327</v>
      </c>
      <c r="C20" s="159"/>
      <c r="D20" s="159"/>
      <c r="E20" s="159"/>
      <c r="F20" s="159"/>
      <c r="G20" s="159"/>
      <c r="H20" s="159"/>
      <c r="I20" s="159"/>
      <c r="J20" s="159"/>
      <c r="K20" s="159"/>
      <c r="L20" s="159"/>
      <c r="M20" s="159"/>
      <c r="N20" s="159"/>
      <c r="O20" s="159"/>
      <c r="P20" s="159"/>
      <c r="Q20" s="159"/>
      <c r="R20" s="159"/>
      <c r="S20" s="159"/>
      <c r="T20" s="159"/>
      <c r="U20" s="159"/>
      <c r="V20" s="159"/>
      <c r="W20" s="159"/>
      <c r="X20" s="159"/>
      <c r="Y20" s="159"/>
      <c r="Z20" s="159"/>
      <c r="AA20" s="159"/>
      <c r="AB20" s="159"/>
      <c r="AC20" s="159"/>
      <c r="AD20" s="159"/>
      <c r="AE20" s="159"/>
      <c r="AF20" s="159"/>
      <c r="AG20" s="159"/>
      <c r="AH20" s="159"/>
      <c r="AI20" s="159"/>
      <c r="AJ20" s="159"/>
      <c r="AK20" s="159"/>
      <c r="AL20" s="159"/>
      <c r="AM20" s="159"/>
      <c r="AN20" s="159"/>
      <c r="AO20" s="159"/>
      <c r="AP20" s="159"/>
      <c r="AQ20" s="159"/>
    </row>
    <row r="21" spans="1:43" x14ac:dyDescent="0.25">
      <c r="A21" s="77" t="s">
        <v>318</v>
      </c>
      <c r="B21" s="159" t="s">
        <v>328</v>
      </c>
      <c r="C21" s="159"/>
      <c r="D21" s="159"/>
      <c r="E21" s="159"/>
      <c r="F21" s="159"/>
      <c r="G21" s="159"/>
      <c r="H21" s="159"/>
      <c r="I21" s="159"/>
      <c r="J21" s="159"/>
      <c r="K21" s="159"/>
      <c r="L21" s="159"/>
      <c r="M21" s="159"/>
      <c r="N21" s="159"/>
      <c r="O21" s="159"/>
      <c r="P21" s="159"/>
      <c r="Q21" s="159"/>
      <c r="R21" s="159"/>
      <c r="S21" s="159"/>
      <c r="T21" s="159"/>
      <c r="U21" s="159"/>
      <c r="V21" s="159"/>
      <c r="W21" s="159"/>
      <c r="X21" s="159"/>
      <c r="Y21" s="159"/>
      <c r="Z21" s="159"/>
      <c r="AA21" s="159"/>
      <c r="AB21" s="159"/>
      <c r="AC21" s="159"/>
      <c r="AD21" s="159"/>
      <c r="AE21" s="159"/>
      <c r="AF21" s="159"/>
      <c r="AG21" s="159"/>
      <c r="AH21" s="159"/>
      <c r="AI21" s="159"/>
      <c r="AJ21" s="159"/>
      <c r="AK21" s="159"/>
      <c r="AL21" s="159"/>
      <c r="AM21" s="159"/>
      <c r="AN21" s="159"/>
      <c r="AO21" s="159"/>
      <c r="AP21" s="159"/>
      <c r="AQ21" s="159"/>
    </row>
    <row r="23" spans="1:43" x14ac:dyDescent="0.25">
      <c r="B23" s="91" t="str">
        <f>HYPERLINK("#'Factor List'!A1","Back to Factor List")</f>
        <v>Back to Factor List</v>
      </c>
    </row>
    <row r="24" spans="1:43" x14ac:dyDescent="0.25">
      <c r="B24" s="91" t="s">
        <v>240</v>
      </c>
    </row>
    <row r="25" spans="1:43" x14ac:dyDescent="0.25">
      <c r="B25" s="91"/>
    </row>
    <row r="26" spans="1:43" ht="13" x14ac:dyDescent="0.25">
      <c r="A26" s="87" t="s">
        <v>667</v>
      </c>
      <c r="B26" s="87">
        <v>18</v>
      </c>
      <c r="C26" s="87">
        <v>19</v>
      </c>
      <c r="D26" s="87">
        <v>20</v>
      </c>
      <c r="E26" s="87">
        <v>21</v>
      </c>
      <c r="F26" s="87">
        <v>22</v>
      </c>
      <c r="G26" s="87">
        <v>23</v>
      </c>
      <c r="H26" s="87">
        <v>24</v>
      </c>
      <c r="I26" s="87">
        <v>25</v>
      </c>
      <c r="J26" s="87">
        <v>26</v>
      </c>
      <c r="K26" s="87">
        <v>27</v>
      </c>
      <c r="L26" s="87">
        <v>28</v>
      </c>
      <c r="M26" s="87">
        <v>29</v>
      </c>
      <c r="N26" s="87">
        <v>30</v>
      </c>
      <c r="O26" s="87">
        <v>31</v>
      </c>
      <c r="P26" s="87">
        <v>32</v>
      </c>
      <c r="Q26" s="87">
        <v>33</v>
      </c>
      <c r="R26" s="87">
        <v>34</v>
      </c>
      <c r="S26" s="87">
        <v>35</v>
      </c>
      <c r="T26" s="87">
        <v>36</v>
      </c>
      <c r="U26" s="87">
        <v>37</v>
      </c>
      <c r="V26" s="87">
        <v>38</v>
      </c>
      <c r="W26" s="87">
        <v>39</v>
      </c>
      <c r="X26" s="87">
        <v>40</v>
      </c>
      <c r="Y26" s="87">
        <v>41</v>
      </c>
      <c r="Z26" s="87">
        <v>42</v>
      </c>
      <c r="AA26" s="87">
        <v>43</v>
      </c>
      <c r="AB26" s="87">
        <v>44</v>
      </c>
      <c r="AC26" s="87">
        <v>45</v>
      </c>
      <c r="AD26" s="87">
        <v>46</v>
      </c>
      <c r="AE26" s="87">
        <v>47</v>
      </c>
      <c r="AF26" s="87">
        <v>48</v>
      </c>
      <c r="AG26" s="87">
        <v>49</v>
      </c>
      <c r="AH26" s="87">
        <v>50</v>
      </c>
      <c r="AI26" s="87">
        <v>51</v>
      </c>
      <c r="AJ26" s="87">
        <v>52</v>
      </c>
      <c r="AK26" s="87">
        <v>53</v>
      </c>
      <c r="AL26" s="87">
        <v>54</v>
      </c>
      <c r="AM26" s="87">
        <v>55</v>
      </c>
      <c r="AN26" s="87">
        <v>56</v>
      </c>
      <c r="AO26" s="87">
        <v>57</v>
      </c>
      <c r="AP26" s="87">
        <v>58</v>
      </c>
      <c r="AQ26" s="87">
        <v>59</v>
      </c>
    </row>
    <row r="27" spans="1:43" x14ac:dyDescent="0.25">
      <c r="A27" s="88">
        <v>0</v>
      </c>
      <c r="B27" s="90">
        <v>0.26700000000000002</v>
      </c>
      <c r="C27" s="90">
        <v>0.27300000000000002</v>
      </c>
      <c r="D27" s="90">
        <v>0.27900000000000003</v>
      </c>
      <c r="E27" s="90">
        <v>0.28599999999999998</v>
      </c>
      <c r="F27" s="90">
        <v>0.29299999999999998</v>
      </c>
      <c r="G27" s="90">
        <v>0.3</v>
      </c>
      <c r="H27" s="90">
        <v>0.307</v>
      </c>
      <c r="I27" s="90">
        <v>0.315</v>
      </c>
      <c r="J27" s="90">
        <v>0.32200000000000001</v>
      </c>
      <c r="K27" s="90">
        <v>0.33</v>
      </c>
      <c r="L27" s="90">
        <v>0.33900000000000002</v>
      </c>
      <c r="M27" s="90">
        <v>0.34799999999999998</v>
      </c>
      <c r="N27" s="90">
        <v>0.35699999999999998</v>
      </c>
      <c r="O27" s="90">
        <v>0.36599999999999999</v>
      </c>
      <c r="P27" s="90">
        <v>0.376</v>
      </c>
      <c r="Q27" s="90">
        <v>0.38600000000000001</v>
      </c>
      <c r="R27" s="90">
        <v>0.39700000000000002</v>
      </c>
      <c r="S27" s="90">
        <v>0.40799999999999997</v>
      </c>
      <c r="T27" s="90">
        <v>0.42</v>
      </c>
      <c r="U27" s="90">
        <v>0.432</v>
      </c>
      <c r="V27" s="90">
        <v>0.44500000000000001</v>
      </c>
      <c r="W27" s="90">
        <v>0.45800000000000002</v>
      </c>
      <c r="X27" s="90">
        <v>0.47199999999999998</v>
      </c>
      <c r="Y27" s="90">
        <v>0.48599999999999999</v>
      </c>
      <c r="Z27" s="90">
        <v>0.502</v>
      </c>
      <c r="AA27" s="90">
        <v>0.51800000000000002</v>
      </c>
      <c r="AB27" s="90">
        <v>0.53500000000000003</v>
      </c>
      <c r="AC27" s="90">
        <v>0.55200000000000005</v>
      </c>
      <c r="AD27" s="90">
        <v>0.57099999999999995</v>
      </c>
      <c r="AE27" s="90">
        <v>0.59099999999999997</v>
      </c>
      <c r="AF27" s="90">
        <v>0.61199999999999999</v>
      </c>
      <c r="AG27" s="90">
        <v>0.63400000000000001</v>
      </c>
      <c r="AH27" s="90">
        <v>0.65800000000000003</v>
      </c>
      <c r="AI27" s="90">
        <v>0.68300000000000005</v>
      </c>
      <c r="AJ27" s="90">
        <v>0.70899999999999996</v>
      </c>
      <c r="AK27" s="90">
        <v>0.73699999999999999</v>
      </c>
      <c r="AL27" s="90">
        <v>0.76700000000000002</v>
      </c>
      <c r="AM27" s="90">
        <v>0.8</v>
      </c>
      <c r="AN27" s="90">
        <v>0.83399999999999996</v>
      </c>
      <c r="AO27" s="90">
        <v>0.871</v>
      </c>
      <c r="AP27" s="90">
        <v>0.91100000000000003</v>
      </c>
      <c r="AQ27" s="90">
        <v>0.95399999999999996</v>
      </c>
    </row>
    <row r="28" spans="1:43" x14ac:dyDescent="0.25">
      <c r="A28" s="88">
        <v>1</v>
      </c>
      <c r="B28" s="90">
        <v>0.26700000000000002</v>
      </c>
      <c r="C28" s="90">
        <v>0.27300000000000002</v>
      </c>
      <c r="D28" s="90">
        <v>0.28000000000000003</v>
      </c>
      <c r="E28" s="90">
        <v>0.28599999999999998</v>
      </c>
      <c r="F28" s="90">
        <v>0.29299999999999998</v>
      </c>
      <c r="G28" s="90">
        <v>0.3</v>
      </c>
      <c r="H28" s="90">
        <v>0.308</v>
      </c>
      <c r="I28" s="90">
        <v>0.315</v>
      </c>
      <c r="J28" s="90">
        <v>0.32300000000000001</v>
      </c>
      <c r="K28" s="90">
        <v>0.33100000000000002</v>
      </c>
      <c r="L28" s="90">
        <v>0.34</v>
      </c>
      <c r="M28" s="90">
        <v>0.34799999999999998</v>
      </c>
      <c r="N28" s="90">
        <v>0.35799999999999998</v>
      </c>
      <c r="O28" s="90">
        <v>0.36699999999999999</v>
      </c>
      <c r="P28" s="90">
        <v>0.377</v>
      </c>
      <c r="Q28" s="90">
        <v>0.38700000000000001</v>
      </c>
      <c r="R28" s="90">
        <v>0.39800000000000002</v>
      </c>
      <c r="S28" s="90">
        <v>0.40899999999999997</v>
      </c>
      <c r="T28" s="90">
        <v>0.42099999999999999</v>
      </c>
      <c r="U28" s="90">
        <v>0.433</v>
      </c>
      <c r="V28" s="90">
        <v>0.44600000000000001</v>
      </c>
      <c r="W28" s="90">
        <v>0.45900000000000002</v>
      </c>
      <c r="X28" s="90">
        <v>0.47299999999999998</v>
      </c>
      <c r="Y28" s="90">
        <v>0.48799999999999999</v>
      </c>
      <c r="Z28" s="90">
        <v>0.503</v>
      </c>
      <c r="AA28" s="90">
        <v>0.51900000000000002</v>
      </c>
      <c r="AB28" s="90">
        <v>0.53600000000000003</v>
      </c>
      <c r="AC28" s="90">
        <v>0.55400000000000005</v>
      </c>
      <c r="AD28" s="90">
        <v>0.57299999999999995</v>
      </c>
      <c r="AE28" s="90">
        <v>0.59299999999999997</v>
      </c>
      <c r="AF28" s="90">
        <v>0.61399999999999999</v>
      </c>
      <c r="AG28" s="90">
        <v>0.63600000000000001</v>
      </c>
      <c r="AH28" s="90">
        <v>0.66</v>
      </c>
      <c r="AI28" s="90">
        <v>0.68500000000000005</v>
      </c>
      <c r="AJ28" s="90">
        <v>0.71099999999999997</v>
      </c>
      <c r="AK28" s="90">
        <v>0.74</v>
      </c>
      <c r="AL28" s="90">
        <v>0.77</v>
      </c>
      <c r="AM28" s="90">
        <v>0.80200000000000005</v>
      </c>
      <c r="AN28" s="90">
        <v>0.83699999999999997</v>
      </c>
      <c r="AO28" s="90">
        <v>0.874</v>
      </c>
      <c r="AP28" s="90">
        <v>0.91400000000000003</v>
      </c>
      <c r="AQ28" s="90">
        <v>0.95799999999999996</v>
      </c>
    </row>
    <row r="29" spans="1:43" x14ac:dyDescent="0.25">
      <c r="A29" s="88">
        <v>2</v>
      </c>
      <c r="B29" s="90">
        <v>0.26800000000000002</v>
      </c>
      <c r="C29" s="90">
        <v>0.27400000000000002</v>
      </c>
      <c r="D29" s="90">
        <v>0.28000000000000003</v>
      </c>
      <c r="E29" s="90">
        <v>0.28699999999999998</v>
      </c>
      <c r="F29" s="90">
        <v>0.29399999999999998</v>
      </c>
      <c r="G29" s="90">
        <v>0.30099999999999999</v>
      </c>
      <c r="H29" s="90">
        <v>0.308</v>
      </c>
      <c r="I29" s="90">
        <v>0.316</v>
      </c>
      <c r="J29" s="90">
        <v>0.32400000000000001</v>
      </c>
      <c r="K29" s="90">
        <v>0.33200000000000002</v>
      </c>
      <c r="L29" s="90">
        <v>0.34</v>
      </c>
      <c r="M29" s="90">
        <v>0.34899999999999998</v>
      </c>
      <c r="N29" s="90">
        <v>0.35799999999999998</v>
      </c>
      <c r="O29" s="90">
        <v>0.36799999999999999</v>
      </c>
      <c r="P29" s="90">
        <v>0.378</v>
      </c>
      <c r="Q29" s="90">
        <v>0.38800000000000001</v>
      </c>
      <c r="R29" s="90">
        <v>0.39900000000000002</v>
      </c>
      <c r="S29" s="90">
        <v>0.41</v>
      </c>
      <c r="T29" s="90">
        <v>0.42199999999999999</v>
      </c>
      <c r="U29" s="90">
        <v>0.434</v>
      </c>
      <c r="V29" s="90">
        <v>0.44700000000000001</v>
      </c>
      <c r="W29" s="90">
        <v>0.46</v>
      </c>
      <c r="X29" s="90">
        <v>0.47399999999999998</v>
      </c>
      <c r="Y29" s="90">
        <v>0.48899999999999999</v>
      </c>
      <c r="Z29" s="90">
        <v>0.504</v>
      </c>
      <c r="AA29" s="90">
        <v>0.52100000000000002</v>
      </c>
      <c r="AB29" s="90">
        <v>0.53800000000000003</v>
      </c>
      <c r="AC29" s="90">
        <v>0.55600000000000005</v>
      </c>
      <c r="AD29" s="90">
        <v>0.57399999999999995</v>
      </c>
      <c r="AE29" s="90">
        <v>0.59399999999999997</v>
      </c>
      <c r="AF29" s="90">
        <v>0.61599999999999999</v>
      </c>
      <c r="AG29" s="90">
        <v>0.63800000000000001</v>
      </c>
      <c r="AH29" s="90">
        <v>0.66200000000000003</v>
      </c>
      <c r="AI29" s="90">
        <v>0.68700000000000006</v>
      </c>
      <c r="AJ29" s="90">
        <v>0.71399999999999997</v>
      </c>
      <c r="AK29" s="90">
        <v>0.74199999999999999</v>
      </c>
      <c r="AL29" s="90">
        <v>0.77300000000000002</v>
      </c>
      <c r="AM29" s="90">
        <v>0.80500000000000005</v>
      </c>
      <c r="AN29" s="90">
        <v>0.84</v>
      </c>
      <c r="AO29" s="90">
        <v>0.878</v>
      </c>
      <c r="AP29" s="90">
        <v>0.91800000000000004</v>
      </c>
      <c r="AQ29" s="90">
        <v>0.96099999999999997</v>
      </c>
    </row>
    <row r="30" spans="1:43" x14ac:dyDescent="0.25">
      <c r="A30" s="88">
        <v>3</v>
      </c>
      <c r="B30" s="90">
        <v>0.26800000000000002</v>
      </c>
      <c r="C30" s="90">
        <v>0.27500000000000002</v>
      </c>
      <c r="D30" s="90">
        <v>0.28100000000000003</v>
      </c>
      <c r="E30" s="90">
        <v>0.28799999999999998</v>
      </c>
      <c r="F30" s="90">
        <v>0.29399999999999998</v>
      </c>
      <c r="G30" s="90">
        <v>0.30199999999999999</v>
      </c>
      <c r="H30" s="90">
        <v>0.309</v>
      </c>
      <c r="I30" s="90">
        <v>0.316</v>
      </c>
      <c r="J30" s="90">
        <v>0.32400000000000001</v>
      </c>
      <c r="K30" s="90">
        <v>0.33300000000000002</v>
      </c>
      <c r="L30" s="90">
        <v>0.34100000000000003</v>
      </c>
      <c r="M30" s="90">
        <v>0.35</v>
      </c>
      <c r="N30" s="90">
        <v>0.35899999999999999</v>
      </c>
      <c r="O30" s="90">
        <v>0.36899999999999999</v>
      </c>
      <c r="P30" s="90">
        <v>0.379</v>
      </c>
      <c r="Q30" s="90">
        <v>0.38900000000000001</v>
      </c>
      <c r="R30" s="90">
        <v>0.4</v>
      </c>
      <c r="S30" s="90">
        <v>0.41099999999999998</v>
      </c>
      <c r="T30" s="90">
        <v>0.42299999999999999</v>
      </c>
      <c r="U30" s="90">
        <v>0.435</v>
      </c>
      <c r="V30" s="90">
        <v>0.44800000000000001</v>
      </c>
      <c r="W30" s="90">
        <v>0.46100000000000002</v>
      </c>
      <c r="X30" s="90">
        <v>0.47499999999999998</v>
      </c>
      <c r="Y30" s="90">
        <v>0.49</v>
      </c>
      <c r="Z30" s="90">
        <v>0.50600000000000001</v>
      </c>
      <c r="AA30" s="90">
        <v>0.52200000000000002</v>
      </c>
      <c r="AB30" s="90">
        <v>0.53900000000000003</v>
      </c>
      <c r="AC30" s="90">
        <v>0.55700000000000005</v>
      </c>
      <c r="AD30" s="90">
        <v>0.57599999999999996</v>
      </c>
      <c r="AE30" s="90">
        <v>0.59599999999999997</v>
      </c>
      <c r="AF30" s="90">
        <v>0.61699999999999999</v>
      </c>
      <c r="AG30" s="90">
        <v>0.64</v>
      </c>
      <c r="AH30" s="90">
        <v>0.66400000000000003</v>
      </c>
      <c r="AI30" s="90">
        <v>0.68899999999999995</v>
      </c>
      <c r="AJ30" s="90">
        <v>0.71599999999999997</v>
      </c>
      <c r="AK30" s="90">
        <v>0.745</v>
      </c>
      <c r="AL30" s="90">
        <v>0.77500000000000002</v>
      </c>
      <c r="AM30" s="90">
        <v>0.80800000000000005</v>
      </c>
      <c r="AN30" s="90">
        <v>0.84299999999999997</v>
      </c>
      <c r="AO30" s="90">
        <v>0.88100000000000001</v>
      </c>
      <c r="AP30" s="90">
        <v>0.92200000000000004</v>
      </c>
      <c r="AQ30" s="90">
        <v>0.96499999999999997</v>
      </c>
    </row>
    <row r="31" spans="1:43" x14ac:dyDescent="0.25">
      <c r="A31" s="88">
        <v>4</v>
      </c>
      <c r="B31" s="90">
        <v>0.26900000000000002</v>
      </c>
      <c r="C31" s="90">
        <v>0.27500000000000002</v>
      </c>
      <c r="D31" s="90">
        <v>0.28100000000000003</v>
      </c>
      <c r="E31" s="90">
        <v>0.28799999999999998</v>
      </c>
      <c r="F31" s="90">
        <v>0.29499999999999998</v>
      </c>
      <c r="G31" s="90">
        <v>0.30199999999999999</v>
      </c>
      <c r="H31" s="90">
        <v>0.31</v>
      </c>
      <c r="I31" s="90">
        <v>0.317</v>
      </c>
      <c r="J31" s="90">
        <v>0.32500000000000001</v>
      </c>
      <c r="K31" s="90">
        <v>0.33300000000000002</v>
      </c>
      <c r="L31" s="90">
        <v>0.34200000000000003</v>
      </c>
      <c r="M31" s="90">
        <v>0.35099999999999998</v>
      </c>
      <c r="N31" s="90">
        <v>0.36</v>
      </c>
      <c r="O31" s="90">
        <v>0.36899999999999999</v>
      </c>
      <c r="P31" s="90">
        <v>0.379</v>
      </c>
      <c r="Q31" s="90">
        <v>0.39</v>
      </c>
      <c r="R31" s="90">
        <v>0.40100000000000002</v>
      </c>
      <c r="S31" s="90">
        <v>0.41199999999999998</v>
      </c>
      <c r="T31" s="90">
        <v>0.42399999999999999</v>
      </c>
      <c r="U31" s="90">
        <v>0.436</v>
      </c>
      <c r="V31" s="90">
        <v>0.44900000000000001</v>
      </c>
      <c r="W31" s="90">
        <v>0.46200000000000002</v>
      </c>
      <c r="X31" s="90">
        <v>0.47699999999999998</v>
      </c>
      <c r="Y31" s="90">
        <v>0.49099999999999999</v>
      </c>
      <c r="Z31" s="90">
        <v>0.50700000000000001</v>
      </c>
      <c r="AA31" s="90">
        <v>0.52300000000000002</v>
      </c>
      <c r="AB31" s="90">
        <v>0.54100000000000004</v>
      </c>
      <c r="AC31" s="90">
        <v>0.55900000000000005</v>
      </c>
      <c r="AD31" s="90">
        <v>0.57799999999999996</v>
      </c>
      <c r="AE31" s="90">
        <v>0.59799999999999998</v>
      </c>
      <c r="AF31" s="90">
        <v>0.61899999999999999</v>
      </c>
      <c r="AG31" s="90">
        <v>0.64200000000000002</v>
      </c>
      <c r="AH31" s="90">
        <v>0.66600000000000004</v>
      </c>
      <c r="AI31" s="90">
        <v>0.69099999999999995</v>
      </c>
      <c r="AJ31" s="90">
        <v>0.71799999999999997</v>
      </c>
      <c r="AK31" s="90">
        <v>0.747</v>
      </c>
      <c r="AL31" s="90">
        <v>0.77800000000000002</v>
      </c>
      <c r="AM31" s="90">
        <v>0.81100000000000005</v>
      </c>
      <c r="AN31" s="90">
        <v>0.84599999999999997</v>
      </c>
      <c r="AO31" s="90">
        <v>0.88400000000000001</v>
      </c>
      <c r="AP31" s="90">
        <v>0.92500000000000004</v>
      </c>
      <c r="AQ31" s="90">
        <v>0.96899999999999997</v>
      </c>
    </row>
    <row r="32" spans="1:43" x14ac:dyDescent="0.25">
      <c r="A32" s="88">
        <v>5</v>
      </c>
      <c r="B32" s="90">
        <v>0.26900000000000002</v>
      </c>
      <c r="C32" s="90">
        <v>0.27600000000000002</v>
      </c>
      <c r="D32" s="90">
        <v>0.28199999999999997</v>
      </c>
      <c r="E32" s="90">
        <v>0.28899999999999998</v>
      </c>
      <c r="F32" s="90">
        <v>0.29599999999999999</v>
      </c>
      <c r="G32" s="90">
        <v>0.30299999999999999</v>
      </c>
      <c r="H32" s="90">
        <v>0.31</v>
      </c>
      <c r="I32" s="90">
        <v>0.318</v>
      </c>
      <c r="J32" s="90">
        <v>0.32600000000000001</v>
      </c>
      <c r="K32" s="90">
        <v>0.33400000000000002</v>
      </c>
      <c r="L32" s="90">
        <v>0.34300000000000003</v>
      </c>
      <c r="M32" s="90">
        <v>0.35099999999999998</v>
      </c>
      <c r="N32" s="90">
        <v>0.36099999999999999</v>
      </c>
      <c r="O32" s="90">
        <v>0.37</v>
      </c>
      <c r="P32" s="90">
        <v>0.38</v>
      </c>
      <c r="Q32" s="90">
        <v>0.39100000000000001</v>
      </c>
      <c r="R32" s="90">
        <v>0.40200000000000002</v>
      </c>
      <c r="S32" s="90">
        <v>0.41299999999999998</v>
      </c>
      <c r="T32" s="90">
        <v>0.42499999999999999</v>
      </c>
      <c r="U32" s="90">
        <v>0.437</v>
      </c>
      <c r="V32" s="90">
        <v>0.45</v>
      </c>
      <c r="W32" s="90">
        <v>0.46400000000000002</v>
      </c>
      <c r="X32" s="90">
        <v>0.47799999999999998</v>
      </c>
      <c r="Y32" s="90">
        <v>0.49299999999999999</v>
      </c>
      <c r="Z32" s="90">
        <v>0.50800000000000001</v>
      </c>
      <c r="AA32" s="90">
        <v>0.52500000000000002</v>
      </c>
      <c r="AB32" s="90">
        <v>0.54200000000000004</v>
      </c>
      <c r="AC32" s="90">
        <v>0.56000000000000005</v>
      </c>
      <c r="AD32" s="90">
        <v>0.57899999999999996</v>
      </c>
      <c r="AE32" s="90">
        <v>0.6</v>
      </c>
      <c r="AF32" s="90">
        <v>0.621</v>
      </c>
      <c r="AG32" s="90">
        <v>0.64400000000000002</v>
      </c>
      <c r="AH32" s="90">
        <v>0.66800000000000004</v>
      </c>
      <c r="AI32" s="90">
        <v>0.69399999999999995</v>
      </c>
      <c r="AJ32" s="90">
        <v>0.72099999999999997</v>
      </c>
      <c r="AK32" s="90">
        <v>0.75</v>
      </c>
      <c r="AL32" s="90">
        <v>0.78100000000000003</v>
      </c>
      <c r="AM32" s="90">
        <v>0.81399999999999995</v>
      </c>
      <c r="AN32" s="90">
        <v>0.84899999999999998</v>
      </c>
      <c r="AO32" s="90">
        <v>0.88800000000000001</v>
      </c>
      <c r="AP32" s="90">
        <v>0.92900000000000005</v>
      </c>
      <c r="AQ32" s="90">
        <v>0.97299999999999998</v>
      </c>
    </row>
    <row r="33" spans="1:43" x14ac:dyDescent="0.25">
      <c r="A33" s="88">
        <v>6</v>
      </c>
      <c r="B33" s="90">
        <v>0.27</v>
      </c>
      <c r="C33" s="90">
        <v>0.27600000000000002</v>
      </c>
      <c r="D33" s="90">
        <v>0.28299999999999997</v>
      </c>
      <c r="E33" s="90">
        <v>0.28899999999999998</v>
      </c>
      <c r="F33" s="90">
        <v>0.29599999999999999</v>
      </c>
      <c r="G33" s="90">
        <v>0.30299999999999999</v>
      </c>
      <c r="H33" s="90">
        <v>0.311</v>
      </c>
      <c r="I33" s="90">
        <v>0.318</v>
      </c>
      <c r="J33" s="90">
        <v>0.32600000000000001</v>
      </c>
      <c r="K33" s="90">
        <v>0.33500000000000002</v>
      </c>
      <c r="L33" s="90">
        <v>0.34300000000000003</v>
      </c>
      <c r="M33" s="90">
        <v>0.35199999999999998</v>
      </c>
      <c r="N33" s="90">
        <v>0.36099999999999999</v>
      </c>
      <c r="O33" s="90">
        <v>0.371</v>
      </c>
      <c r="P33" s="90">
        <v>0.38100000000000001</v>
      </c>
      <c r="Q33" s="90">
        <v>0.39200000000000002</v>
      </c>
      <c r="R33" s="90">
        <v>0.40300000000000002</v>
      </c>
      <c r="S33" s="90">
        <v>0.41399999999999998</v>
      </c>
      <c r="T33" s="90">
        <v>0.42599999999999999</v>
      </c>
      <c r="U33" s="90">
        <v>0.438</v>
      </c>
      <c r="V33" s="90">
        <v>0.45100000000000001</v>
      </c>
      <c r="W33" s="90">
        <v>0.46500000000000002</v>
      </c>
      <c r="X33" s="90">
        <v>0.47899999999999998</v>
      </c>
      <c r="Y33" s="90">
        <v>0.49399999999999999</v>
      </c>
      <c r="Z33" s="90">
        <v>0.51</v>
      </c>
      <c r="AA33" s="90">
        <v>0.52600000000000002</v>
      </c>
      <c r="AB33" s="90">
        <v>0.54400000000000004</v>
      </c>
      <c r="AC33" s="90">
        <v>0.56200000000000006</v>
      </c>
      <c r="AD33" s="90">
        <v>0.58099999999999996</v>
      </c>
      <c r="AE33" s="90">
        <v>0.60099999999999998</v>
      </c>
      <c r="AF33" s="90">
        <v>0.623</v>
      </c>
      <c r="AG33" s="90">
        <v>0.64600000000000002</v>
      </c>
      <c r="AH33" s="90">
        <v>0.67</v>
      </c>
      <c r="AI33" s="90">
        <v>0.69599999999999995</v>
      </c>
      <c r="AJ33" s="90">
        <v>0.72299999999999998</v>
      </c>
      <c r="AK33" s="90">
        <v>0.752</v>
      </c>
      <c r="AL33" s="90">
        <v>0.78300000000000003</v>
      </c>
      <c r="AM33" s="90">
        <v>0.81699999999999995</v>
      </c>
      <c r="AN33" s="90">
        <v>0.85299999999999998</v>
      </c>
      <c r="AO33" s="90">
        <v>0.89100000000000001</v>
      </c>
      <c r="AP33" s="90">
        <v>0.93200000000000005</v>
      </c>
      <c r="AQ33" s="90">
        <v>0.97699999999999998</v>
      </c>
    </row>
    <row r="34" spans="1:43" x14ac:dyDescent="0.25">
      <c r="A34" s="88">
        <v>7</v>
      </c>
      <c r="B34" s="90">
        <v>0.27</v>
      </c>
      <c r="C34" s="90">
        <v>0.27700000000000002</v>
      </c>
      <c r="D34" s="90">
        <v>0.28299999999999997</v>
      </c>
      <c r="E34" s="90">
        <v>0.28999999999999998</v>
      </c>
      <c r="F34" s="90">
        <v>0.29699999999999999</v>
      </c>
      <c r="G34" s="90">
        <v>0.30399999999999999</v>
      </c>
      <c r="H34" s="90">
        <v>0.311</v>
      </c>
      <c r="I34" s="90">
        <v>0.31900000000000001</v>
      </c>
      <c r="J34" s="90">
        <v>0.32700000000000001</v>
      </c>
      <c r="K34" s="90">
        <v>0.33500000000000002</v>
      </c>
      <c r="L34" s="90">
        <v>0.34399999999999997</v>
      </c>
      <c r="M34" s="90">
        <v>0.35299999999999998</v>
      </c>
      <c r="N34" s="90">
        <v>0.36199999999999999</v>
      </c>
      <c r="O34" s="90">
        <v>0.372</v>
      </c>
      <c r="P34" s="90">
        <v>0.38200000000000001</v>
      </c>
      <c r="Q34" s="90">
        <v>0.39300000000000002</v>
      </c>
      <c r="R34" s="90">
        <v>0.40300000000000002</v>
      </c>
      <c r="S34" s="90">
        <v>0.41499999999999998</v>
      </c>
      <c r="T34" s="90">
        <v>0.42699999999999999</v>
      </c>
      <c r="U34" s="90">
        <v>0.439</v>
      </c>
      <c r="V34" s="90">
        <v>0.45200000000000001</v>
      </c>
      <c r="W34" s="90">
        <v>0.46600000000000003</v>
      </c>
      <c r="X34" s="90">
        <v>0.48</v>
      </c>
      <c r="Y34" s="90">
        <v>0.495</v>
      </c>
      <c r="Z34" s="90">
        <v>0.51100000000000001</v>
      </c>
      <c r="AA34" s="90">
        <v>0.52800000000000002</v>
      </c>
      <c r="AB34" s="90">
        <v>0.54500000000000004</v>
      </c>
      <c r="AC34" s="90">
        <v>0.56299999999999994</v>
      </c>
      <c r="AD34" s="90">
        <v>0.58299999999999996</v>
      </c>
      <c r="AE34" s="90">
        <v>0.60299999999999998</v>
      </c>
      <c r="AF34" s="90">
        <v>0.625</v>
      </c>
      <c r="AG34" s="90">
        <v>0.64800000000000002</v>
      </c>
      <c r="AH34" s="90">
        <v>0.67200000000000004</v>
      </c>
      <c r="AI34" s="90">
        <v>0.69799999999999995</v>
      </c>
      <c r="AJ34" s="90">
        <v>0.72499999999999998</v>
      </c>
      <c r="AK34" s="90">
        <v>0.755</v>
      </c>
      <c r="AL34" s="90">
        <v>0.78600000000000003</v>
      </c>
      <c r="AM34" s="90">
        <v>0.82</v>
      </c>
      <c r="AN34" s="90">
        <v>0.85599999999999998</v>
      </c>
      <c r="AO34" s="90">
        <v>0.89400000000000002</v>
      </c>
      <c r="AP34" s="90">
        <v>0.93600000000000005</v>
      </c>
      <c r="AQ34" s="90">
        <v>0.98099999999999998</v>
      </c>
    </row>
    <row r="35" spans="1:43" x14ac:dyDescent="0.25">
      <c r="A35" s="88">
        <v>8</v>
      </c>
      <c r="B35" s="90">
        <v>0.27100000000000002</v>
      </c>
      <c r="C35" s="90">
        <v>0.27700000000000002</v>
      </c>
      <c r="D35" s="90">
        <v>0.28399999999999997</v>
      </c>
      <c r="E35" s="90">
        <v>0.28999999999999998</v>
      </c>
      <c r="F35" s="90">
        <v>0.29699999999999999</v>
      </c>
      <c r="G35" s="90">
        <v>0.30499999999999999</v>
      </c>
      <c r="H35" s="90">
        <v>0.312</v>
      </c>
      <c r="I35" s="90">
        <v>0.32</v>
      </c>
      <c r="J35" s="90">
        <v>0.32800000000000001</v>
      </c>
      <c r="K35" s="90">
        <v>0.33600000000000002</v>
      </c>
      <c r="L35" s="90">
        <v>0.34499999999999997</v>
      </c>
      <c r="M35" s="90">
        <v>0.35399999999999998</v>
      </c>
      <c r="N35" s="90">
        <v>0.36299999999999999</v>
      </c>
      <c r="O35" s="90">
        <v>0.373</v>
      </c>
      <c r="P35" s="90">
        <v>0.38300000000000001</v>
      </c>
      <c r="Q35" s="90">
        <v>0.39300000000000002</v>
      </c>
      <c r="R35" s="90">
        <v>0.40400000000000003</v>
      </c>
      <c r="S35" s="90">
        <v>0.41599999999999998</v>
      </c>
      <c r="T35" s="90">
        <v>0.42799999999999999</v>
      </c>
      <c r="U35" s="90">
        <v>0.44</v>
      </c>
      <c r="V35" s="90">
        <v>0.45300000000000001</v>
      </c>
      <c r="W35" s="90">
        <v>0.46700000000000003</v>
      </c>
      <c r="X35" s="90">
        <v>0.48099999999999998</v>
      </c>
      <c r="Y35" s="90">
        <v>0.497</v>
      </c>
      <c r="Z35" s="90">
        <v>0.51200000000000001</v>
      </c>
      <c r="AA35" s="90">
        <v>0.52900000000000003</v>
      </c>
      <c r="AB35" s="90">
        <v>0.54600000000000004</v>
      </c>
      <c r="AC35" s="90">
        <v>0.56499999999999995</v>
      </c>
      <c r="AD35" s="90">
        <v>0.58399999999999996</v>
      </c>
      <c r="AE35" s="90">
        <v>0.60499999999999998</v>
      </c>
      <c r="AF35" s="90">
        <v>0.627</v>
      </c>
      <c r="AG35" s="90">
        <v>0.65</v>
      </c>
      <c r="AH35" s="90">
        <v>0.67400000000000004</v>
      </c>
      <c r="AI35" s="90">
        <v>0.7</v>
      </c>
      <c r="AJ35" s="90">
        <v>0.72799999999999998</v>
      </c>
      <c r="AK35" s="90">
        <v>0.75700000000000001</v>
      </c>
      <c r="AL35" s="90">
        <v>0.78900000000000003</v>
      </c>
      <c r="AM35" s="90">
        <v>0.82299999999999995</v>
      </c>
      <c r="AN35" s="90">
        <v>0.85899999999999999</v>
      </c>
      <c r="AO35" s="90">
        <v>0.89800000000000002</v>
      </c>
      <c r="AP35" s="90">
        <v>0.93899999999999995</v>
      </c>
      <c r="AQ35" s="90">
        <v>0.98499999999999999</v>
      </c>
    </row>
    <row r="36" spans="1:43" x14ac:dyDescent="0.25">
      <c r="A36" s="88">
        <v>9</v>
      </c>
      <c r="B36" s="90">
        <v>0.27100000000000002</v>
      </c>
      <c r="C36" s="90">
        <v>0.27800000000000002</v>
      </c>
      <c r="D36" s="90">
        <v>0.28399999999999997</v>
      </c>
      <c r="E36" s="90">
        <v>0.29099999999999998</v>
      </c>
      <c r="F36" s="90">
        <v>0.29799999999999999</v>
      </c>
      <c r="G36" s="90">
        <v>0.30499999999999999</v>
      </c>
      <c r="H36" s="90">
        <v>0.313</v>
      </c>
      <c r="I36" s="90">
        <v>0.32</v>
      </c>
      <c r="J36" s="90">
        <v>0.32800000000000001</v>
      </c>
      <c r="K36" s="90">
        <v>0.33700000000000002</v>
      </c>
      <c r="L36" s="90">
        <v>0.34499999999999997</v>
      </c>
      <c r="M36" s="90">
        <v>0.35399999999999998</v>
      </c>
      <c r="N36" s="90">
        <v>0.36399999999999999</v>
      </c>
      <c r="O36" s="90">
        <v>0.374</v>
      </c>
      <c r="P36" s="90">
        <v>0.38400000000000001</v>
      </c>
      <c r="Q36" s="90">
        <v>0.39400000000000002</v>
      </c>
      <c r="R36" s="90">
        <v>0.40500000000000003</v>
      </c>
      <c r="S36" s="90">
        <v>0.41699999999999998</v>
      </c>
      <c r="T36" s="90">
        <v>0.42899999999999999</v>
      </c>
      <c r="U36" s="90">
        <v>0.441</v>
      </c>
      <c r="V36" s="90">
        <v>0.45500000000000002</v>
      </c>
      <c r="W36" s="90">
        <v>0.46800000000000003</v>
      </c>
      <c r="X36" s="90">
        <v>0.48299999999999998</v>
      </c>
      <c r="Y36" s="90">
        <v>0.498</v>
      </c>
      <c r="Z36" s="90">
        <v>0.51400000000000001</v>
      </c>
      <c r="AA36" s="90">
        <v>0.53</v>
      </c>
      <c r="AB36" s="90">
        <v>0.54800000000000004</v>
      </c>
      <c r="AC36" s="90">
        <v>0.56599999999999995</v>
      </c>
      <c r="AD36" s="90">
        <v>0.58599999999999997</v>
      </c>
      <c r="AE36" s="90">
        <v>0.60699999999999998</v>
      </c>
      <c r="AF36" s="90">
        <v>0.629</v>
      </c>
      <c r="AG36" s="90">
        <v>0.65200000000000002</v>
      </c>
      <c r="AH36" s="90">
        <v>0.67600000000000005</v>
      </c>
      <c r="AI36" s="90">
        <v>0.70199999999999996</v>
      </c>
      <c r="AJ36" s="90">
        <v>0.73</v>
      </c>
      <c r="AK36" s="90">
        <v>0.76</v>
      </c>
      <c r="AL36" s="90">
        <v>0.79200000000000004</v>
      </c>
      <c r="AM36" s="90">
        <v>0.82499999999999996</v>
      </c>
      <c r="AN36" s="90">
        <v>0.86199999999999999</v>
      </c>
      <c r="AO36" s="90">
        <v>0.90100000000000002</v>
      </c>
      <c r="AP36" s="90">
        <v>0.94299999999999995</v>
      </c>
      <c r="AQ36" s="90">
        <v>0.98799999999999999</v>
      </c>
    </row>
    <row r="37" spans="1:43" x14ac:dyDescent="0.25">
      <c r="A37" s="88">
        <v>10</v>
      </c>
      <c r="B37" s="90">
        <v>0.27200000000000002</v>
      </c>
      <c r="C37" s="90">
        <v>0.27800000000000002</v>
      </c>
      <c r="D37" s="90">
        <v>0.28499999999999998</v>
      </c>
      <c r="E37" s="90">
        <v>0.29199999999999998</v>
      </c>
      <c r="F37" s="90">
        <v>0.29899999999999999</v>
      </c>
      <c r="G37" s="90">
        <v>0.30599999999999999</v>
      </c>
      <c r="H37" s="90">
        <v>0.313</v>
      </c>
      <c r="I37" s="90">
        <v>0.32100000000000001</v>
      </c>
      <c r="J37" s="90">
        <v>0.32900000000000001</v>
      </c>
      <c r="K37" s="90">
        <v>0.33800000000000002</v>
      </c>
      <c r="L37" s="90">
        <v>0.34599999999999997</v>
      </c>
      <c r="M37" s="90">
        <v>0.35499999999999998</v>
      </c>
      <c r="N37" s="90">
        <v>0.36499999999999999</v>
      </c>
      <c r="O37" s="90">
        <v>0.374</v>
      </c>
      <c r="P37" s="90">
        <v>0.38500000000000001</v>
      </c>
      <c r="Q37" s="90">
        <v>0.39500000000000002</v>
      </c>
      <c r="R37" s="90">
        <v>0.40600000000000003</v>
      </c>
      <c r="S37" s="90">
        <v>0.41799999999999998</v>
      </c>
      <c r="T37" s="90">
        <v>0.43</v>
      </c>
      <c r="U37" s="90">
        <v>0.442</v>
      </c>
      <c r="V37" s="90">
        <v>0.45600000000000002</v>
      </c>
      <c r="W37" s="90">
        <v>0.46899999999999997</v>
      </c>
      <c r="X37" s="90">
        <v>0.48399999999999999</v>
      </c>
      <c r="Y37" s="90">
        <v>0.499</v>
      </c>
      <c r="Z37" s="90">
        <v>0.51500000000000001</v>
      </c>
      <c r="AA37" s="90">
        <v>0.53200000000000003</v>
      </c>
      <c r="AB37" s="90">
        <v>0.54900000000000004</v>
      </c>
      <c r="AC37" s="90">
        <v>0.56799999999999995</v>
      </c>
      <c r="AD37" s="90">
        <v>0.58799999999999997</v>
      </c>
      <c r="AE37" s="90">
        <v>0.60799999999999998</v>
      </c>
      <c r="AF37" s="90">
        <v>0.63</v>
      </c>
      <c r="AG37" s="90">
        <v>0.65400000000000003</v>
      </c>
      <c r="AH37" s="90">
        <v>0.67800000000000005</v>
      </c>
      <c r="AI37" s="90">
        <v>0.70499999999999996</v>
      </c>
      <c r="AJ37" s="90">
        <v>0.73299999999999998</v>
      </c>
      <c r="AK37" s="90">
        <v>0.76200000000000001</v>
      </c>
      <c r="AL37" s="90">
        <v>0.79400000000000004</v>
      </c>
      <c r="AM37" s="90">
        <v>0.82799999999999996</v>
      </c>
      <c r="AN37" s="90">
        <v>0.86499999999999999</v>
      </c>
      <c r="AO37" s="90">
        <v>0.90400000000000003</v>
      </c>
      <c r="AP37" s="90">
        <v>0.94699999999999995</v>
      </c>
      <c r="AQ37" s="90">
        <v>0.99199999999999999</v>
      </c>
    </row>
    <row r="38" spans="1:43" x14ac:dyDescent="0.25">
      <c r="A38" s="88">
        <v>11</v>
      </c>
      <c r="B38" s="90">
        <v>0.27200000000000002</v>
      </c>
      <c r="C38" s="90">
        <v>0.27900000000000003</v>
      </c>
      <c r="D38" s="90">
        <v>0.28499999999999998</v>
      </c>
      <c r="E38" s="90">
        <v>0.29199999999999998</v>
      </c>
      <c r="F38" s="90">
        <v>0.29899999999999999</v>
      </c>
      <c r="G38" s="90">
        <v>0.30599999999999999</v>
      </c>
      <c r="H38" s="90">
        <v>0.314</v>
      </c>
      <c r="I38" s="90">
        <v>0.32200000000000001</v>
      </c>
      <c r="J38" s="90">
        <v>0.33</v>
      </c>
      <c r="K38" s="90">
        <v>0.33800000000000002</v>
      </c>
      <c r="L38" s="90">
        <v>0.34699999999999998</v>
      </c>
      <c r="M38" s="90">
        <v>0.35599999999999998</v>
      </c>
      <c r="N38" s="90">
        <v>0.36499999999999999</v>
      </c>
      <c r="O38" s="90">
        <v>0.375</v>
      </c>
      <c r="P38" s="90">
        <v>0.38500000000000001</v>
      </c>
      <c r="Q38" s="90">
        <v>0.39600000000000002</v>
      </c>
      <c r="R38" s="90">
        <v>0.40699999999999997</v>
      </c>
      <c r="S38" s="90">
        <v>0.41899999999999998</v>
      </c>
      <c r="T38" s="90">
        <v>0.43099999999999999</v>
      </c>
      <c r="U38" s="90">
        <v>0.443</v>
      </c>
      <c r="V38" s="90">
        <v>0.45700000000000002</v>
      </c>
      <c r="W38" s="90">
        <v>0.47099999999999997</v>
      </c>
      <c r="X38" s="90">
        <v>0.48499999999999999</v>
      </c>
      <c r="Y38" s="90">
        <v>0.5</v>
      </c>
      <c r="Z38" s="90">
        <v>0.51600000000000001</v>
      </c>
      <c r="AA38" s="90">
        <v>0.53300000000000003</v>
      </c>
      <c r="AB38" s="90">
        <v>0.55100000000000005</v>
      </c>
      <c r="AC38" s="90">
        <v>0.56999999999999995</v>
      </c>
      <c r="AD38" s="90">
        <v>0.58899999999999997</v>
      </c>
      <c r="AE38" s="90">
        <v>0.61</v>
      </c>
      <c r="AF38" s="90">
        <v>0.63200000000000001</v>
      </c>
      <c r="AG38" s="90">
        <v>0.65600000000000003</v>
      </c>
      <c r="AH38" s="90">
        <v>0.68</v>
      </c>
      <c r="AI38" s="90">
        <v>0.70699999999999996</v>
      </c>
      <c r="AJ38" s="90">
        <v>0.73499999999999999</v>
      </c>
      <c r="AK38" s="90">
        <v>0.76500000000000001</v>
      </c>
      <c r="AL38" s="90">
        <v>0.79700000000000004</v>
      </c>
      <c r="AM38" s="90">
        <v>0.83099999999999996</v>
      </c>
      <c r="AN38" s="90">
        <v>0.86799999999999999</v>
      </c>
      <c r="AO38" s="90">
        <v>0.90800000000000003</v>
      </c>
      <c r="AP38" s="90">
        <v>0.95</v>
      </c>
      <c r="AQ38" s="90">
        <v>0.996</v>
      </c>
    </row>
    <row r="44" spans="1:43" ht="39.65" customHeight="1" x14ac:dyDescent="0.25"/>
    <row r="46" spans="1:43" ht="27.65" customHeight="1" x14ac:dyDescent="0.25"/>
  </sheetData>
  <sheetProtection algorithmName="SHA-512" hashValue="xL9spilRfdifoqOjQnzVe6JPwGC642dxIiKPoLu32qmRSwEmifNkavXf92HwrtrY0QwC9VltEZu2L4N1bJDyNA==" saltValue="VPE21bBx/YtyBrD/REKuDg==" spinCount="100000" sheet="1" objects="1" scenarios="1"/>
  <conditionalFormatting sqref="A6:A16">
    <cfRule type="expression" dxfId="333" priority="29" stopIfTrue="1">
      <formula>MOD(ROW(),2)=0</formula>
    </cfRule>
    <cfRule type="expression" dxfId="332" priority="30" stopIfTrue="1">
      <formula>MOD(ROW(),2)&lt;&gt;0</formula>
    </cfRule>
  </conditionalFormatting>
  <conditionalFormatting sqref="B6:AQ21">
    <cfRule type="expression" dxfId="331" priority="31" stopIfTrue="1">
      <formula>MOD(ROW(),2)=0</formula>
    </cfRule>
    <cfRule type="expression" dxfId="330" priority="32" stopIfTrue="1">
      <formula>MOD(ROW(),2)&lt;&gt;0</formula>
    </cfRule>
  </conditionalFormatting>
  <conditionalFormatting sqref="A17:A20">
    <cfRule type="expression" dxfId="329" priority="21" stopIfTrue="1">
      <formula>MOD(ROW(),2)=0</formula>
    </cfRule>
    <cfRule type="expression" dxfId="328" priority="22" stopIfTrue="1">
      <formula>MOD(ROW(),2)&lt;&gt;0</formula>
    </cfRule>
  </conditionalFormatting>
  <conditionalFormatting sqref="B17:B18 B20:B21">
    <cfRule type="expression" dxfId="327" priority="23" stopIfTrue="1">
      <formula>MOD(ROW(),2)=0</formula>
    </cfRule>
    <cfRule type="expression" dxfId="326" priority="24" stopIfTrue="1">
      <formula>MOD(ROW(),2)&lt;&gt;0</formula>
    </cfRule>
  </conditionalFormatting>
  <conditionalFormatting sqref="A26:A38">
    <cfRule type="expression" dxfId="325" priority="15" stopIfTrue="1">
      <formula>MOD(ROW(),2)=0</formula>
    </cfRule>
    <cfRule type="expression" dxfId="324" priority="16" stopIfTrue="1">
      <formula>MOD(ROW(),2)&lt;&gt;0</formula>
    </cfRule>
  </conditionalFormatting>
  <conditionalFormatting sqref="B26:AQ38">
    <cfRule type="expression" dxfId="323" priority="17" stopIfTrue="1">
      <formula>MOD(ROW(),2)=0</formula>
    </cfRule>
    <cfRule type="expression" dxfId="322" priority="18" stopIfTrue="1">
      <formula>MOD(ROW(),2)&lt;&gt;0</formula>
    </cfRule>
  </conditionalFormatting>
  <conditionalFormatting sqref="B19">
    <cfRule type="expression" dxfId="321" priority="13" stopIfTrue="1">
      <formula>MOD(ROW(),2)=0</formula>
    </cfRule>
    <cfRule type="expression" dxfId="320" priority="14" stopIfTrue="1">
      <formula>MOD(ROW(),2)&lt;&gt;0</formula>
    </cfRule>
  </conditionalFormatting>
  <conditionalFormatting sqref="A21">
    <cfRule type="expression" dxfId="319" priority="1" stopIfTrue="1">
      <formula>MOD(ROW(),2)=0</formula>
    </cfRule>
    <cfRule type="expression" dxfId="318" priority="2" stopIfTrue="1">
      <formula>MOD(ROW(),2)&lt;&gt;0</formula>
    </cfRule>
  </conditionalFormatting>
  <hyperlinks>
    <hyperlink ref="B24" location="Assumptions!A1" display="Assumptions" xr:uid="{60F52368-59B3-4780-9F48-2C8786282268}"/>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sheetPr codeName="Sheet94"/>
  <dimension ref="A1:K46"/>
  <sheetViews>
    <sheetView showGridLines="0" zoomScale="85" zoomScaleNormal="85" workbookViewId="0">
      <selection activeCell="B18" sqref="B18"/>
    </sheetView>
  </sheetViews>
  <sheetFormatPr defaultColWidth="10" defaultRowHeight="12.5" x14ac:dyDescent="0.25"/>
  <cols>
    <col min="1" max="1" width="31.81640625" style="28" customWidth="1"/>
    <col min="2" max="11" width="22.81640625" style="28" customWidth="1"/>
    <col min="12" max="16384" width="10" style="28"/>
  </cols>
  <sheetData>
    <row r="1" spans="1:11" ht="20" x14ac:dyDescent="0.4">
      <c r="A1" s="40" t="s">
        <v>227</v>
      </c>
      <c r="B1" s="41"/>
      <c r="C1" s="41"/>
      <c r="D1" s="41"/>
      <c r="E1" s="41"/>
      <c r="F1" s="41"/>
      <c r="G1" s="41"/>
      <c r="H1" s="41"/>
      <c r="I1" s="41"/>
    </row>
    <row r="2" spans="1:11" ht="15.5" x14ac:dyDescent="0.35">
      <c r="A2" s="42" t="str">
        <f>IF(title="&gt; Enter workbook title here","Enter workbook title in Cover sheet",title)</f>
        <v>Fire Northern Ireland - Consolidated Factor Spreadsheet</v>
      </c>
      <c r="B2" s="43"/>
      <c r="C2" s="43"/>
      <c r="D2" s="43"/>
      <c r="E2" s="43"/>
      <c r="F2" s="43"/>
      <c r="G2" s="43"/>
      <c r="H2" s="43"/>
      <c r="I2" s="43"/>
    </row>
    <row r="3" spans="1:11" ht="15.5" x14ac:dyDescent="0.35">
      <c r="A3" s="44" t="str">
        <f>TABLE_FACTOR_TYPE_1&amp;" - x-"&amp;TABLE_SERIES_NUMBER_1</f>
        <v>Scheme pays AA - x-614</v>
      </c>
      <c r="B3" s="43"/>
      <c r="C3" s="43"/>
      <c r="D3" s="43"/>
      <c r="E3" s="43"/>
      <c r="F3" s="43"/>
      <c r="G3" s="43"/>
      <c r="H3" s="43"/>
      <c r="I3" s="43"/>
    </row>
    <row r="4" spans="1:11" x14ac:dyDescent="0.25">
      <c r="A4" s="45"/>
    </row>
    <row r="6" spans="1:11" ht="13" x14ac:dyDescent="0.3">
      <c r="A6" s="75" t="s">
        <v>562</v>
      </c>
      <c r="B6" s="159" t="s">
        <v>563</v>
      </c>
      <c r="C6" s="159"/>
      <c r="D6" s="159"/>
      <c r="E6" s="159"/>
      <c r="F6" s="159"/>
      <c r="G6" s="159"/>
      <c r="H6" s="159"/>
      <c r="I6" s="159"/>
      <c r="J6" s="159"/>
      <c r="K6" s="159"/>
    </row>
    <row r="7" spans="1:11" x14ac:dyDescent="0.25">
      <c r="A7" s="77" t="s">
        <v>305</v>
      </c>
      <c r="B7" s="159" t="s">
        <v>319</v>
      </c>
      <c r="C7" s="159"/>
      <c r="D7" s="159"/>
      <c r="E7" s="159"/>
      <c r="F7" s="159"/>
      <c r="G7" s="159"/>
      <c r="H7" s="159"/>
      <c r="I7" s="159"/>
      <c r="J7" s="159"/>
      <c r="K7" s="159"/>
    </row>
    <row r="8" spans="1:11" x14ac:dyDescent="0.25">
      <c r="A8" s="77" t="s">
        <v>306</v>
      </c>
      <c r="B8" s="159" t="s">
        <v>332</v>
      </c>
      <c r="C8" s="159"/>
      <c r="D8" s="159"/>
      <c r="E8" s="159"/>
      <c r="F8" s="159"/>
      <c r="G8" s="159"/>
      <c r="H8" s="159"/>
      <c r="I8" s="159"/>
      <c r="J8" s="159"/>
      <c r="K8" s="159"/>
    </row>
    <row r="9" spans="1:11" x14ac:dyDescent="0.25">
      <c r="A9" s="77" t="s">
        <v>307</v>
      </c>
      <c r="B9" s="159" t="s">
        <v>482</v>
      </c>
      <c r="C9" s="159"/>
      <c r="D9" s="159"/>
      <c r="E9" s="159"/>
      <c r="F9" s="159"/>
      <c r="G9" s="159"/>
      <c r="H9" s="159"/>
      <c r="I9" s="159"/>
      <c r="J9" s="159"/>
      <c r="K9" s="159"/>
    </row>
    <row r="10" spans="1:11" x14ac:dyDescent="0.25">
      <c r="A10" s="77" t="s">
        <v>233</v>
      </c>
      <c r="B10" s="159" t="s">
        <v>508</v>
      </c>
      <c r="C10" s="159"/>
      <c r="D10" s="159"/>
      <c r="E10" s="159"/>
      <c r="F10" s="159"/>
      <c r="G10" s="159"/>
      <c r="H10" s="159"/>
      <c r="I10" s="159"/>
      <c r="J10" s="159"/>
      <c r="K10" s="159"/>
    </row>
    <row r="11" spans="1:11" x14ac:dyDescent="0.25">
      <c r="A11" s="77" t="s">
        <v>308</v>
      </c>
      <c r="B11" s="159" t="s">
        <v>404</v>
      </c>
      <c r="C11" s="159"/>
      <c r="D11" s="159"/>
      <c r="E11" s="159"/>
      <c r="F11" s="159"/>
      <c r="G11" s="159"/>
      <c r="H11" s="159"/>
      <c r="I11" s="159"/>
      <c r="J11" s="159"/>
      <c r="K11" s="159"/>
    </row>
    <row r="12" spans="1:11" x14ac:dyDescent="0.25">
      <c r="A12" s="77" t="s">
        <v>309</v>
      </c>
      <c r="B12" s="159" t="s">
        <v>509</v>
      </c>
      <c r="C12" s="159"/>
      <c r="D12" s="159"/>
      <c r="E12" s="159"/>
      <c r="F12" s="159"/>
      <c r="G12" s="159"/>
      <c r="H12" s="159"/>
      <c r="I12" s="159"/>
      <c r="J12" s="159"/>
      <c r="K12" s="159"/>
    </row>
    <row r="13" spans="1:11" x14ac:dyDescent="0.25">
      <c r="A13" s="77" t="s">
        <v>570</v>
      </c>
      <c r="B13" s="159">
        <v>1</v>
      </c>
      <c r="C13" s="159"/>
      <c r="D13" s="159"/>
      <c r="E13" s="159"/>
      <c r="F13" s="159"/>
      <c r="G13" s="159"/>
      <c r="H13" s="159"/>
      <c r="I13" s="159"/>
      <c r="J13" s="159"/>
      <c r="K13" s="159"/>
    </row>
    <row r="14" spans="1:11" x14ac:dyDescent="0.25">
      <c r="A14" s="77" t="s">
        <v>311</v>
      </c>
      <c r="B14" s="159">
        <v>614</v>
      </c>
      <c r="C14" s="159"/>
      <c r="D14" s="159"/>
      <c r="E14" s="159"/>
      <c r="F14" s="159"/>
      <c r="G14" s="159"/>
      <c r="H14" s="159"/>
      <c r="I14" s="159"/>
      <c r="J14" s="159"/>
      <c r="K14" s="159"/>
    </row>
    <row r="15" spans="1:11" x14ac:dyDescent="0.25">
      <c r="A15" s="77" t="s">
        <v>573</v>
      </c>
      <c r="B15" s="159" t="s">
        <v>510</v>
      </c>
      <c r="C15" s="159"/>
      <c r="D15" s="159"/>
      <c r="E15" s="159"/>
      <c r="F15" s="159"/>
      <c r="G15" s="159"/>
      <c r="H15" s="159"/>
      <c r="I15" s="159"/>
      <c r="J15" s="159"/>
      <c r="K15" s="159"/>
    </row>
    <row r="16" spans="1:11" x14ac:dyDescent="0.25">
      <c r="A16" s="77" t="s">
        <v>313</v>
      </c>
      <c r="B16" s="159" t="s">
        <v>340</v>
      </c>
      <c r="C16" s="159"/>
      <c r="D16" s="159"/>
      <c r="E16" s="159"/>
      <c r="F16" s="159"/>
      <c r="G16" s="159"/>
      <c r="H16" s="159"/>
      <c r="I16" s="159"/>
      <c r="J16" s="159"/>
      <c r="K16" s="159"/>
    </row>
    <row r="17" spans="1:11" x14ac:dyDescent="0.25">
      <c r="A17" s="77" t="s">
        <v>642</v>
      </c>
      <c r="B17" s="159"/>
      <c r="C17" s="159"/>
      <c r="D17" s="159"/>
      <c r="E17" s="159"/>
      <c r="F17" s="159"/>
      <c r="G17" s="159"/>
      <c r="H17" s="159"/>
      <c r="I17" s="159"/>
      <c r="J17" s="159"/>
      <c r="K17" s="159"/>
    </row>
    <row r="18" spans="1:11" x14ac:dyDescent="0.25">
      <c r="A18" s="77" t="s">
        <v>315</v>
      </c>
      <c r="B18" s="161">
        <v>45135</v>
      </c>
      <c r="C18" s="159"/>
      <c r="D18" s="159"/>
      <c r="E18" s="159"/>
      <c r="F18" s="159"/>
      <c r="G18" s="159"/>
      <c r="H18" s="159"/>
      <c r="I18" s="159"/>
      <c r="J18" s="159"/>
      <c r="K18" s="159"/>
    </row>
    <row r="19" spans="1:11" x14ac:dyDescent="0.25">
      <c r="A19" s="77" t="s">
        <v>316</v>
      </c>
      <c r="B19" s="161">
        <v>45135</v>
      </c>
      <c r="C19" s="159"/>
      <c r="D19" s="159"/>
      <c r="E19" s="159"/>
      <c r="F19" s="159"/>
      <c r="G19" s="159"/>
      <c r="H19" s="159"/>
      <c r="I19" s="159"/>
      <c r="J19" s="159"/>
      <c r="K19" s="159"/>
    </row>
    <row r="20" spans="1:11" x14ac:dyDescent="0.25">
      <c r="A20" s="77" t="s">
        <v>317</v>
      </c>
      <c r="B20" s="159" t="s">
        <v>327</v>
      </c>
      <c r="C20" s="159"/>
      <c r="D20" s="159"/>
      <c r="E20" s="159"/>
      <c r="F20" s="159"/>
      <c r="G20" s="159"/>
      <c r="H20" s="159"/>
      <c r="I20" s="159"/>
      <c r="J20" s="159"/>
      <c r="K20" s="159"/>
    </row>
    <row r="21" spans="1:11" x14ac:dyDescent="0.25">
      <c r="A21" s="77" t="s">
        <v>318</v>
      </c>
      <c r="B21" s="159" t="s">
        <v>328</v>
      </c>
      <c r="C21" s="159"/>
      <c r="D21" s="159"/>
      <c r="E21" s="159"/>
      <c r="F21" s="159"/>
      <c r="G21" s="159"/>
      <c r="H21" s="159"/>
      <c r="I21" s="159"/>
      <c r="J21" s="159"/>
      <c r="K21" s="159"/>
    </row>
    <row r="23" spans="1:11" x14ac:dyDescent="0.25">
      <c r="B23" s="91" t="str">
        <f>HYPERLINK("#'Factor List'!A1","Back to Factor List")</f>
        <v>Back to Factor List</v>
      </c>
    </row>
    <row r="24" spans="1:11" x14ac:dyDescent="0.25">
      <c r="B24" s="91" t="s">
        <v>240</v>
      </c>
    </row>
    <row r="25" spans="1:11" x14ac:dyDescent="0.25">
      <c r="B25" s="91"/>
    </row>
    <row r="26" spans="1:11" ht="13" x14ac:dyDescent="0.25">
      <c r="A26" s="87" t="s">
        <v>667</v>
      </c>
      <c r="B26" s="87">
        <v>55</v>
      </c>
      <c r="C26" s="87">
        <v>56</v>
      </c>
      <c r="D26" s="87">
        <v>57</v>
      </c>
      <c r="E26" s="87">
        <v>58</v>
      </c>
      <c r="F26" s="87">
        <v>59</v>
      </c>
      <c r="G26" s="87">
        <v>60</v>
      </c>
      <c r="H26" s="87">
        <v>61</v>
      </c>
      <c r="I26" s="87">
        <v>62</v>
      </c>
      <c r="J26" s="87">
        <v>63</v>
      </c>
      <c r="K26" s="87">
        <v>64</v>
      </c>
    </row>
    <row r="27" spans="1:11" x14ac:dyDescent="0.25">
      <c r="A27" s="88">
        <v>0</v>
      </c>
      <c r="B27" s="90">
        <v>0.62</v>
      </c>
      <c r="C27" s="90">
        <v>0.64600000000000002</v>
      </c>
      <c r="D27" s="90">
        <v>0.67400000000000004</v>
      </c>
      <c r="E27" s="90">
        <v>0.70499999999999996</v>
      </c>
      <c r="F27" s="90">
        <v>0.73699999999999999</v>
      </c>
      <c r="G27" s="90">
        <v>0.77200000000000002</v>
      </c>
      <c r="H27" s="90">
        <v>0.81100000000000005</v>
      </c>
      <c r="I27" s="90">
        <v>0.85199999999999998</v>
      </c>
      <c r="J27" s="90">
        <v>0.89700000000000002</v>
      </c>
      <c r="K27" s="90">
        <v>0.94599999999999995</v>
      </c>
    </row>
    <row r="28" spans="1:11" x14ac:dyDescent="0.25">
      <c r="A28" s="88">
        <v>1</v>
      </c>
      <c r="B28" s="90">
        <v>0.622</v>
      </c>
      <c r="C28" s="90">
        <v>0.64800000000000002</v>
      </c>
      <c r="D28" s="90">
        <v>0.67700000000000005</v>
      </c>
      <c r="E28" s="90">
        <v>0.70699999999999996</v>
      </c>
      <c r="F28" s="90">
        <v>0.74</v>
      </c>
      <c r="G28" s="90">
        <v>0.77600000000000002</v>
      </c>
      <c r="H28" s="90">
        <v>0.81399999999999995</v>
      </c>
      <c r="I28" s="90">
        <v>0.85599999999999998</v>
      </c>
      <c r="J28" s="90">
        <v>0.90100000000000002</v>
      </c>
      <c r="K28" s="90">
        <v>0.95099999999999996</v>
      </c>
    </row>
    <row r="29" spans="1:11" x14ac:dyDescent="0.25">
      <c r="A29" s="88">
        <v>2</v>
      </c>
      <c r="B29" s="90">
        <v>0.624</v>
      </c>
      <c r="C29" s="90">
        <v>0.65100000000000002</v>
      </c>
      <c r="D29" s="90">
        <v>0.67900000000000005</v>
      </c>
      <c r="E29" s="90">
        <v>0.71</v>
      </c>
      <c r="F29" s="90">
        <v>0.74299999999999999</v>
      </c>
      <c r="G29" s="90">
        <v>0.77900000000000003</v>
      </c>
      <c r="H29" s="90">
        <v>0.81699999999999995</v>
      </c>
      <c r="I29" s="90">
        <v>0.85899999999999999</v>
      </c>
      <c r="J29" s="90">
        <v>0.90500000000000003</v>
      </c>
      <c r="K29" s="90">
        <v>0.95499999999999996</v>
      </c>
    </row>
    <row r="30" spans="1:11" x14ac:dyDescent="0.25">
      <c r="A30" s="88">
        <v>3</v>
      </c>
      <c r="B30" s="90">
        <v>0.626</v>
      </c>
      <c r="C30" s="90">
        <v>0.65300000000000002</v>
      </c>
      <c r="D30" s="90">
        <v>0.68200000000000005</v>
      </c>
      <c r="E30" s="90">
        <v>0.71299999999999997</v>
      </c>
      <c r="F30" s="90">
        <v>0.746</v>
      </c>
      <c r="G30" s="90">
        <v>0.78200000000000003</v>
      </c>
      <c r="H30" s="90">
        <v>0.82099999999999995</v>
      </c>
      <c r="I30" s="90">
        <v>0.86299999999999999</v>
      </c>
      <c r="J30" s="90">
        <v>0.90900000000000003</v>
      </c>
      <c r="K30" s="90">
        <v>0.96</v>
      </c>
    </row>
    <row r="31" spans="1:11" x14ac:dyDescent="0.25">
      <c r="A31" s="88">
        <v>4</v>
      </c>
      <c r="B31" s="90">
        <v>0.629</v>
      </c>
      <c r="C31" s="90">
        <v>0.65600000000000003</v>
      </c>
      <c r="D31" s="90">
        <v>0.68400000000000005</v>
      </c>
      <c r="E31" s="90">
        <v>0.71499999999999997</v>
      </c>
      <c r="F31" s="90">
        <v>0.749</v>
      </c>
      <c r="G31" s="90">
        <v>0.78500000000000003</v>
      </c>
      <c r="H31" s="90">
        <v>0.82399999999999995</v>
      </c>
      <c r="I31" s="90">
        <v>0.86699999999999999</v>
      </c>
      <c r="J31" s="90">
        <v>0.91300000000000003</v>
      </c>
      <c r="K31" s="90">
        <v>0.96399999999999997</v>
      </c>
    </row>
    <row r="32" spans="1:11" x14ac:dyDescent="0.25">
      <c r="A32" s="88">
        <v>5</v>
      </c>
      <c r="B32" s="90">
        <v>0.63100000000000001</v>
      </c>
      <c r="C32" s="90">
        <v>0.65800000000000003</v>
      </c>
      <c r="D32" s="90">
        <v>0.68700000000000006</v>
      </c>
      <c r="E32" s="90">
        <v>0.71799999999999997</v>
      </c>
      <c r="F32" s="90">
        <v>0.752</v>
      </c>
      <c r="G32" s="90">
        <v>0.78800000000000003</v>
      </c>
      <c r="H32" s="90">
        <v>0.82799999999999996</v>
      </c>
      <c r="I32" s="90">
        <v>0.871</v>
      </c>
      <c r="J32" s="90">
        <v>0.91700000000000004</v>
      </c>
      <c r="K32" s="90">
        <v>0.96899999999999997</v>
      </c>
    </row>
    <row r="33" spans="1:11" x14ac:dyDescent="0.25">
      <c r="A33" s="88">
        <v>6</v>
      </c>
      <c r="B33" s="90">
        <v>0.63300000000000001</v>
      </c>
      <c r="C33" s="90">
        <v>0.66</v>
      </c>
      <c r="D33" s="90">
        <v>0.68899999999999995</v>
      </c>
      <c r="E33" s="90">
        <v>0.72099999999999997</v>
      </c>
      <c r="F33" s="90">
        <v>0.755</v>
      </c>
      <c r="G33" s="90">
        <v>0.79100000000000004</v>
      </c>
      <c r="H33" s="90">
        <v>0.83099999999999996</v>
      </c>
      <c r="I33" s="90">
        <v>0.874</v>
      </c>
      <c r="J33" s="90">
        <v>0.92200000000000004</v>
      </c>
      <c r="K33" s="90">
        <v>0.97299999999999998</v>
      </c>
    </row>
    <row r="34" spans="1:11" x14ac:dyDescent="0.25">
      <c r="A34" s="88">
        <v>7</v>
      </c>
      <c r="B34" s="90">
        <v>0.63500000000000001</v>
      </c>
      <c r="C34" s="90">
        <v>0.66300000000000003</v>
      </c>
      <c r="D34" s="90">
        <v>0.69199999999999995</v>
      </c>
      <c r="E34" s="90">
        <v>0.72399999999999998</v>
      </c>
      <c r="F34" s="90">
        <v>0.75800000000000001</v>
      </c>
      <c r="G34" s="90">
        <v>0.79500000000000004</v>
      </c>
      <c r="H34" s="90">
        <v>0.83499999999999996</v>
      </c>
      <c r="I34" s="90">
        <v>0.878</v>
      </c>
      <c r="J34" s="90">
        <v>0.92600000000000005</v>
      </c>
      <c r="K34" s="90">
        <v>0.97799999999999998</v>
      </c>
    </row>
    <row r="35" spans="1:11" x14ac:dyDescent="0.25">
      <c r="A35" s="88">
        <v>8</v>
      </c>
      <c r="B35" s="90">
        <v>0.63700000000000001</v>
      </c>
      <c r="C35" s="90">
        <v>0.66500000000000004</v>
      </c>
      <c r="D35" s="90">
        <v>0.69399999999999995</v>
      </c>
      <c r="E35" s="90">
        <v>0.72599999999999998</v>
      </c>
      <c r="F35" s="90">
        <v>0.76100000000000001</v>
      </c>
      <c r="G35" s="90">
        <v>0.79800000000000004</v>
      </c>
      <c r="H35" s="90">
        <v>0.83799999999999997</v>
      </c>
      <c r="I35" s="90">
        <v>0.88200000000000001</v>
      </c>
      <c r="J35" s="90">
        <v>0.93</v>
      </c>
      <c r="K35" s="90">
        <v>0.98199999999999998</v>
      </c>
    </row>
    <row r="36" spans="1:11" x14ac:dyDescent="0.25">
      <c r="A36" s="88">
        <v>9</v>
      </c>
      <c r="B36" s="90">
        <v>0.64</v>
      </c>
      <c r="C36" s="90">
        <v>0.66700000000000004</v>
      </c>
      <c r="D36" s="90">
        <v>0.69699999999999995</v>
      </c>
      <c r="E36" s="90">
        <v>0.72899999999999998</v>
      </c>
      <c r="F36" s="90">
        <v>0.76400000000000001</v>
      </c>
      <c r="G36" s="90">
        <v>0.80100000000000005</v>
      </c>
      <c r="H36" s="90">
        <v>0.84199999999999997</v>
      </c>
      <c r="I36" s="90">
        <v>0.88600000000000001</v>
      </c>
      <c r="J36" s="90">
        <v>0.93400000000000005</v>
      </c>
      <c r="K36" s="90">
        <v>0.98699999999999999</v>
      </c>
    </row>
    <row r="37" spans="1:11" x14ac:dyDescent="0.25">
      <c r="A37" s="88">
        <v>10</v>
      </c>
      <c r="B37" s="90">
        <v>0.64200000000000002</v>
      </c>
      <c r="C37" s="90">
        <v>0.67</v>
      </c>
      <c r="D37" s="90">
        <v>0.7</v>
      </c>
      <c r="E37" s="90">
        <v>0.73199999999999998</v>
      </c>
      <c r="F37" s="90">
        <v>0.76700000000000002</v>
      </c>
      <c r="G37" s="90">
        <v>0.80400000000000005</v>
      </c>
      <c r="H37" s="90">
        <v>0.84499999999999997</v>
      </c>
      <c r="I37" s="90">
        <v>0.88900000000000001</v>
      </c>
      <c r="J37" s="90">
        <v>0.93799999999999994</v>
      </c>
      <c r="K37" s="90">
        <v>0.99099999999999999</v>
      </c>
    </row>
    <row r="38" spans="1:11" x14ac:dyDescent="0.25">
      <c r="A38" s="88">
        <v>11</v>
      </c>
      <c r="B38" s="90">
        <v>0.64400000000000002</v>
      </c>
      <c r="C38" s="90">
        <v>0.67200000000000004</v>
      </c>
      <c r="D38" s="90">
        <v>0.70199999999999996</v>
      </c>
      <c r="E38" s="90">
        <v>0.73399999999999999</v>
      </c>
      <c r="F38" s="90">
        <v>0.76900000000000002</v>
      </c>
      <c r="G38" s="90">
        <v>0.80700000000000005</v>
      </c>
      <c r="H38" s="90">
        <v>0.84799999999999998</v>
      </c>
      <c r="I38" s="90">
        <v>0.89300000000000002</v>
      </c>
      <c r="J38" s="90">
        <v>0.94199999999999995</v>
      </c>
      <c r="K38" s="90">
        <v>0.996</v>
      </c>
    </row>
    <row r="44" spans="1:11" ht="39.65" customHeight="1" x14ac:dyDescent="0.25"/>
    <row r="46" spans="1:11" ht="27.65" customHeight="1" x14ac:dyDescent="0.25"/>
  </sheetData>
  <sheetProtection algorithmName="SHA-512" hashValue="Z6VLOUUTX8xs8VjA1rwynRljAZfEIwhWthebJWbo+Wo+ZyxWxg1Y2KQbw/Nx9WbsN1qWfqvo7Ll1peu3yg/w5A==" saltValue="ih1UQhrSZ32afNyHUAaWJQ==" spinCount="100000" sheet="1" objects="1" scenarios="1"/>
  <conditionalFormatting sqref="A6:A16">
    <cfRule type="expression" dxfId="317" priority="29" stopIfTrue="1">
      <formula>MOD(ROW(),2)=0</formula>
    </cfRule>
    <cfRule type="expression" dxfId="316" priority="30" stopIfTrue="1">
      <formula>MOD(ROW(),2)&lt;&gt;0</formula>
    </cfRule>
  </conditionalFormatting>
  <conditionalFormatting sqref="B6:K21">
    <cfRule type="expression" dxfId="315" priority="31" stopIfTrue="1">
      <formula>MOD(ROW(),2)=0</formula>
    </cfRule>
    <cfRule type="expression" dxfId="314" priority="32" stopIfTrue="1">
      <formula>MOD(ROW(),2)&lt;&gt;0</formula>
    </cfRule>
  </conditionalFormatting>
  <conditionalFormatting sqref="A17:A20">
    <cfRule type="expression" dxfId="313" priority="21" stopIfTrue="1">
      <formula>MOD(ROW(),2)=0</formula>
    </cfRule>
    <cfRule type="expression" dxfId="312" priority="22" stopIfTrue="1">
      <formula>MOD(ROW(),2)&lt;&gt;0</formula>
    </cfRule>
  </conditionalFormatting>
  <conditionalFormatting sqref="B17:B18 B20:B21">
    <cfRule type="expression" dxfId="311" priority="23" stopIfTrue="1">
      <formula>MOD(ROW(),2)=0</formula>
    </cfRule>
    <cfRule type="expression" dxfId="310" priority="24" stopIfTrue="1">
      <formula>MOD(ROW(),2)&lt;&gt;0</formula>
    </cfRule>
  </conditionalFormatting>
  <conditionalFormatting sqref="A26:A38">
    <cfRule type="expression" dxfId="309" priority="15" stopIfTrue="1">
      <formula>MOD(ROW(),2)=0</formula>
    </cfRule>
    <cfRule type="expression" dxfId="308" priority="16" stopIfTrue="1">
      <formula>MOD(ROW(),2)&lt;&gt;0</formula>
    </cfRule>
  </conditionalFormatting>
  <conditionalFormatting sqref="B26:K38">
    <cfRule type="expression" dxfId="307" priority="17" stopIfTrue="1">
      <formula>MOD(ROW(),2)=0</formula>
    </cfRule>
    <cfRule type="expression" dxfId="306" priority="18" stopIfTrue="1">
      <formula>MOD(ROW(),2)&lt;&gt;0</formula>
    </cfRule>
  </conditionalFormatting>
  <conditionalFormatting sqref="B19">
    <cfRule type="expression" dxfId="305" priority="13" stopIfTrue="1">
      <formula>MOD(ROW(),2)=0</formula>
    </cfRule>
    <cfRule type="expression" dxfId="304" priority="14" stopIfTrue="1">
      <formula>MOD(ROW(),2)&lt;&gt;0</formula>
    </cfRule>
  </conditionalFormatting>
  <conditionalFormatting sqref="A21">
    <cfRule type="expression" dxfId="303" priority="1" stopIfTrue="1">
      <formula>MOD(ROW(),2)=0</formula>
    </cfRule>
    <cfRule type="expression" dxfId="302" priority="2" stopIfTrue="1">
      <formula>MOD(ROW(),2)&lt;&gt;0</formula>
    </cfRule>
  </conditionalFormatting>
  <hyperlinks>
    <hyperlink ref="B24" location="Assumptions!A1" display="Assumptions" xr:uid="{0C6320DD-9BF9-4D9B-BFB8-55C1BC06A310}"/>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sheetPr codeName="Sheet95"/>
  <dimension ref="A1:K46"/>
  <sheetViews>
    <sheetView showGridLines="0" zoomScale="85" zoomScaleNormal="85" workbookViewId="0">
      <selection activeCell="B18" sqref="B18"/>
    </sheetView>
  </sheetViews>
  <sheetFormatPr defaultColWidth="10" defaultRowHeight="12.5" x14ac:dyDescent="0.25"/>
  <cols>
    <col min="1" max="1" width="31.81640625" style="28" customWidth="1"/>
    <col min="2" max="11" width="22.81640625" style="28" customWidth="1"/>
    <col min="12" max="16384" width="10" style="28"/>
  </cols>
  <sheetData>
    <row r="1" spans="1:11" ht="20" x14ac:dyDescent="0.4">
      <c r="A1" s="40" t="s">
        <v>227</v>
      </c>
      <c r="B1" s="41"/>
      <c r="C1" s="41"/>
      <c r="D1" s="41"/>
      <c r="E1" s="41"/>
      <c r="F1" s="41"/>
      <c r="G1" s="41"/>
      <c r="H1" s="41"/>
      <c r="I1" s="41"/>
    </row>
    <row r="2" spans="1:11" ht="15.5" x14ac:dyDescent="0.35">
      <c r="A2" s="42" t="str">
        <f>IF(title="&gt; Enter workbook title here","Enter workbook title in Cover sheet",title)</f>
        <v>Fire Northern Ireland - Consolidated Factor Spreadsheet</v>
      </c>
      <c r="B2" s="43"/>
      <c r="C2" s="43"/>
      <c r="D2" s="43"/>
      <c r="E2" s="43"/>
      <c r="F2" s="43"/>
      <c r="G2" s="43"/>
      <c r="H2" s="43"/>
      <c r="I2" s="43"/>
    </row>
    <row r="3" spans="1:11" ht="15.5" x14ac:dyDescent="0.35">
      <c r="A3" s="44" t="str">
        <f>TABLE_FACTOR_TYPE_1&amp;" - x-"&amp;TABLE_SERIES_NUMBER_1</f>
        <v>Scheme pays AA - x-615</v>
      </c>
      <c r="B3" s="43"/>
      <c r="C3" s="43"/>
      <c r="D3" s="43"/>
      <c r="E3" s="43"/>
      <c r="F3" s="43"/>
      <c r="G3" s="43"/>
      <c r="H3" s="43"/>
      <c r="I3" s="43"/>
    </row>
    <row r="4" spans="1:11" x14ac:dyDescent="0.25">
      <c r="A4" s="45"/>
    </row>
    <row r="6" spans="1:11" ht="13" x14ac:dyDescent="0.3">
      <c r="A6" s="75" t="s">
        <v>562</v>
      </c>
      <c r="B6" s="159" t="s">
        <v>563</v>
      </c>
      <c r="C6" s="159"/>
      <c r="D6" s="159"/>
      <c r="E6" s="159"/>
      <c r="F6" s="159"/>
      <c r="G6" s="159"/>
      <c r="H6" s="159"/>
      <c r="I6" s="159"/>
      <c r="J6" s="159"/>
      <c r="K6" s="159"/>
    </row>
    <row r="7" spans="1:11" x14ac:dyDescent="0.25">
      <c r="A7" s="77" t="s">
        <v>305</v>
      </c>
      <c r="B7" s="159" t="s">
        <v>319</v>
      </c>
      <c r="C7" s="159"/>
      <c r="D7" s="159"/>
      <c r="E7" s="159"/>
      <c r="F7" s="159"/>
      <c r="G7" s="159"/>
      <c r="H7" s="159"/>
      <c r="I7" s="159"/>
      <c r="J7" s="159"/>
      <c r="K7" s="159"/>
    </row>
    <row r="8" spans="1:11" x14ac:dyDescent="0.25">
      <c r="A8" s="77" t="s">
        <v>306</v>
      </c>
      <c r="B8" s="159" t="s">
        <v>332</v>
      </c>
      <c r="C8" s="159"/>
      <c r="D8" s="159"/>
      <c r="E8" s="159"/>
      <c r="F8" s="159"/>
      <c r="G8" s="159"/>
      <c r="H8" s="159"/>
      <c r="I8" s="159"/>
      <c r="J8" s="159"/>
      <c r="K8" s="159"/>
    </row>
    <row r="9" spans="1:11" x14ac:dyDescent="0.25">
      <c r="A9" s="77" t="s">
        <v>307</v>
      </c>
      <c r="B9" s="159" t="s">
        <v>482</v>
      </c>
      <c r="C9" s="159"/>
      <c r="D9" s="159"/>
      <c r="E9" s="159"/>
      <c r="F9" s="159"/>
      <c r="G9" s="159"/>
      <c r="H9" s="159"/>
      <c r="I9" s="159"/>
      <c r="J9" s="159"/>
      <c r="K9" s="159"/>
    </row>
    <row r="10" spans="1:11" x14ac:dyDescent="0.25">
      <c r="A10" s="77" t="s">
        <v>233</v>
      </c>
      <c r="B10" s="159" t="s">
        <v>511</v>
      </c>
      <c r="C10" s="159"/>
      <c r="D10" s="159"/>
      <c r="E10" s="159"/>
      <c r="F10" s="159"/>
      <c r="G10" s="159"/>
      <c r="H10" s="159"/>
      <c r="I10" s="159"/>
      <c r="J10" s="159"/>
      <c r="K10" s="159"/>
    </row>
    <row r="11" spans="1:11" x14ac:dyDescent="0.25">
      <c r="A11" s="77" t="s">
        <v>308</v>
      </c>
      <c r="B11" s="159" t="s">
        <v>404</v>
      </c>
      <c r="C11" s="159"/>
      <c r="D11" s="159"/>
      <c r="E11" s="159"/>
      <c r="F11" s="159"/>
      <c r="G11" s="159"/>
      <c r="H11" s="159"/>
      <c r="I11" s="159"/>
      <c r="J11" s="159"/>
      <c r="K11" s="159"/>
    </row>
    <row r="12" spans="1:11" x14ac:dyDescent="0.25">
      <c r="A12" s="77" t="s">
        <v>309</v>
      </c>
      <c r="B12" s="159" t="s">
        <v>509</v>
      </c>
      <c r="C12" s="159"/>
      <c r="D12" s="159"/>
      <c r="E12" s="159"/>
      <c r="F12" s="159"/>
      <c r="G12" s="159"/>
      <c r="H12" s="159"/>
      <c r="I12" s="159"/>
      <c r="J12" s="159"/>
      <c r="K12" s="159"/>
    </row>
    <row r="13" spans="1:11" x14ac:dyDescent="0.25">
      <c r="A13" s="77" t="s">
        <v>570</v>
      </c>
      <c r="B13" s="159">
        <v>1</v>
      </c>
      <c r="C13" s="159"/>
      <c r="D13" s="159"/>
      <c r="E13" s="159"/>
      <c r="F13" s="159"/>
      <c r="G13" s="159"/>
      <c r="H13" s="159"/>
      <c r="I13" s="159"/>
      <c r="J13" s="159"/>
      <c r="K13" s="159"/>
    </row>
    <row r="14" spans="1:11" x14ac:dyDescent="0.25">
      <c r="A14" s="77" t="s">
        <v>311</v>
      </c>
      <c r="B14" s="159">
        <v>615</v>
      </c>
      <c r="C14" s="159"/>
      <c r="D14" s="159"/>
      <c r="E14" s="159"/>
      <c r="F14" s="159"/>
      <c r="G14" s="159"/>
      <c r="H14" s="159"/>
      <c r="I14" s="159"/>
      <c r="J14" s="159"/>
      <c r="K14" s="159"/>
    </row>
    <row r="15" spans="1:11" x14ac:dyDescent="0.25">
      <c r="A15" s="77" t="s">
        <v>573</v>
      </c>
      <c r="B15" s="159" t="s">
        <v>512</v>
      </c>
      <c r="C15" s="159"/>
      <c r="D15" s="159"/>
      <c r="E15" s="159"/>
      <c r="F15" s="159"/>
      <c r="G15" s="159"/>
      <c r="H15" s="159"/>
      <c r="I15" s="159"/>
      <c r="J15" s="159"/>
      <c r="K15" s="159"/>
    </row>
    <row r="16" spans="1:11" x14ac:dyDescent="0.25">
      <c r="A16" s="77" t="s">
        <v>313</v>
      </c>
      <c r="B16" s="159" t="s">
        <v>342</v>
      </c>
      <c r="C16" s="159"/>
      <c r="D16" s="159"/>
      <c r="E16" s="159"/>
      <c r="F16" s="159"/>
      <c r="G16" s="159"/>
      <c r="H16" s="159"/>
      <c r="I16" s="159"/>
      <c r="J16" s="159"/>
      <c r="K16" s="159"/>
    </row>
    <row r="17" spans="1:11" x14ac:dyDescent="0.25">
      <c r="A17" s="77" t="s">
        <v>642</v>
      </c>
      <c r="B17" s="159"/>
      <c r="C17" s="159"/>
      <c r="D17" s="159"/>
      <c r="E17" s="159"/>
      <c r="F17" s="159"/>
      <c r="G17" s="159"/>
      <c r="H17" s="159"/>
      <c r="I17" s="159"/>
      <c r="J17" s="159"/>
      <c r="K17" s="159"/>
    </row>
    <row r="18" spans="1:11" x14ac:dyDescent="0.25">
      <c r="A18" s="77" t="s">
        <v>315</v>
      </c>
      <c r="B18" s="161">
        <v>45135</v>
      </c>
      <c r="C18" s="159"/>
      <c r="D18" s="159"/>
      <c r="E18" s="159"/>
      <c r="F18" s="159"/>
      <c r="G18" s="159"/>
      <c r="H18" s="159"/>
      <c r="I18" s="159"/>
      <c r="J18" s="159"/>
      <c r="K18" s="159"/>
    </row>
    <row r="19" spans="1:11" x14ac:dyDescent="0.25">
      <c r="A19" s="77" t="s">
        <v>316</v>
      </c>
      <c r="B19" s="161">
        <v>45135</v>
      </c>
      <c r="C19" s="159"/>
      <c r="D19" s="159"/>
      <c r="E19" s="159"/>
      <c r="F19" s="159"/>
      <c r="G19" s="159"/>
      <c r="H19" s="159"/>
      <c r="I19" s="159"/>
      <c r="J19" s="159"/>
      <c r="K19" s="159"/>
    </row>
    <row r="20" spans="1:11" x14ac:dyDescent="0.25">
      <c r="A20" s="77" t="s">
        <v>317</v>
      </c>
      <c r="B20" s="159" t="s">
        <v>327</v>
      </c>
      <c r="C20" s="159"/>
      <c r="D20" s="159"/>
      <c r="E20" s="159"/>
      <c r="F20" s="159"/>
      <c r="G20" s="159"/>
      <c r="H20" s="159"/>
      <c r="I20" s="159"/>
      <c r="J20" s="159"/>
      <c r="K20" s="159"/>
    </row>
    <row r="21" spans="1:11" x14ac:dyDescent="0.25">
      <c r="A21" s="77" t="s">
        <v>318</v>
      </c>
      <c r="B21" s="159" t="s">
        <v>328</v>
      </c>
      <c r="C21" s="159"/>
      <c r="D21" s="159"/>
      <c r="E21" s="159"/>
      <c r="F21" s="159"/>
      <c r="G21" s="159"/>
      <c r="H21" s="159"/>
      <c r="I21" s="159"/>
      <c r="J21" s="159"/>
      <c r="K21" s="159"/>
    </row>
    <row r="23" spans="1:11" x14ac:dyDescent="0.25">
      <c r="B23" s="91" t="str">
        <f>HYPERLINK("#'Factor List'!A1","Back to Factor List")</f>
        <v>Back to Factor List</v>
      </c>
    </row>
    <row r="24" spans="1:11" x14ac:dyDescent="0.25">
      <c r="B24" s="91" t="s">
        <v>240</v>
      </c>
    </row>
    <row r="25" spans="1:11" x14ac:dyDescent="0.25">
      <c r="B25" s="91"/>
    </row>
    <row r="26" spans="1:11" ht="13" x14ac:dyDescent="0.25">
      <c r="A26" s="87" t="s">
        <v>667</v>
      </c>
      <c r="B26" s="87">
        <v>65</v>
      </c>
      <c r="C26" s="87">
        <v>66</v>
      </c>
      <c r="D26" s="87">
        <v>67</v>
      </c>
      <c r="E26" s="87">
        <v>68</v>
      </c>
      <c r="F26" s="87">
        <v>69</v>
      </c>
      <c r="G26" s="87">
        <v>70</v>
      </c>
      <c r="H26" s="87">
        <v>71</v>
      </c>
      <c r="I26" s="87">
        <v>72</v>
      </c>
      <c r="J26" s="87">
        <v>73</v>
      </c>
      <c r="K26" s="87">
        <v>74</v>
      </c>
    </row>
    <row r="27" spans="1:11" x14ac:dyDescent="0.25">
      <c r="A27" s="88">
        <v>0</v>
      </c>
      <c r="B27" s="90">
        <v>1</v>
      </c>
      <c r="C27" s="90">
        <v>1.0589999999999999</v>
      </c>
      <c r="D27" s="90">
        <v>1.125</v>
      </c>
      <c r="E27" s="90">
        <v>1.1970000000000001</v>
      </c>
      <c r="F27" s="90">
        <v>1.276</v>
      </c>
      <c r="G27" s="90">
        <v>1.363</v>
      </c>
      <c r="H27" s="90">
        <v>1.46</v>
      </c>
      <c r="I27" s="90">
        <v>1.5669999999999999</v>
      </c>
      <c r="J27" s="90">
        <v>1.6859999999999999</v>
      </c>
      <c r="K27" s="90">
        <v>1.819</v>
      </c>
    </row>
    <row r="28" spans="1:11" x14ac:dyDescent="0.25">
      <c r="A28" s="88">
        <v>1</v>
      </c>
      <c r="B28" s="90">
        <v>1.0049999999999999</v>
      </c>
      <c r="C28" s="90">
        <v>1.0649999999999999</v>
      </c>
      <c r="D28" s="90">
        <v>1.131</v>
      </c>
      <c r="E28" s="90">
        <v>1.2030000000000001</v>
      </c>
      <c r="F28" s="90">
        <v>1.2829999999999999</v>
      </c>
      <c r="G28" s="90">
        <v>1.371</v>
      </c>
      <c r="H28" s="90">
        <v>1.4690000000000001</v>
      </c>
      <c r="I28" s="90">
        <v>1.577</v>
      </c>
      <c r="J28" s="90">
        <v>1.6970000000000001</v>
      </c>
      <c r="K28" s="90">
        <v>1.831</v>
      </c>
    </row>
    <row r="29" spans="1:11" x14ac:dyDescent="0.25">
      <c r="A29" s="88">
        <v>2</v>
      </c>
      <c r="B29" s="90">
        <v>1.01</v>
      </c>
      <c r="C29" s="90">
        <v>1.07</v>
      </c>
      <c r="D29" s="90">
        <v>1.137</v>
      </c>
      <c r="E29" s="90">
        <v>1.21</v>
      </c>
      <c r="F29" s="90">
        <v>1.29</v>
      </c>
      <c r="G29" s="90">
        <v>1.379</v>
      </c>
      <c r="H29" s="90">
        <v>1.478</v>
      </c>
      <c r="I29" s="90">
        <v>1.587</v>
      </c>
      <c r="J29" s="90">
        <v>1.708</v>
      </c>
      <c r="K29" s="90">
        <v>1.8440000000000001</v>
      </c>
    </row>
    <row r="30" spans="1:11" x14ac:dyDescent="0.25">
      <c r="A30" s="88">
        <v>3</v>
      </c>
      <c r="B30" s="90">
        <v>1.0149999999999999</v>
      </c>
      <c r="C30" s="90">
        <v>1.0760000000000001</v>
      </c>
      <c r="D30" s="90">
        <v>1.143</v>
      </c>
      <c r="E30" s="90">
        <v>1.2170000000000001</v>
      </c>
      <c r="F30" s="90">
        <v>1.298</v>
      </c>
      <c r="G30" s="90">
        <v>1.387</v>
      </c>
      <c r="H30" s="90">
        <v>1.4870000000000001</v>
      </c>
      <c r="I30" s="90">
        <v>1.597</v>
      </c>
      <c r="J30" s="90">
        <v>1.7190000000000001</v>
      </c>
      <c r="K30" s="90">
        <v>1.8560000000000001</v>
      </c>
    </row>
    <row r="31" spans="1:11" x14ac:dyDescent="0.25">
      <c r="A31" s="88">
        <v>4</v>
      </c>
      <c r="B31" s="90">
        <v>1.02</v>
      </c>
      <c r="C31" s="90">
        <v>1.081</v>
      </c>
      <c r="D31" s="90">
        <v>1.149</v>
      </c>
      <c r="E31" s="90">
        <v>1.2230000000000001</v>
      </c>
      <c r="F31" s="90">
        <v>1.3049999999999999</v>
      </c>
      <c r="G31" s="90">
        <v>1.3959999999999999</v>
      </c>
      <c r="H31" s="90">
        <v>1.496</v>
      </c>
      <c r="I31" s="90">
        <v>1.607</v>
      </c>
      <c r="J31" s="90">
        <v>1.73</v>
      </c>
      <c r="K31" s="90">
        <v>1.869</v>
      </c>
    </row>
    <row r="32" spans="1:11" x14ac:dyDescent="0.25">
      <c r="A32" s="88">
        <v>5</v>
      </c>
      <c r="B32" s="90">
        <v>1.0249999999999999</v>
      </c>
      <c r="C32" s="90">
        <v>1.087</v>
      </c>
      <c r="D32" s="90">
        <v>1.155</v>
      </c>
      <c r="E32" s="90">
        <v>1.23</v>
      </c>
      <c r="F32" s="90">
        <v>1.3120000000000001</v>
      </c>
      <c r="G32" s="90">
        <v>1.4039999999999999</v>
      </c>
      <c r="H32" s="90">
        <v>1.5049999999999999</v>
      </c>
      <c r="I32" s="90">
        <v>1.617</v>
      </c>
      <c r="J32" s="90">
        <v>1.742</v>
      </c>
      <c r="K32" s="90">
        <v>1.881</v>
      </c>
    </row>
    <row r="33" spans="1:11" x14ac:dyDescent="0.25">
      <c r="A33" s="88">
        <v>6</v>
      </c>
      <c r="B33" s="90">
        <v>1.03</v>
      </c>
      <c r="C33" s="90">
        <v>1.0920000000000001</v>
      </c>
      <c r="D33" s="90">
        <v>1.161</v>
      </c>
      <c r="E33" s="90">
        <v>1.236</v>
      </c>
      <c r="F33" s="90">
        <v>1.32</v>
      </c>
      <c r="G33" s="90">
        <v>1.4119999999999999</v>
      </c>
      <c r="H33" s="90">
        <v>1.5129999999999999</v>
      </c>
      <c r="I33" s="90">
        <v>1.627</v>
      </c>
      <c r="J33" s="90">
        <v>1.7529999999999999</v>
      </c>
      <c r="K33" s="90">
        <v>1.893</v>
      </c>
    </row>
    <row r="34" spans="1:11" x14ac:dyDescent="0.25">
      <c r="A34" s="88">
        <v>7</v>
      </c>
      <c r="B34" s="90">
        <v>1.0349999999999999</v>
      </c>
      <c r="C34" s="90">
        <v>1.0980000000000001</v>
      </c>
      <c r="D34" s="90">
        <v>1.167</v>
      </c>
      <c r="E34" s="90">
        <v>1.2430000000000001</v>
      </c>
      <c r="F34" s="90">
        <v>1.327</v>
      </c>
      <c r="G34" s="90">
        <v>1.42</v>
      </c>
      <c r="H34" s="90">
        <v>1.522</v>
      </c>
      <c r="I34" s="90">
        <v>1.637</v>
      </c>
      <c r="J34" s="90">
        <v>1.764</v>
      </c>
      <c r="K34" s="90">
        <v>1.9059999999999999</v>
      </c>
    </row>
    <row r="35" spans="1:11" x14ac:dyDescent="0.25">
      <c r="A35" s="88">
        <v>8</v>
      </c>
      <c r="B35" s="90">
        <v>1.04</v>
      </c>
      <c r="C35" s="90">
        <v>1.103</v>
      </c>
      <c r="D35" s="90">
        <v>1.173</v>
      </c>
      <c r="E35" s="90">
        <v>1.25</v>
      </c>
      <c r="F35" s="90">
        <v>1.3340000000000001</v>
      </c>
      <c r="G35" s="90">
        <v>1.4279999999999999</v>
      </c>
      <c r="H35" s="90">
        <v>1.5309999999999999</v>
      </c>
      <c r="I35" s="90">
        <v>1.6459999999999999</v>
      </c>
      <c r="J35" s="90">
        <v>1.7749999999999999</v>
      </c>
      <c r="K35" s="90">
        <v>1.9179999999999999</v>
      </c>
    </row>
    <row r="36" spans="1:11" x14ac:dyDescent="0.25">
      <c r="A36" s="88">
        <v>9</v>
      </c>
      <c r="B36" s="90">
        <v>1.0449999999999999</v>
      </c>
      <c r="C36" s="90">
        <v>1.1080000000000001</v>
      </c>
      <c r="D36" s="90">
        <v>1.179</v>
      </c>
      <c r="E36" s="90">
        <v>1.256</v>
      </c>
      <c r="F36" s="90">
        <v>1.341</v>
      </c>
      <c r="G36" s="90">
        <v>1.4359999999999999</v>
      </c>
      <c r="H36" s="90">
        <v>1.54</v>
      </c>
      <c r="I36" s="90">
        <v>1.6559999999999999</v>
      </c>
      <c r="J36" s="90">
        <v>1.786</v>
      </c>
      <c r="K36" s="90">
        <v>1.931</v>
      </c>
    </row>
    <row r="37" spans="1:11" x14ac:dyDescent="0.25">
      <c r="A37" s="88">
        <v>10</v>
      </c>
      <c r="B37" s="90">
        <v>1.05</v>
      </c>
      <c r="C37" s="90">
        <v>1.1140000000000001</v>
      </c>
      <c r="D37" s="90">
        <v>1.1850000000000001</v>
      </c>
      <c r="E37" s="90">
        <v>1.2629999999999999</v>
      </c>
      <c r="F37" s="90">
        <v>1.349</v>
      </c>
      <c r="G37" s="90">
        <v>1.444</v>
      </c>
      <c r="H37" s="90">
        <v>1.5489999999999999</v>
      </c>
      <c r="I37" s="90">
        <v>1.6659999999999999</v>
      </c>
      <c r="J37" s="90">
        <v>1.7969999999999999</v>
      </c>
      <c r="K37" s="90">
        <v>1.9430000000000001</v>
      </c>
    </row>
    <row r="38" spans="1:11" x14ac:dyDescent="0.25">
      <c r="A38" s="88">
        <v>11</v>
      </c>
      <c r="B38" s="90">
        <v>1.0549999999999999</v>
      </c>
      <c r="C38" s="90">
        <v>1.119</v>
      </c>
      <c r="D38" s="90">
        <v>1.1910000000000001</v>
      </c>
      <c r="E38" s="90">
        <v>1.2689999999999999</v>
      </c>
      <c r="F38" s="90">
        <v>1.3560000000000001</v>
      </c>
      <c r="G38" s="90">
        <v>1.452</v>
      </c>
      <c r="H38" s="90">
        <v>1.5580000000000001</v>
      </c>
      <c r="I38" s="90">
        <v>1.6759999999999999</v>
      </c>
      <c r="J38" s="90">
        <v>1.8080000000000001</v>
      </c>
      <c r="K38" s="90">
        <v>1.9550000000000001</v>
      </c>
    </row>
    <row r="44" spans="1:11" ht="39.65" customHeight="1" x14ac:dyDescent="0.25"/>
    <row r="46" spans="1:11" ht="27.65" customHeight="1" x14ac:dyDescent="0.25"/>
  </sheetData>
  <sheetProtection algorithmName="SHA-512" hashValue="icSJxO2ZBhfRUnPT9QjzIheeYXq7Zxb/nwFqn+tLSJF/9KsUb57w0vS5ExE5LZLBOv/faI44mwGHWzktaQx3Ow==" saltValue="qn8cd8s0UXdYoDKmouJyEw==" spinCount="100000" sheet="1" objects="1" scenarios="1"/>
  <conditionalFormatting sqref="A6:A16">
    <cfRule type="expression" dxfId="301" priority="29" stopIfTrue="1">
      <formula>MOD(ROW(),2)=0</formula>
    </cfRule>
    <cfRule type="expression" dxfId="300" priority="30" stopIfTrue="1">
      <formula>MOD(ROW(),2)&lt;&gt;0</formula>
    </cfRule>
  </conditionalFormatting>
  <conditionalFormatting sqref="B6:K21">
    <cfRule type="expression" dxfId="299" priority="31" stopIfTrue="1">
      <formula>MOD(ROW(),2)=0</formula>
    </cfRule>
    <cfRule type="expression" dxfId="298" priority="32" stopIfTrue="1">
      <formula>MOD(ROW(),2)&lt;&gt;0</formula>
    </cfRule>
  </conditionalFormatting>
  <conditionalFormatting sqref="A17:A20">
    <cfRule type="expression" dxfId="297" priority="21" stopIfTrue="1">
      <formula>MOD(ROW(),2)=0</formula>
    </cfRule>
    <cfRule type="expression" dxfId="296" priority="22" stopIfTrue="1">
      <formula>MOD(ROW(),2)&lt;&gt;0</formula>
    </cfRule>
  </conditionalFormatting>
  <conditionalFormatting sqref="B17:B18 B20:B21">
    <cfRule type="expression" dxfId="295" priority="23" stopIfTrue="1">
      <formula>MOD(ROW(),2)=0</formula>
    </cfRule>
    <cfRule type="expression" dxfId="294" priority="24" stopIfTrue="1">
      <formula>MOD(ROW(),2)&lt;&gt;0</formula>
    </cfRule>
  </conditionalFormatting>
  <conditionalFormatting sqref="A26:A38">
    <cfRule type="expression" dxfId="293" priority="15" stopIfTrue="1">
      <formula>MOD(ROW(),2)=0</formula>
    </cfRule>
    <cfRule type="expression" dxfId="292" priority="16" stopIfTrue="1">
      <formula>MOD(ROW(),2)&lt;&gt;0</formula>
    </cfRule>
  </conditionalFormatting>
  <conditionalFormatting sqref="B26:K38">
    <cfRule type="expression" dxfId="291" priority="17" stopIfTrue="1">
      <formula>MOD(ROW(),2)=0</formula>
    </cfRule>
    <cfRule type="expression" dxfId="290" priority="18" stopIfTrue="1">
      <formula>MOD(ROW(),2)&lt;&gt;0</formula>
    </cfRule>
  </conditionalFormatting>
  <conditionalFormatting sqref="B19">
    <cfRule type="expression" dxfId="289" priority="13" stopIfTrue="1">
      <formula>MOD(ROW(),2)=0</formula>
    </cfRule>
    <cfRule type="expression" dxfId="288" priority="14" stopIfTrue="1">
      <formula>MOD(ROW(),2)&lt;&gt;0</formula>
    </cfRule>
  </conditionalFormatting>
  <conditionalFormatting sqref="A21">
    <cfRule type="expression" dxfId="287" priority="1" stopIfTrue="1">
      <formula>MOD(ROW(),2)=0</formula>
    </cfRule>
    <cfRule type="expression" dxfId="286" priority="2" stopIfTrue="1">
      <formula>MOD(ROW(),2)&lt;&gt;0</formula>
    </cfRule>
  </conditionalFormatting>
  <hyperlinks>
    <hyperlink ref="B24" location="Assumptions!A1" display="Assumptions" xr:uid="{5B941576-F3A4-4A69-93C3-3E3AAD0A19EC}"/>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sheetPr codeName="Sheet96"/>
  <dimension ref="A1:H46"/>
  <sheetViews>
    <sheetView showGridLines="0" zoomScale="85" zoomScaleNormal="85" workbookViewId="0">
      <selection activeCell="B18" sqref="B18"/>
    </sheetView>
  </sheetViews>
  <sheetFormatPr defaultColWidth="10" defaultRowHeight="12.5" x14ac:dyDescent="0.25"/>
  <cols>
    <col min="1" max="1" width="31.81640625" style="28" customWidth="1"/>
    <col min="2" max="6" width="22.81640625" style="28" customWidth="1"/>
    <col min="7" max="16384" width="10" style="28"/>
  </cols>
  <sheetData>
    <row r="1" spans="1:8" ht="20" x14ac:dyDescent="0.4">
      <c r="A1" s="40" t="s">
        <v>227</v>
      </c>
      <c r="B1" s="41"/>
      <c r="C1" s="41"/>
      <c r="D1" s="41"/>
      <c r="E1" s="41"/>
      <c r="F1" s="41"/>
      <c r="G1" s="41"/>
      <c r="H1" s="41"/>
    </row>
    <row r="2" spans="1:8" ht="15.5" x14ac:dyDescent="0.35">
      <c r="A2" s="42" t="str">
        <f>IF(title="&gt; Enter workbook title here","Enter workbook title in Cover sheet",title)</f>
        <v>Fire Northern Ireland - Consolidated Factor Spreadsheet</v>
      </c>
      <c r="B2" s="43"/>
      <c r="C2" s="43"/>
      <c r="D2" s="43"/>
      <c r="E2" s="43"/>
      <c r="F2" s="43"/>
      <c r="G2" s="43"/>
      <c r="H2" s="43"/>
    </row>
    <row r="3" spans="1:8" ht="15.5" x14ac:dyDescent="0.35">
      <c r="A3" s="44" t="str">
        <f>TABLE_FACTOR_TYPE_1&amp;" - x-"&amp;TABLE_SERIES_NUMBER_1</f>
        <v>Scheme pays AA - x-616</v>
      </c>
      <c r="B3" s="43"/>
      <c r="C3" s="43"/>
      <c r="D3" s="43"/>
      <c r="E3" s="43"/>
      <c r="F3" s="43"/>
      <c r="G3" s="43"/>
      <c r="H3" s="43"/>
    </row>
    <row r="4" spans="1:8" x14ac:dyDescent="0.25">
      <c r="A4" s="45"/>
    </row>
    <row r="6" spans="1:8" ht="13" x14ac:dyDescent="0.3">
      <c r="A6" s="75" t="s">
        <v>562</v>
      </c>
      <c r="B6" s="159" t="s">
        <v>563</v>
      </c>
      <c r="C6" s="159"/>
      <c r="D6" s="159"/>
      <c r="E6" s="159"/>
      <c r="F6" s="159"/>
    </row>
    <row r="7" spans="1:8" x14ac:dyDescent="0.25">
      <c r="A7" s="77" t="s">
        <v>305</v>
      </c>
      <c r="B7" s="159" t="s">
        <v>319</v>
      </c>
      <c r="C7" s="159"/>
      <c r="D7" s="159"/>
      <c r="E7" s="159"/>
      <c r="F7" s="159"/>
    </row>
    <row r="8" spans="1:8" x14ac:dyDescent="0.25">
      <c r="A8" s="77" t="s">
        <v>306</v>
      </c>
      <c r="B8" s="159" t="s">
        <v>332</v>
      </c>
      <c r="C8" s="159"/>
      <c r="D8" s="159"/>
      <c r="E8" s="159"/>
      <c r="F8" s="159"/>
    </row>
    <row r="9" spans="1:8" x14ac:dyDescent="0.25">
      <c r="A9" s="77" t="s">
        <v>307</v>
      </c>
      <c r="B9" s="159" t="s">
        <v>482</v>
      </c>
      <c r="C9" s="159"/>
      <c r="D9" s="159"/>
      <c r="E9" s="159"/>
      <c r="F9" s="159"/>
    </row>
    <row r="10" spans="1:8" x14ac:dyDescent="0.25">
      <c r="A10" s="77" t="s">
        <v>233</v>
      </c>
      <c r="B10" s="159" t="s">
        <v>513</v>
      </c>
      <c r="C10" s="159"/>
      <c r="D10" s="159"/>
      <c r="E10" s="159"/>
      <c r="F10" s="159"/>
    </row>
    <row r="11" spans="1:8" x14ac:dyDescent="0.25">
      <c r="A11" s="77" t="s">
        <v>308</v>
      </c>
      <c r="B11" s="159" t="s">
        <v>404</v>
      </c>
      <c r="C11" s="159"/>
      <c r="D11" s="159"/>
      <c r="E11" s="159"/>
      <c r="F11" s="159"/>
    </row>
    <row r="12" spans="1:8" x14ac:dyDescent="0.25">
      <c r="A12" s="77" t="s">
        <v>309</v>
      </c>
      <c r="B12" s="159" t="s">
        <v>509</v>
      </c>
      <c r="C12" s="159"/>
      <c r="D12" s="159"/>
      <c r="E12" s="159"/>
      <c r="F12" s="159"/>
    </row>
    <row r="13" spans="1:8" x14ac:dyDescent="0.25">
      <c r="A13" s="77" t="s">
        <v>570</v>
      </c>
      <c r="B13" s="159">
        <v>1</v>
      </c>
      <c r="C13" s="159"/>
      <c r="D13" s="159"/>
      <c r="E13" s="159"/>
      <c r="F13" s="159"/>
    </row>
    <row r="14" spans="1:8" x14ac:dyDescent="0.25">
      <c r="A14" s="77" t="s">
        <v>311</v>
      </c>
      <c r="B14" s="159">
        <v>616</v>
      </c>
      <c r="C14" s="159"/>
      <c r="D14" s="159"/>
      <c r="E14" s="159"/>
      <c r="F14" s="159"/>
    </row>
    <row r="15" spans="1:8" x14ac:dyDescent="0.25">
      <c r="A15" s="77" t="s">
        <v>573</v>
      </c>
      <c r="B15" s="159" t="s">
        <v>514</v>
      </c>
      <c r="C15" s="159"/>
      <c r="D15" s="159"/>
      <c r="E15" s="159"/>
      <c r="F15" s="159"/>
    </row>
    <row r="16" spans="1:8" x14ac:dyDescent="0.25">
      <c r="A16" s="77" t="s">
        <v>313</v>
      </c>
      <c r="B16" s="159" t="s">
        <v>515</v>
      </c>
      <c r="C16" s="159"/>
      <c r="D16" s="159"/>
      <c r="E16" s="159"/>
      <c r="F16" s="159"/>
    </row>
    <row r="17" spans="1:6" x14ac:dyDescent="0.25">
      <c r="A17" s="77" t="s">
        <v>642</v>
      </c>
      <c r="B17" s="159"/>
      <c r="C17" s="159"/>
      <c r="D17" s="159"/>
      <c r="E17" s="159"/>
      <c r="F17" s="159"/>
    </row>
    <row r="18" spans="1:6" x14ac:dyDescent="0.25">
      <c r="A18" s="77" t="s">
        <v>315</v>
      </c>
      <c r="B18" s="161">
        <v>45135</v>
      </c>
      <c r="C18" s="159"/>
      <c r="D18" s="159"/>
      <c r="E18" s="159"/>
      <c r="F18" s="159"/>
    </row>
    <row r="19" spans="1:6" x14ac:dyDescent="0.25">
      <c r="A19" s="77" t="s">
        <v>316</v>
      </c>
      <c r="B19" s="161">
        <v>45135</v>
      </c>
      <c r="C19" s="159"/>
      <c r="D19" s="159"/>
      <c r="E19" s="159"/>
      <c r="F19" s="159"/>
    </row>
    <row r="20" spans="1:6" x14ac:dyDescent="0.25">
      <c r="A20" s="77" t="s">
        <v>317</v>
      </c>
      <c r="B20" s="159" t="s">
        <v>327</v>
      </c>
      <c r="C20" s="159"/>
      <c r="D20" s="159"/>
      <c r="E20" s="159"/>
      <c r="F20" s="159"/>
    </row>
    <row r="21" spans="1:6" x14ac:dyDescent="0.25">
      <c r="A21" s="77" t="s">
        <v>318</v>
      </c>
      <c r="B21" s="159" t="s">
        <v>328</v>
      </c>
      <c r="C21" s="159"/>
      <c r="D21" s="159"/>
      <c r="E21" s="159"/>
      <c r="F21" s="159"/>
    </row>
    <row r="23" spans="1:6" x14ac:dyDescent="0.25">
      <c r="B23" s="91" t="str">
        <f>HYPERLINK("#'Factor List'!A1","Back to Factor List")</f>
        <v>Back to Factor List</v>
      </c>
    </row>
    <row r="24" spans="1:6" x14ac:dyDescent="0.25">
      <c r="B24" s="91" t="s">
        <v>240</v>
      </c>
    </row>
    <row r="25" spans="1:6" x14ac:dyDescent="0.25">
      <c r="B25" s="91"/>
    </row>
    <row r="26" spans="1:6" ht="13" x14ac:dyDescent="0.25">
      <c r="A26" s="87" t="s">
        <v>667</v>
      </c>
      <c r="B26" s="87">
        <v>55</v>
      </c>
      <c r="C26" s="87">
        <v>56</v>
      </c>
      <c r="D26" s="87">
        <v>57</v>
      </c>
      <c r="E26" s="87">
        <v>58</v>
      </c>
      <c r="F26" s="87">
        <v>59</v>
      </c>
    </row>
    <row r="27" spans="1:6" x14ac:dyDescent="0.25">
      <c r="A27" s="88">
        <v>0</v>
      </c>
      <c r="B27" s="90">
        <v>0.8</v>
      </c>
      <c r="C27" s="90">
        <v>0.83399999999999996</v>
      </c>
      <c r="D27" s="90">
        <v>0.871</v>
      </c>
      <c r="E27" s="90">
        <v>0.91100000000000003</v>
      </c>
      <c r="F27" s="90">
        <v>0.95399999999999996</v>
      </c>
    </row>
    <row r="28" spans="1:6" x14ac:dyDescent="0.25">
      <c r="A28" s="88">
        <v>1</v>
      </c>
      <c r="B28" s="90">
        <v>0.80200000000000005</v>
      </c>
      <c r="C28" s="90">
        <v>0.83699999999999997</v>
      </c>
      <c r="D28" s="90">
        <v>0.874</v>
      </c>
      <c r="E28" s="90">
        <v>0.91400000000000003</v>
      </c>
      <c r="F28" s="90">
        <v>0.95799999999999996</v>
      </c>
    </row>
    <row r="29" spans="1:6" x14ac:dyDescent="0.25">
      <c r="A29" s="88">
        <v>2</v>
      </c>
      <c r="B29" s="90">
        <v>0.80500000000000005</v>
      </c>
      <c r="C29" s="90">
        <v>0.84</v>
      </c>
      <c r="D29" s="90">
        <v>0.878</v>
      </c>
      <c r="E29" s="90">
        <v>0.91800000000000004</v>
      </c>
      <c r="F29" s="90">
        <v>0.96099999999999997</v>
      </c>
    </row>
    <row r="30" spans="1:6" x14ac:dyDescent="0.25">
      <c r="A30" s="88">
        <v>3</v>
      </c>
      <c r="B30" s="90">
        <v>0.80800000000000005</v>
      </c>
      <c r="C30" s="90">
        <v>0.84299999999999997</v>
      </c>
      <c r="D30" s="90">
        <v>0.88100000000000001</v>
      </c>
      <c r="E30" s="90">
        <v>0.92200000000000004</v>
      </c>
      <c r="F30" s="90">
        <v>0.96499999999999997</v>
      </c>
    </row>
    <row r="31" spans="1:6" x14ac:dyDescent="0.25">
      <c r="A31" s="88">
        <v>4</v>
      </c>
      <c r="B31" s="90">
        <v>0.81100000000000005</v>
      </c>
      <c r="C31" s="90">
        <v>0.84599999999999997</v>
      </c>
      <c r="D31" s="90">
        <v>0.88400000000000001</v>
      </c>
      <c r="E31" s="90">
        <v>0.92500000000000004</v>
      </c>
      <c r="F31" s="90">
        <v>0.96899999999999997</v>
      </c>
    </row>
    <row r="32" spans="1:6" x14ac:dyDescent="0.25">
      <c r="A32" s="88">
        <v>5</v>
      </c>
      <c r="B32" s="90">
        <v>0.81399999999999995</v>
      </c>
      <c r="C32" s="90">
        <v>0.84899999999999998</v>
      </c>
      <c r="D32" s="90">
        <v>0.88800000000000001</v>
      </c>
      <c r="E32" s="90">
        <v>0.92900000000000005</v>
      </c>
      <c r="F32" s="90">
        <v>0.97299999999999998</v>
      </c>
    </row>
    <row r="33" spans="1:6" x14ac:dyDescent="0.25">
      <c r="A33" s="88">
        <v>6</v>
      </c>
      <c r="B33" s="90">
        <v>0.81699999999999995</v>
      </c>
      <c r="C33" s="90">
        <v>0.85299999999999998</v>
      </c>
      <c r="D33" s="90">
        <v>0.89100000000000001</v>
      </c>
      <c r="E33" s="90">
        <v>0.93200000000000005</v>
      </c>
      <c r="F33" s="90">
        <v>0.97699999999999998</v>
      </c>
    </row>
    <row r="34" spans="1:6" x14ac:dyDescent="0.25">
      <c r="A34" s="88">
        <v>7</v>
      </c>
      <c r="B34" s="90">
        <v>0.82</v>
      </c>
      <c r="C34" s="90">
        <v>0.85599999999999998</v>
      </c>
      <c r="D34" s="90">
        <v>0.89400000000000002</v>
      </c>
      <c r="E34" s="90">
        <v>0.93600000000000005</v>
      </c>
      <c r="F34" s="90">
        <v>0.98099999999999998</v>
      </c>
    </row>
    <row r="35" spans="1:6" x14ac:dyDescent="0.25">
      <c r="A35" s="88">
        <v>8</v>
      </c>
      <c r="B35" s="90">
        <v>0.82299999999999995</v>
      </c>
      <c r="C35" s="90">
        <v>0.85899999999999999</v>
      </c>
      <c r="D35" s="90">
        <v>0.89800000000000002</v>
      </c>
      <c r="E35" s="90">
        <v>0.93899999999999995</v>
      </c>
      <c r="F35" s="90">
        <v>0.98499999999999999</v>
      </c>
    </row>
    <row r="36" spans="1:6" x14ac:dyDescent="0.25">
      <c r="A36" s="88">
        <v>9</v>
      </c>
      <c r="B36" s="90">
        <v>0.82499999999999996</v>
      </c>
      <c r="C36" s="90">
        <v>0.86199999999999999</v>
      </c>
      <c r="D36" s="90">
        <v>0.90100000000000002</v>
      </c>
      <c r="E36" s="90">
        <v>0.94299999999999995</v>
      </c>
      <c r="F36" s="90">
        <v>0.98799999999999999</v>
      </c>
    </row>
    <row r="37" spans="1:6" x14ac:dyDescent="0.25">
      <c r="A37" s="88">
        <v>10</v>
      </c>
      <c r="B37" s="90">
        <v>0.82799999999999996</v>
      </c>
      <c r="C37" s="90">
        <v>0.86499999999999999</v>
      </c>
      <c r="D37" s="90">
        <v>0.90400000000000003</v>
      </c>
      <c r="E37" s="90">
        <v>0.94699999999999995</v>
      </c>
      <c r="F37" s="90">
        <v>0.99199999999999999</v>
      </c>
    </row>
    <row r="38" spans="1:6" x14ac:dyDescent="0.25">
      <c r="A38" s="88">
        <v>11</v>
      </c>
      <c r="B38" s="90">
        <v>0.83099999999999996</v>
      </c>
      <c r="C38" s="90">
        <v>0.86799999999999999</v>
      </c>
      <c r="D38" s="90">
        <v>0.90800000000000003</v>
      </c>
      <c r="E38" s="90">
        <v>0.95</v>
      </c>
      <c r="F38" s="90">
        <v>0.996</v>
      </c>
    </row>
    <row r="44" spans="1:6" ht="39.65" customHeight="1" x14ac:dyDescent="0.25"/>
    <row r="46" spans="1:6" ht="27.65" customHeight="1" x14ac:dyDescent="0.25"/>
  </sheetData>
  <sheetProtection algorithmName="SHA-512" hashValue="hqH9fqJKlz60jD0E0IbSFSsLlp4TCjwtCpj0LTWSoOX45Km62qiPo5PM6RxFJl26LAVgPxcp+XjFWzkrsf3VZw==" saltValue="Z0xE4B2IummQvhdTFWll1Q==" spinCount="100000" sheet="1" objects="1" scenarios="1"/>
  <conditionalFormatting sqref="A6:A16">
    <cfRule type="expression" dxfId="285" priority="29" stopIfTrue="1">
      <formula>MOD(ROW(),2)=0</formula>
    </cfRule>
    <cfRule type="expression" dxfId="284" priority="30" stopIfTrue="1">
      <formula>MOD(ROW(),2)&lt;&gt;0</formula>
    </cfRule>
  </conditionalFormatting>
  <conditionalFormatting sqref="B6:F21">
    <cfRule type="expression" dxfId="283" priority="31" stopIfTrue="1">
      <formula>MOD(ROW(),2)=0</formula>
    </cfRule>
    <cfRule type="expression" dxfId="282" priority="32" stopIfTrue="1">
      <formula>MOD(ROW(),2)&lt;&gt;0</formula>
    </cfRule>
  </conditionalFormatting>
  <conditionalFormatting sqref="A17:A20">
    <cfRule type="expression" dxfId="281" priority="21" stopIfTrue="1">
      <formula>MOD(ROW(),2)=0</formula>
    </cfRule>
    <cfRule type="expression" dxfId="280" priority="22" stopIfTrue="1">
      <formula>MOD(ROW(),2)&lt;&gt;0</formula>
    </cfRule>
  </conditionalFormatting>
  <conditionalFormatting sqref="B17:B18 B20:B21">
    <cfRule type="expression" dxfId="279" priority="23" stopIfTrue="1">
      <formula>MOD(ROW(),2)=0</formula>
    </cfRule>
    <cfRule type="expression" dxfId="278" priority="24" stopIfTrue="1">
      <formula>MOD(ROW(),2)&lt;&gt;0</formula>
    </cfRule>
  </conditionalFormatting>
  <conditionalFormatting sqref="A26:A38">
    <cfRule type="expression" dxfId="277" priority="15" stopIfTrue="1">
      <formula>MOD(ROW(),2)=0</formula>
    </cfRule>
    <cfRule type="expression" dxfId="276" priority="16" stopIfTrue="1">
      <formula>MOD(ROW(),2)&lt;&gt;0</formula>
    </cfRule>
  </conditionalFormatting>
  <conditionalFormatting sqref="B26:F38">
    <cfRule type="expression" dxfId="275" priority="17" stopIfTrue="1">
      <formula>MOD(ROW(),2)=0</formula>
    </cfRule>
    <cfRule type="expression" dxfId="274" priority="18" stopIfTrue="1">
      <formula>MOD(ROW(),2)&lt;&gt;0</formula>
    </cfRule>
  </conditionalFormatting>
  <conditionalFormatting sqref="B19">
    <cfRule type="expression" dxfId="273" priority="13" stopIfTrue="1">
      <formula>MOD(ROW(),2)=0</formula>
    </cfRule>
    <cfRule type="expression" dxfId="272" priority="14" stopIfTrue="1">
      <formula>MOD(ROW(),2)&lt;&gt;0</formula>
    </cfRule>
  </conditionalFormatting>
  <conditionalFormatting sqref="A21">
    <cfRule type="expression" dxfId="271" priority="1" stopIfTrue="1">
      <formula>MOD(ROW(),2)=0</formula>
    </cfRule>
    <cfRule type="expression" dxfId="270" priority="2" stopIfTrue="1">
      <formula>MOD(ROW(),2)&lt;&gt;0</formula>
    </cfRule>
  </conditionalFormatting>
  <hyperlinks>
    <hyperlink ref="B24" location="Assumptions!A1" display="Assumptions" xr:uid="{94D0D065-729D-4D44-A3D4-A5A721CD29DC}"/>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5698F2-BB07-4FF6-8DF7-C2E558212E32}">
  <sheetPr codeName="Sheet6">
    <tabColor rgb="FF00B0F0"/>
  </sheetPr>
  <dimension ref="A1:I55"/>
  <sheetViews>
    <sheetView showGridLines="0" zoomScale="70" zoomScaleNormal="70" workbookViewId="0">
      <selection activeCell="F38" sqref="F38"/>
    </sheetView>
  </sheetViews>
  <sheetFormatPr defaultColWidth="8.81640625" defaultRowHeight="12.5" x14ac:dyDescent="0.25"/>
  <cols>
    <col min="1" max="1" width="55.81640625" style="28" customWidth="1"/>
    <col min="2" max="2" width="61.1796875" style="28" customWidth="1"/>
    <col min="3" max="16384" width="8.81640625" style="28"/>
  </cols>
  <sheetData>
    <row r="1" spans="1:9" ht="20" x14ac:dyDescent="0.4">
      <c r="A1" s="40" t="s">
        <v>227</v>
      </c>
      <c r="B1" s="41"/>
      <c r="C1" s="41"/>
      <c r="D1" s="41"/>
      <c r="E1" s="41"/>
      <c r="F1" s="41"/>
      <c r="G1" s="41"/>
      <c r="H1" s="41"/>
      <c r="I1" s="41"/>
    </row>
    <row r="2" spans="1:9" ht="15.5" x14ac:dyDescent="0.35">
      <c r="A2" s="11" t="str">
        <f>IF(title_new="&gt; Enter workbook title here","Enter workbook title in Cover sheet",title_new)</f>
        <v>Fire Northern Ireland - Consolidated Factor Spreadsheet</v>
      </c>
      <c r="B2" s="43"/>
      <c r="C2" s="43"/>
      <c r="D2" s="43"/>
      <c r="E2" s="43"/>
      <c r="F2" s="43"/>
      <c r="G2" s="43"/>
      <c r="H2" s="43"/>
      <c r="I2" s="43"/>
    </row>
    <row r="3" spans="1:9" ht="15.5" x14ac:dyDescent="0.35">
      <c r="A3" s="44" t="s">
        <v>240</v>
      </c>
      <c r="B3" s="43"/>
      <c r="C3" s="43"/>
      <c r="D3" s="43"/>
      <c r="E3" s="43"/>
      <c r="F3" s="43"/>
      <c r="G3" s="43"/>
      <c r="H3" s="43"/>
      <c r="I3" s="43"/>
    </row>
    <row r="4" spans="1:9" x14ac:dyDescent="0.25">
      <c r="A4" s="45"/>
    </row>
    <row r="5" spans="1:9" x14ac:dyDescent="0.25">
      <c r="A5" s="132"/>
      <c r="B5" s="132"/>
    </row>
    <row r="6" spans="1:9" x14ac:dyDescent="0.25">
      <c r="A6" s="133"/>
      <c r="B6" s="132"/>
    </row>
    <row r="8" spans="1:9" ht="15.5" x14ac:dyDescent="0.35">
      <c r="A8" s="134" t="s">
        <v>581</v>
      </c>
      <c r="B8" s="135" t="s">
        <v>328</v>
      </c>
    </row>
    <row r="9" spans="1:9" ht="15.5" x14ac:dyDescent="0.35">
      <c r="A9" s="136"/>
      <c r="B9" s="137"/>
    </row>
    <row r="10" spans="1:9" ht="15.5" x14ac:dyDescent="0.35">
      <c r="A10" s="135" t="s">
        <v>582</v>
      </c>
      <c r="B10" s="138"/>
    </row>
    <row r="11" spans="1:9" ht="15.5" x14ac:dyDescent="0.35">
      <c r="A11" s="139" t="s">
        <v>583</v>
      </c>
      <c r="B11" s="149">
        <v>3.7339999999999998E-2</v>
      </c>
    </row>
    <row r="12" spans="1:9" ht="15.5" x14ac:dyDescent="0.35">
      <c r="A12" s="138" t="s">
        <v>584</v>
      </c>
      <c r="B12" s="141">
        <v>0.02</v>
      </c>
    </row>
    <row r="13" spans="1:9" ht="15.5" x14ac:dyDescent="0.35">
      <c r="A13" s="142" t="s">
        <v>585</v>
      </c>
      <c r="B13" s="140" t="s">
        <v>480</v>
      </c>
    </row>
    <row r="14" spans="1:9" ht="15.5" x14ac:dyDescent="0.35">
      <c r="A14" s="138" t="s">
        <v>586</v>
      </c>
      <c r="B14" s="141" t="s">
        <v>480</v>
      </c>
    </row>
    <row r="15" spans="1:9" ht="15.5" x14ac:dyDescent="0.35">
      <c r="A15" s="139" t="s">
        <v>587</v>
      </c>
      <c r="B15" s="140">
        <v>1.4E-2</v>
      </c>
    </row>
    <row r="16" spans="1:9" ht="15.5" x14ac:dyDescent="0.35">
      <c r="A16" s="138" t="s">
        <v>588</v>
      </c>
      <c r="B16" s="141">
        <v>3.7999999999999999E-2</v>
      </c>
    </row>
    <row r="17" spans="1:2" ht="15.5" x14ac:dyDescent="0.35">
      <c r="A17" s="139" t="s">
        <v>589</v>
      </c>
      <c r="B17" s="140">
        <v>3.7999999999999999E-2</v>
      </c>
    </row>
    <row r="18" spans="1:2" ht="15.5" x14ac:dyDescent="0.35">
      <c r="A18" s="138" t="s">
        <v>590</v>
      </c>
      <c r="B18" s="141">
        <v>1.7000000000000001E-2</v>
      </c>
    </row>
    <row r="19" spans="1:2" ht="15.5" x14ac:dyDescent="0.35">
      <c r="A19" s="139" t="s">
        <v>591</v>
      </c>
      <c r="B19" s="149">
        <v>2.3019999999999999E-2</v>
      </c>
    </row>
    <row r="20" spans="1:2" ht="15.5" x14ac:dyDescent="0.35">
      <c r="A20" s="138" t="s">
        <v>592</v>
      </c>
      <c r="B20" s="138" t="s">
        <v>593</v>
      </c>
    </row>
    <row r="21" spans="1:2" ht="15.5" x14ac:dyDescent="0.35">
      <c r="A21" s="139" t="s">
        <v>594</v>
      </c>
      <c r="B21" s="143" t="s">
        <v>595</v>
      </c>
    </row>
    <row r="22" spans="1:2" ht="15.5" x14ac:dyDescent="0.35">
      <c r="A22" s="138"/>
      <c r="B22" s="144"/>
    </row>
    <row r="23" spans="1:2" ht="15.5" x14ac:dyDescent="0.35">
      <c r="A23" s="137" t="s">
        <v>596</v>
      </c>
      <c r="B23" s="139"/>
    </row>
    <row r="24" spans="1:2" ht="15.5" x14ac:dyDescent="0.35">
      <c r="A24" s="138" t="s">
        <v>597</v>
      </c>
      <c r="B24" s="138" t="s">
        <v>598</v>
      </c>
    </row>
    <row r="25" spans="1:2" ht="15.5" x14ac:dyDescent="0.35">
      <c r="A25" s="139" t="s">
        <v>599</v>
      </c>
      <c r="B25" s="139" t="s">
        <v>600</v>
      </c>
    </row>
    <row r="26" spans="1:2" ht="15.5" x14ac:dyDescent="0.35">
      <c r="A26" s="138" t="s">
        <v>601</v>
      </c>
      <c r="B26" s="138" t="s">
        <v>598</v>
      </c>
    </row>
    <row r="27" spans="1:2" ht="15.5" x14ac:dyDescent="0.35">
      <c r="A27" s="139" t="s">
        <v>602</v>
      </c>
      <c r="B27" s="139" t="s">
        <v>600</v>
      </c>
    </row>
    <row r="28" spans="1:2" ht="15.5" x14ac:dyDescent="0.35">
      <c r="A28" s="138" t="s">
        <v>603</v>
      </c>
      <c r="B28" s="138" t="s">
        <v>598</v>
      </c>
    </row>
    <row r="29" spans="1:2" ht="15.5" x14ac:dyDescent="0.35">
      <c r="A29" s="139" t="s">
        <v>604</v>
      </c>
      <c r="B29" s="139" t="s">
        <v>605</v>
      </c>
    </row>
    <row r="30" spans="1:2" ht="15.5" x14ac:dyDescent="0.35">
      <c r="A30" s="138" t="s">
        <v>606</v>
      </c>
      <c r="B30" s="138" t="s">
        <v>607</v>
      </c>
    </row>
    <row r="31" spans="1:2" ht="15.5" x14ac:dyDescent="0.35">
      <c r="A31" s="139" t="s">
        <v>608</v>
      </c>
      <c r="B31" s="139">
        <v>2024</v>
      </c>
    </row>
    <row r="32" spans="1:2" ht="15.5" x14ac:dyDescent="0.35">
      <c r="A32" s="138" t="s">
        <v>609</v>
      </c>
      <c r="B32" s="138" t="s">
        <v>480</v>
      </c>
    </row>
    <row r="33" spans="1:8" ht="15.5" x14ac:dyDescent="0.35">
      <c r="A33" s="139"/>
      <c r="B33" s="139"/>
    </row>
    <row r="34" spans="1:8" ht="15.5" x14ac:dyDescent="0.35">
      <c r="A34" s="135" t="s">
        <v>610</v>
      </c>
      <c r="B34" s="138"/>
    </row>
    <row r="35" spans="1:8" ht="15.5" x14ac:dyDescent="0.35">
      <c r="A35" s="139" t="s">
        <v>611</v>
      </c>
      <c r="B35" s="145">
        <v>0.95</v>
      </c>
      <c r="H35" s="147"/>
    </row>
    <row r="36" spans="1:8" ht="15.5" x14ac:dyDescent="0.35">
      <c r="A36" s="138" t="s">
        <v>612</v>
      </c>
      <c r="B36" s="146">
        <v>0.05</v>
      </c>
      <c r="H36" s="148"/>
    </row>
    <row r="37" spans="1:8" ht="31" x14ac:dyDescent="0.35">
      <c r="A37" s="139" t="s">
        <v>613</v>
      </c>
      <c r="B37" s="139" t="s">
        <v>614</v>
      </c>
    </row>
    <row r="38" spans="1:8" ht="31" x14ac:dyDescent="0.35">
      <c r="A38" s="138" t="s">
        <v>615</v>
      </c>
      <c r="B38" s="138" t="s">
        <v>616</v>
      </c>
    </row>
    <row r="39" spans="1:8" ht="77.5" x14ac:dyDescent="0.35">
      <c r="A39" s="143" t="s">
        <v>617</v>
      </c>
      <c r="B39" s="143" t="s">
        <v>618</v>
      </c>
    </row>
    <row r="40" spans="1:8" ht="15.5" x14ac:dyDescent="0.35">
      <c r="A40" s="144" t="s">
        <v>619</v>
      </c>
      <c r="B40" s="144" t="s">
        <v>593</v>
      </c>
    </row>
    <row r="41" spans="1:8" ht="15.5" x14ac:dyDescent="0.35">
      <c r="A41" s="143" t="s">
        <v>620</v>
      </c>
      <c r="B41" s="143" t="s">
        <v>593</v>
      </c>
    </row>
    <row r="42" spans="1:8" ht="15.5" x14ac:dyDescent="0.35">
      <c r="A42" s="144" t="s">
        <v>621</v>
      </c>
      <c r="B42" s="144" t="s">
        <v>593</v>
      </c>
    </row>
    <row r="43" spans="1:8" ht="15.5" x14ac:dyDescent="0.35">
      <c r="A43" s="143" t="s">
        <v>622</v>
      </c>
      <c r="B43" s="143" t="s">
        <v>623</v>
      </c>
    </row>
    <row r="44" spans="1:8" ht="15.5" x14ac:dyDescent="0.35">
      <c r="A44" s="144" t="s">
        <v>624</v>
      </c>
      <c r="B44" s="144" t="s">
        <v>625</v>
      </c>
    </row>
    <row r="45" spans="1:8" ht="15.5" x14ac:dyDescent="0.35">
      <c r="A45" s="143" t="s">
        <v>626</v>
      </c>
      <c r="B45" s="143" t="s">
        <v>593</v>
      </c>
    </row>
    <row r="46" spans="1:8" ht="15.5" x14ac:dyDescent="0.35">
      <c r="A46" s="144" t="s">
        <v>627</v>
      </c>
      <c r="B46" s="144" t="s">
        <v>625</v>
      </c>
    </row>
    <row r="47" spans="1:8" ht="15.5" x14ac:dyDescent="0.35">
      <c r="A47" s="143" t="s">
        <v>628</v>
      </c>
      <c r="B47" s="143" t="s">
        <v>593</v>
      </c>
    </row>
    <row r="48" spans="1:8" ht="62" x14ac:dyDescent="0.35">
      <c r="A48" s="144" t="s">
        <v>629</v>
      </c>
      <c r="B48" s="144" t="s">
        <v>630</v>
      </c>
    </row>
    <row r="49" spans="1:2" ht="15.5" x14ac:dyDescent="0.35">
      <c r="A49" s="143" t="s">
        <v>631</v>
      </c>
      <c r="B49" s="143" t="s">
        <v>632</v>
      </c>
    </row>
    <row r="50" spans="1:2" ht="93" x14ac:dyDescent="0.35">
      <c r="A50" s="138" t="s">
        <v>633</v>
      </c>
      <c r="B50" s="138" t="s">
        <v>634</v>
      </c>
    </row>
    <row r="51" spans="1:2" ht="15.5" x14ac:dyDescent="0.35">
      <c r="A51" s="139"/>
      <c r="B51" s="139"/>
    </row>
    <row r="52" spans="1:2" ht="15.5" x14ac:dyDescent="0.35">
      <c r="A52" s="135" t="s">
        <v>635</v>
      </c>
      <c r="B52" s="138"/>
    </row>
    <row r="53" spans="1:2" ht="31" x14ac:dyDescent="0.35">
      <c r="A53" s="139" t="s">
        <v>636</v>
      </c>
      <c r="B53" s="139" t="s">
        <v>637</v>
      </c>
    </row>
    <row r="54" spans="1:2" ht="31" x14ac:dyDescent="0.35">
      <c r="A54" s="139" t="s">
        <v>638</v>
      </c>
      <c r="B54" s="139" t="s">
        <v>639</v>
      </c>
    </row>
    <row r="55" spans="1:2" ht="31" x14ac:dyDescent="0.35">
      <c r="A55" s="139" t="s">
        <v>640</v>
      </c>
      <c r="B55" s="139" t="s">
        <v>641</v>
      </c>
    </row>
  </sheetData>
  <sheetProtection algorithmName="SHA-512" hashValue="TBBgNGgcyZGn9DeNUIB9PKvaNOezw0CUlNMYo5Tg8GSCrCPh+tpl7Fs3aaJLZqUBigVtgNiCD32li4K5V3Cn7A==" saltValue="SWb3eM8nKTOSS8NIO813nA==" spinCount="100000" sheet="1" objects="1" scenarios="1"/>
  <pageMargins left="0.7" right="0.7" top="0.75" bottom="0.75" header="0.3" footer="0.3"/>
  <pageSetup paperSize="9" orientation="portrait" r:id="rId1"/>
  <headerFooter>
    <oddHeader>&amp;L&amp;Z&amp;F  [&amp;A]</oddHeader>
    <oddFooter>&amp;LPage &amp;P of &amp;N&amp;R&amp;T &amp;D</oddFooter>
  </headerFooter>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sheetPr codeName="Sheet97"/>
  <dimension ref="A1:K46"/>
  <sheetViews>
    <sheetView showGridLines="0" zoomScale="85" zoomScaleNormal="85" workbookViewId="0">
      <selection activeCell="B18" sqref="B18"/>
    </sheetView>
  </sheetViews>
  <sheetFormatPr defaultColWidth="10" defaultRowHeight="12.5" x14ac:dyDescent="0.25"/>
  <cols>
    <col min="1" max="1" width="31.81640625" style="28" customWidth="1"/>
    <col min="2" max="11" width="22.81640625" style="28" customWidth="1"/>
    <col min="12" max="16384" width="10" style="28"/>
  </cols>
  <sheetData>
    <row r="1" spans="1:11" ht="20" x14ac:dyDescent="0.4">
      <c r="A1" s="40" t="s">
        <v>227</v>
      </c>
      <c r="B1" s="41"/>
      <c r="C1" s="41"/>
      <c r="D1" s="41"/>
      <c r="E1" s="41"/>
      <c r="F1" s="41"/>
      <c r="G1" s="41"/>
      <c r="H1" s="41"/>
      <c r="I1" s="41"/>
    </row>
    <row r="2" spans="1:11" ht="15.5" x14ac:dyDescent="0.35">
      <c r="A2" s="42" t="str">
        <f>IF(title="&gt; Enter workbook title here","Enter workbook title in Cover sheet",title)</f>
        <v>Fire Northern Ireland - Consolidated Factor Spreadsheet</v>
      </c>
      <c r="B2" s="43"/>
      <c r="C2" s="43"/>
      <c r="D2" s="43"/>
      <c r="E2" s="43"/>
      <c r="F2" s="43"/>
      <c r="G2" s="43"/>
      <c r="H2" s="43"/>
      <c r="I2" s="43"/>
    </row>
    <row r="3" spans="1:11" ht="15.5" x14ac:dyDescent="0.35">
      <c r="A3" s="44" t="str">
        <f>TABLE_FACTOR_TYPE_1&amp;" - x-"&amp;TABLE_SERIES_NUMBER_1</f>
        <v>Scheme pays AA - x-617</v>
      </c>
      <c r="B3" s="43"/>
      <c r="C3" s="43"/>
      <c r="D3" s="43"/>
      <c r="E3" s="43"/>
      <c r="F3" s="43"/>
      <c r="G3" s="43"/>
      <c r="H3" s="43"/>
      <c r="I3" s="43"/>
    </row>
    <row r="4" spans="1:11" x14ac:dyDescent="0.25">
      <c r="A4" s="45"/>
    </row>
    <row r="6" spans="1:11" ht="13" x14ac:dyDescent="0.3">
      <c r="A6" s="75" t="s">
        <v>562</v>
      </c>
      <c r="B6" s="159" t="s">
        <v>563</v>
      </c>
      <c r="C6" s="159"/>
      <c r="D6" s="159"/>
      <c r="E6" s="159"/>
      <c r="F6" s="159"/>
      <c r="G6" s="159"/>
      <c r="H6" s="159"/>
      <c r="I6" s="159"/>
      <c r="J6" s="159"/>
      <c r="K6" s="159"/>
    </row>
    <row r="7" spans="1:11" x14ac:dyDescent="0.25">
      <c r="A7" s="77" t="s">
        <v>305</v>
      </c>
      <c r="B7" s="159" t="s">
        <v>319</v>
      </c>
      <c r="C7" s="159"/>
      <c r="D7" s="159"/>
      <c r="E7" s="159"/>
      <c r="F7" s="159"/>
      <c r="G7" s="159"/>
      <c r="H7" s="159"/>
      <c r="I7" s="159"/>
      <c r="J7" s="159"/>
      <c r="K7" s="159"/>
    </row>
    <row r="8" spans="1:11" x14ac:dyDescent="0.25">
      <c r="A8" s="77" t="s">
        <v>306</v>
      </c>
      <c r="B8" s="159" t="s">
        <v>332</v>
      </c>
      <c r="C8" s="159"/>
      <c r="D8" s="159"/>
      <c r="E8" s="159"/>
      <c r="F8" s="159"/>
      <c r="G8" s="159"/>
      <c r="H8" s="159"/>
      <c r="I8" s="159"/>
      <c r="J8" s="159"/>
      <c r="K8" s="159"/>
    </row>
    <row r="9" spans="1:11" x14ac:dyDescent="0.25">
      <c r="A9" s="77" t="s">
        <v>307</v>
      </c>
      <c r="B9" s="159" t="s">
        <v>482</v>
      </c>
      <c r="C9" s="159"/>
      <c r="D9" s="159"/>
      <c r="E9" s="159"/>
      <c r="F9" s="159"/>
      <c r="G9" s="159"/>
      <c r="H9" s="159"/>
      <c r="I9" s="159"/>
      <c r="J9" s="159"/>
      <c r="K9" s="159"/>
    </row>
    <row r="10" spans="1:11" x14ac:dyDescent="0.25">
      <c r="A10" s="77" t="s">
        <v>233</v>
      </c>
      <c r="B10" s="159" t="s">
        <v>516</v>
      </c>
      <c r="C10" s="159"/>
      <c r="D10" s="159"/>
      <c r="E10" s="159"/>
      <c r="F10" s="159"/>
      <c r="G10" s="159"/>
      <c r="H10" s="159"/>
      <c r="I10" s="159"/>
      <c r="J10" s="159"/>
      <c r="K10" s="159"/>
    </row>
    <row r="11" spans="1:11" x14ac:dyDescent="0.25">
      <c r="A11" s="77" t="s">
        <v>308</v>
      </c>
      <c r="B11" s="159" t="s">
        <v>404</v>
      </c>
      <c r="C11" s="159"/>
      <c r="D11" s="159"/>
      <c r="E11" s="159"/>
      <c r="F11" s="159"/>
      <c r="G11" s="159"/>
      <c r="H11" s="159"/>
      <c r="I11" s="159"/>
      <c r="J11" s="159"/>
      <c r="K11" s="159"/>
    </row>
    <row r="12" spans="1:11" x14ac:dyDescent="0.25">
      <c r="A12" s="77" t="s">
        <v>309</v>
      </c>
      <c r="B12" s="159" t="s">
        <v>509</v>
      </c>
      <c r="C12" s="159"/>
      <c r="D12" s="159"/>
      <c r="E12" s="159"/>
      <c r="F12" s="159"/>
      <c r="G12" s="159"/>
      <c r="H12" s="159"/>
      <c r="I12" s="159"/>
      <c r="J12" s="159"/>
      <c r="K12" s="159"/>
    </row>
    <row r="13" spans="1:11" x14ac:dyDescent="0.25">
      <c r="A13" s="77" t="s">
        <v>570</v>
      </c>
      <c r="B13" s="159">
        <v>1</v>
      </c>
      <c r="C13" s="159"/>
      <c r="D13" s="159"/>
      <c r="E13" s="159"/>
      <c r="F13" s="159"/>
      <c r="G13" s="159"/>
      <c r="H13" s="159"/>
      <c r="I13" s="159"/>
      <c r="J13" s="159"/>
      <c r="K13" s="159"/>
    </row>
    <row r="14" spans="1:11" x14ac:dyDescent="0.25">
      <c r="A14" s="77" t="s">
        <v>311</v>
      </c>
      <c r="B14" s="159">
        <v>617</v>
      </c>
      <c r="C14" s="159"/>
      <c r="D14" s="159"/>
      <c r="E14" s="159"/>
      <c r="F14" s="159"/>
      <c r="G14" s="159"/>
      <c r="H14" s="159"/>
      <c r="I14" s="159"/>
      <c r="J14" s="159"/>
      <c r="K14" s="159"/>
    </row>
    <row r="15" spans="1:11" x14ac:dyDescent="0.25">
      <c r="A15" s="77" t="s">
        <v>573</v>
      </c>
      <c r="B15" s="159" t="s">
        <v>517</v>
      </c>
      <c r="C15" s="159"/>
      <c r="D15" s="159"/>
      <c r="E15" s="159"/>
      <c r="F15" s="159"/>
      <c r="G15" s="159"/>
      <c r="H15" s="159"/>
      <c r="I15" s="159"/>
      <c r="J15" s="159"/>
      <c r="K15" s="159"/>
    </row>
    <row r="16" spans="1:11" x14ac:dyDescent="0.25">
      <c r="A16" s="77" t="s">
        <v>313</v>
      </c>
      <c r="B16" s="159" t="s">
        <v>518</v>
      </c>
      <c r="C16" s="159"/>
      <c r="D16" s="159"/>
      <c r="E16" s="159"/>
      <c r="F16" s="159"/>
      <c r="G16" s="159"/>
      <c r="H16" s="159"/>
      <c r="I16" s="159"/>
      <c r="J16" s="159"/>
      <c r="K16" s="159"/>
    </row>
    <row r="17" spans="1:11" x14ac:dyDescent="0.25">
      <c r="A17" s="77" t="s">
        <v>642</v>
      </c>
      <c r="B17" s="159"/>
      <c r="C17" s="159"/>
      <c r="D17" s="159"/>
      <c r="E17" s="159"/>
      <c r="F17" s="159"/>
      <c r="G17" s="159"/>
      <c r="H17" s="159"/>
      <c r="I17" s="159"/>
      <c r="J17" s="159"/>
      <c r="K17" s="159"/>
    </row>
    <row r="18" spans="1:11" x14ac:dyDescent="0.25">
      <c r="A18" s="77" t="s">
        <v>315</v>
      </c>
      <c r="B18" s="161">
        <v>45135</v>
      </c>
      <c r="C18" s="159"/>
      <c r="D18" s="159"/>
      <c r="E18" s="159"/>
      <c r="F18" s="159"/>
      <c r="G18" s="159"/>
      <c r="H18" s="159"/>
      <c r="I18" s="159"/>
      <c r="J18" s="159"/>
      <c r="K18" s="159"/>
    </row>
    <row r="19" spans="1:11" x14ac:dyDescent="0.25">
      <c r="A19" s="77" t="s">
        <v>316</v>
      </c>
      <c r="B19" s="161">
        <v>45135</v>
      </c>
      <c r="C19" s="159"/>
      <c r="D19" s="159"/>
      <c r="E19" s="159"/>
      <c r="F19" s="159"/>
      <c r="G19" s="159"/>
      <c r="H19" s="159"/>
      <c r="I19" s="159"/>
      <c r="J19" s="159"/>
      <c r="K19" s="159"/>
    </row>
    <row r="20" spans="1:11" x14ac:dyDescent="0.25">
      <c r="A20" s="77" t="s">
        <v>317</v>
      </c>
      <c r="B20" s="159" t="s">
        <v>327</v>
      </c>
      <c r="C20" s="159"/>
      <c r="D20" s="159"/>
      <c r="E20" s="159"/>
      <c r="F20" s="159"/>
      <c r="G20" s="159"/>
      <c r="H20" s="159"/>
      <c r="I20" s="159"/>
      <c r="J20" s="159"/>
      <c r="K20" s="159"/>
    </row>
    <row r="21" spans="1:11" x14ac:dyDescent="0.25">
      <c r="A21" s="77" t="s">
        <v>318</v>
      </c>
      <c r="B21" s="159" t="s">
        <v>328</v>
      </c>
      <c r="C21" s="159"/>
      <c r="D21" s="159"/>
      <c r="E21" s="159"/>
      <c r="F21" s="159"/>
      <c r="G21" s="159"/>
      <c r="H21" s="159"/>
      <c r="I21" s="159"/>
      <c r="J21" s="159"/>
      <c r="K21" s="159"/>
    </row>
    <row r="23" spans="1:11" x14ac:dyDescent="0.25">
      <c r="B23" s="91" t="str">
        <f>HYPERLINK("#'Factor List'!A1","Back to Factor List")</f>
        <v>Back to Factor List</v>
      </c>
    </row>
    <row r="24" spans="1:11" x14ac:dyDescent="0.25">
      <c r="B24" s="91" t="s">
        <v>240</v>
      </c>
    </row>
    <row r="25" spans="1:11" x14ac:dyDescent="0.25">
      <c r="B25" s="91"/>
    </row>
    <row r="26" spans="1:11" ht="13" x14ac:dyDescent="0.25">
      <c r="A26" s="87" t="s">
        <v>667</v>
      </c>
      <c r="B26" s="87">
        <v>60</v>
      </c>
      <c r="C26" s="87">
        <v>61</v>
      </c>
      <c r="D26" s="87">
        <v>62</v>
      </c>
      <c r="E26" s="87">
        <v>63</v>
      </c>
      <c r="F26" s="87">
        <v>64</v>
      </c>
      <c r="G26" s="87">
        <v>65</v>
      </c>
      <c r="H26" s="87">
        <v>66</v>
      </c>
      <c r="I26" s="87">
        <v>67</v>
      </c>
      <c r="J26" s="87">
        <v>68</v>
      </c>
      <c r="K26" s="87">
        <v>69</v>
      </c>
    </row>
    <row r="27" spans="1:11" x14ac:dyDescent="0.25">
      <c r="A27" s="88">
        <v>0</v>
      </c>
      <c r="B27" s="90">
        <v>1</v>
      </c>
      <c r="C27" s="90">
        <v>1.05</v>
      </c>
      <c r="D27" s="90">
        <v>1.105</v>
      </c>
      <c r="E27" s="90">
        <v>1.1639999999999999</v>
      </c>
      <c r="F27" s="90">
        <v>1.228</v>
      </c>
      <c r="G27" s="90">
        <v>1.298</v>
      </c>
      <c r="H27" s="90">
        <v>1.3740000000000001</v>
      </c>
      <c r="I27" s="90">
        <v>1.4570000000000001</v>
      </c>
      <c r="J27" s="90">
        <v>1.548</v>
      </c>
      <c r="K27" s="90">
        <v>1.6479999999999999</v>
      </c>
    </row>
    <row r="28" spans="1:11" x14ac:dyDescent="0.25">
      <c r="A28" s="88">
        <v>1</v>
      </c>
      <c r="B28" s="90">
        <v>1.004</v>
      </c>
      <c r="C28" s="90">
        <v>1.0549999999999999</v>
      </c>
      <c r="D28" s="90">
        <v>1.1100000000000001</v>
      </c>
      <c r="E28" s="90">
        <v>1.169</v>
      </c>
      <c r="F28" s="90">
        <v>1.234</v>
      </c>
      <c r="G28" s="90">
        <v>1.304</v>
      </c>
      <c r="H28" s="90">
        <v>1.381</v>
      </c>
      <c r="I28" s="90">
        <v>1.4650000000000001</v>
      </c>
      <c r="J28" s="90">
        <v>1.5569999999999999</v>
      </c>
      <c r="K28" s="90">
        <v>1.6579999999999999</v>
      </c>
    </row>
    <row r="29" spans="1:11" x14ac:dyDescent="0.25">
      <c r="A29" s="88">
        <v>2</v>
      </c>
      <c r="B29" s="90">
        <v>1.008</v>
      </c>
      <c r="C29" s="90">
        <v>1.0589999999999999</v>
      </c>
      <c r="D29" s="90">
        <v>1.115</v>
      </c>
      <c r="E29" s="90">
        <v>1.175</v>
      </c>
      <c r="F29" s="90">
        <v>1.24</v>
      </c>
      <c r="G29" s="90">
        <v>1.3109999999999999</v>
      </c>
      <c r="H29" s="90">
        <v>1.3879999999999999</v>
      </c>
      <c r="I29" s="90">
        <v>1.472</v>
      </c>
      <c r="J29" s="90">
        <v>1.5649999999999999</v>
      </c>
      <c r="K29" s="90">
        <v>1.667</v>
      </c>
    </row>
    <row r="30" spans="1:11" x14ac:dyDescent="0.25">
      <c r="A30" s="88">
        <v>3</v>
      </c>
      <c r="B30" s="90">
        <v>1.0129999999999999</v>
      </c>
      <c r="C30" s="90">
        <v>1.0640000000000001</v>
      </c>
      <c r="D30" s="90">
        <v>1.1200000000000001</v>
      </c>
      <c r="E30" s="90">
        <v>1.18</v>
      </c>
      <c r="F30" s="90">
        <v>1.2450000000000001</v>
      </c>
      <c r="G30" s="90">
        <v>1.3169999999999999</v>
      </c>
      <c r="H30" s="90">
        <v>1.395</v>
      </c>
      <c r="I30" s="90">
        <v>1.48</v>
      </c>
      <c r="J30" s="90">
        <v>1.573</v>
      </c>
      <c r="K30" s="90">
        <v>1.6759999999999999</v>
      </c>
    </row>
    <row r="31" spans="1:11" x14ac:dyDescent="0.25">
      <c r="A31" s="88">
        <v>4</v>
      </c>
      <c r="B31" s="90">
        <v>1.0169999999999999</v>
      </c>
      <c r="C31" s="90">
        <v>1.0680000000000001</v>
      </c>
      <c r="D31" s="90">
        <v>1.1240000000000001</v>
      </c>
      <c r="E31" s="90">
        <v>1.1850000000000001</v>
      </c>
      <c r="F31" s="90">
        <v>1.2509999999999999</v>
      </c>
      <c r="G31" s="90">
        <v>1.323</v>
      </c>
      <c r="H31" s="90">
        <v>1.4019999999999999</v>
      </c>
      <c r="I31" s="90">
        <v>1.4870000000000001</v>
      </c>
      <c r="J31" s="90">
        <v>1.5820000000000001</v>
      </c>
      <c r="K31" s="90">
        <v>1.6850000000000001</v>
      </c>
    </row>
    <row r="32" spans="1:11" x14ac:dyDescent="0.25">
      <c r="A32" s="88">
        <v>5</v>
      </c>
      <c r="B32" s="90">
        <v>1.0209999999999999</v>
      </c>
      <c r="C32" s="90">
        <v>1.073</v>
      </c>
      <c r="D32" s="90">
        <v>1.129</v>
      </c>
      <c r="E32" s="90">
        <v>1.1910000000000001</v>
      </c>
      <c r="F32" s="90">
        <v>1.2569999999999999</v>
      </c>
      <c r="G32" s="90">
        <v>1.33</v>
      </c>
      <c r="H32" s="90">
        <v>1.409</v>
      </c>
      <c r="I32" s="90">
        <v>1.4950000000000001</v>
      </c>
      <c r="J32" s="90">
        <v>1.59</v>
      </c>
      <c r="K32" s="90">
        <v>1.694</v>
      </c>
    </row>
    <row r="33" spans="1:11" x14ac:dyDescent="0.25">
      <c r="A33" s="88">
        <v>6</v>
      </c>
      <c r="B33" s="90">
        <v>1.0249999999999999</v>
      </c>
      <c r="C33" s="90">
        <v>1.0780000000000001</v>
      </c>
      <c r="D33" s="90">
        <v>1.1339999999999999</v>
      </c>
      <c r="E33" s="90">
        <v>1.196</v>
      </c>
      <c r="F33" s="90">
        <v>1.2629999999999999</v>
      </c>
      <c r="G33" s="90">
        <v>1.3360000000000001</v>
      </c>
      <c r="H33" s="90">
        <v>1.4159999999999999</v>
      </c>
      <c r="I33" s="90">
        <v>1.5029999999999999</v>
      </c>
      <c r="J33" s="90">
        <v>1.5980000000000001</v>
      </c>
      <c r="K33" s="90">
        <v>1.7030000000000001</v>
      </c>
    </row>
    <row r="34" spans="1:11" x14ac:dyDescent="0.25">
      <c r="A34" s="88">
        <v>7</v>
      </c>
      <c r="B34" s="90">
        <v>1.0289999999999999</v>
      </c>
      <c r="C34" s="90">
        <v>1.0820000000000001</v>
      </c>
      <c r="D34" s="90">
        <v>1.139</v>
      </c>
      <c r="E34" s="90">
        <v>1.2010000000000001</v>
      </c>
      <c r="F34" s="90">
        <v>1.2689999999999999</v>
      </c>
      <c r="G34" s="90">
        <v>1.3420000000000001</v>
      </c>
      <c r="H34" s="90">
        <v>1.4219999999999999</v>
      </c>
      <c r="I34" s="90">
        <v>1.51</v>
      </c>
      <c r="J34" s="90">
        <v>1.607</v>
      </c>
      <c r="K34" s="90">
        <v>1.7130000000000001</v>
      </c>
    </row>
    <row r="35" spans="1:11" x14ac:dyDescent="0.25">
      <c r="A35" s="88">
        <v>8</v>
      </c>
      <c r="B35" s="90">
        <v>1.034</v>
      </c>
      <c r="C35" s="90">
        <v>1.087</v>
      </c>
      <c r="D35" s="90">
        <v>1.1439999999999999</v>
      </c>
      <c r="E35" s="90">
        <v>1.2070000000000001</v>
      </c>
      <c r="F35" s="90">
        <v>1.2749999999999999</v>
      </c>
      <c r="G35" s="90">
        <v>1.349</v>
      </c>
      <c r="H35" s="90">
        <v>1.429</v>
      </c>
      <c r="I35" s="90">
        <v>1.518</v>
      </c>
      <c r="J35" s="90">
        <v>1.615</v>
      </c>
      <c r="K35" s="90">
        <v>1.722</v>
      </c>
    </row>
    <row r="36" spans="1:11" x14ac:dyDescent="0.25">
      <c r="A36" s="88">
        <v>9</v>
      </c>
      <c r="B36" s="90">
        <v>1.038</v>
      </c>
      <c r="C36" s="90">
        <v>1.091</v>
      </c>
      <c r="D36" s="90">
        <v>1.149</v>
      </c>
      <c r="E36" s="90">
        <v>1.212</v>
      </c>
      <c r="F36" s="90">
        <v>1.28</v>
      </c>
      <c r="G36" s="90">
        <v>1.355</v>
      </c>
      <c r="H36" s="90">
        <v>1.4359999999999999</v>
      </c>
      <c r="I36" s="90">
        <v>1.5249999999999999</v>
      </c>
      <c r="J36" s="90">
        <v>1.623</v>
      </c>
      <c r="K36" s="90">
        <v>1.7310000000000001</v>
      </c>
    </row>
    <row r="37" spans="1:11" x14ac:dyDescent="0.25">
      <c r="A37" s="88">
        <v>10</v>
      </c>
      <c r="B37" s="90">
        <v>1.042</v>
      </c>
      <c r="C37" s="90">
        <v>1.0960000000000001</v>
      </c>
      <c r="D37" s="90">
        <v>1.1539999999999999</v>
      </c>
      <c r="E37" s="90">
        <v>1.2170000000000001</v>
      </c>
      <c r="F37" s="90">
        <v>1.286</v>
      </c>
      <c r="G37" s="90">
        <v>1.361</v>
      </c>
      <c r="H37" s="90">
        <v>1.4430000000000001</v>
      </c>
      <c r="I37" s="90">
        <v>1.5329999999999999</v>
      </c>
      <c r="J37" s="90">
        <v>1.6319999999999999</v>
      </c>
      <c r="K37" s="90">
        <v>1.74</v>
      </c>
    </row>
    <row r="38" spans="1:11" x14ac:dyDescent="0.25">
      <c r="A38" s="88">
        <v>11</v>
      </c>
      <c r="B38" s="90">
        <v>1.046</v>
      </c>
      <c r="C38" s="90">
        <v>1.1000000000000001</v>
      </c>
      <c r="D38" s="90">
        <v>1.159</v>
      </c>
      <c r="E38" s="90">
        <v>1.2230000000000001</v>
      </c>
      <c r="F38" s="90">
        <v>1.292</v>
      </c>
      <c r="G38" s="90">
        <v>1.3680000000000001</v>
      </c>
      <c r="H38" s="90">
        <v>1.45</v>
      </c>
      <c r="I38" s="90">
        <v>1.5409999999999999</v>
      </c>
      <c r="J38" s="90">
        <v>1.64</v>
      </c>
      <c r="K38" s="90">
        <v>1.7490000000000001</v>
      </c>
    </row>
    <row r="44" spans="1:11" ht="39.65" customHeight="1" x14ac:dyDescent="0.25"/>
    <row r="46" spans="1:11" ht="27.65" customHeight="1" x14ac:dyDescent="0.25"/>
  </sheetData>
  <sheetProtection algorithmName="SHA-512" hashValue="me7q5+Mb96CZT8H7t/2eaeYnzw49v9QRecAiVWPiOTenOWLpZawYDluiBKDqSakkt+jeHGPwv5V7/3lzQnHjGA==" saltValue="AkB//Bq1T8c8kqAfJj3/eQ==" spinCount="100000" sheet="1" objects="1" scenarios="1"/>
  <conditionalFormatting sqref="A6:A16">
    <cfRule type="expression" dxfId="269" priority="29" stopIfTrue="1">
      <formula>MOD(ROW(),2)=0</formula>
    </cfRule>
    <cfRule type="expression" dxfId="268" priority="30" stopIfTrue="1">
      <formula>MOD(ROW(),2)&lt;&gt;0</formula>
    </cfRule>
  </conditionalFormatting>
  <conditionalFormatting sqref="B6:K21">
    <cfRule type="expression" dxfId="267" priority="31" stopIfTrue="1">
      <formula>MOD(ROW(),2)=0</formula>
    </cfRule>
    <cfRule type="expression" dxfId="266" priority="32" stopIfTrue="1">
      <formula>MOD(ROW(),2)&lt;&gt;0</formula>
    </cfRule>
  </conditionalFormatting>
  <conditionalFormatting sqref="A17:A20">
    <cfRule type="expression" dxfId="265" priority="21" stopIfTrue="1">
      <formula>MOD(ROW(),2)=0</formula>
    </cfRule>
    <cfRule type="expression" dxfId="264" priority="22" stopIfTrue="1">
      <formula>MOD(ROW(),2)&lt;&gt;0</formula>
    </cfRule>
  </conditionalFormatting>
  <conditionalFormatting sqref="B17:B18 B20:B21">
    <cfRule type="expression" dxfId="263" priority="23" stopIfTrue="1">
      <formula>MOD(ROW(),2)=0</formula>
    </cfRule>
    <cfRule type="expression" dxfId="262" priority="24" stopIfTrue="1">
      <formula>MOD(ROW(),2)&lt;&gt;0</formula>
    </cfRule>
  </conditionalFormatting>
  <conditionalFormatting sqref="A26:A38">
    <cfRule type="expression" dxfId="261" priority="15" stopIfTrue="1">
      <formula>MOD(ROW(),2)=0</formula>
    </cfRule>
    <cfRule type="expression" dxfId="260" priority="16" stopIfTrue="1">
      <formula>MOD(ROW(),2)&lt;&gt;0</formula>
    </cfRule>
  </conditionalFormatting>
  <conditionalFormatting sqref="B26:K38">
    <cfRule type="expression" dxfId="259" priority="17" stopIfTrue="1">
      <formula>MOD(ROW(),2)=0</formula>
    </cfRule>
    <cfRule type="expression" dxfId="258" priority="18" stopIfTrue="1">
      <formula>MOD(ROW(),2)&lt;&gt;0</formula>
    </cfRule>
  </conditionalFormatting>
  <conditionalFormatting sqref="B19">
    <cfRule type="expression" dxfId="257" priority="13" stopIfTrue="1">
      <formula>MOD(ROW(),2)=0</formula>
    </cfRule>
    <cfRule type="expression" dxfId="256" priority="14" stopIfTrue="1">
      <formula>MOD(ROW(),2)&lt;&gt;0</formula>
    </cfRule>
  </conditionalFormatting>
  <conditionalFormatting sqref="A21">
    <cfRule type="expression" dxfId="255" priority="1" stopIfTrue="1">
      <formula>MOD(ROW(),2)=0</formula>
    </cfRule>
    <cfRule type="expression" dxfId="254" priority="2" stopIfTrue="1">
      <formula>MOD(ROW(),2)&lt;&gt;0</formula>
    </cfRule>
  </conditionalFormatting>
  <hyperlinks>
    <hyperlink ref="B24" location="Assumptions!A1" display="Assumptions" xr:uid="{7020A364-9621-4B16-83B4-111A0C06D303}"/>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sheetPr codeName="Sheet98"/>
  <dimension ref="A1:AV46"/>
  <sheetViews>
    <sheetView showGridLines="0" zoomScale="85" zoomScaleNormal="85" workbookViewId="0">
      <selection activeCell="B18" sqref="B18"/>
    </sheetView>
  </sheetViews>
  <sheetFormatPr defaultColWidth="10" defaultRowHeight="12.5" x14ac:dyDescent="0.25"/>
  <cols>
    <col min="1" max="1" width="31.81640625" style="28" customWidth="1"/>
    <col min="2" max="48" width="22.81640625" style="28" customWidth="1"/>
    <col min="49" max="16384" width="10" style="28"/>
  </cols>
  <sheetData>
    <row r="1" spans="1:48" ht="20" x14ac:dyDescent="0.4">
      <c r="A1" s="40" t="s">
        <v>227</v>
      </c>
      <c r="B1" s="41"/>
      <c r="C1" s="41"/>
      <c r="D1" s="41"/>
      <c r="E1" s="41"/>
      <c r="F1" s="41"/>
      <c r="G1" s="41"/>
      <c r="H1" s="41"/>
      <c r="I1" s="41"/>
    </row>
    <row r="2" spans="1:48" ht="15.5" x14ac:dyDescent="0.35">
      <c r="A2" s="42" t="str">
        <f>IF(title="&gt; Enter workbook title here","Enter workbook title in Cover sheet",title)</f>
        <v>Fire Northern Ireland - Consolidated Factor Spreadsheet</v>
      </c>
      <c r="B2" s="43"/>
      <c r="C2" s="43"/>
      <c r="D2" s="43"/>
      <c r="E2" s="43"/>
      <c r="F2" s="43"/>
      <c r="G2" s="43"/>
      <c r="H2" s="43"/>
      <c r="I2" s="43"/>
    </row>
    <row r="3" spans="1:48" ht="15.5" x14ac:dyDescent="0.35">
      <c r="A3" s="44" t="str">
        <f>TABLE_FACTOR_TYPE_1&amp;" - x-"&amp;TABLE_SERIES_NUMBER_1</f>
        <v>Scheme pays AA - x-618</v>
      </c>
      <c r="B3" s="43"/>
      <c r="C3" s="43"/>
      <c r="D3" s="43"/>
      <c r="E3" s="43"/>
      <c r="F3" s="43"/>
      <c r="G3" s="43"/>
      <c r="H3" s="43"/>
      <c r="I3" s="43"/>
    </row>
    <row r="4" spans="1:48" x14ac:dyDescent="0.25">
      <c r="A4" s="45"/>
    </row>
    <row r="6" spans="1:48" ht="13" x14ac:dyDescent="0.3">
      <c r="A6" s="75" t="s">
        <v>562</v>
      </c>
      <c r="B6" s="159" t="s">
        <v>563</v>
      </c>
      <c r="C6" s="159"/>
      <c r="D6" s="159"/>
      <c r="E6" s="159"/>
      <c r="F6" s="159"/>
      <c r="G6" s="159"/>
      <c r="H6" s="159"/>
      <c r="I6" s="159"/>
      <c r="J6" s="159"/>
      <c r="K6" s="159"/>
      <c r="L6" s="159"/>
      <c r="M6" s="159"/>
      <c r="N6" s="159"/>
      <c r="O6" s="159"/>
      <c r="P6" s="159"/>
      <c r="Q6" s="159"/>
      <c r="R6" s="159"/>
      <c r="S6" s="159"/>
      <c r="T6" s="159"/>
      <c r="U6" s="159"/>
      <c r="V6" s="159"/>
      <c r="W6" s="159"/>
      <c r="X6" s="159"/>
      <c r="Y6" s="159"/>
      <c r="Z6" s="159"/>
      <c r="AA6" s="159"/>
      <c r="AB6" s="159"/>
      <c r="AC6" s="159"/>
      <c r="AD6" s="159"/>
      <c r="AE6" s="159"/>
      <c r="AF6" s="159"/>
      <c r="AG6" s="159"/>
      <c r="AH6" s="159"/>
      <c r="AI6" s="159"/>
      <c r="AJ6" s="159"/>
      <c r="AK6" s="159"/>
      <c r="AL6" s="159"/>
      <c r="AM6" s="159"/>
      <c r="AN6" s="159"/>
      <c r="AO6" s="159"/>
      <c r="AP6" s="159"/>
      <c r="AQ6" s="159"/>
      <c r="AR6" s="159"/>
      <c r="AS6" s="159"/>
      <c r="AT6" s="159"/>
      <c r="AU6" s="159"/>
      <c r="AV6" s="159"/>
    </row>
    <row r="7" spans="1:48" x14ac:dyDescent="0.25">
      <c r="A7" s="77" t="s">
        <v>305</v>
      </c>
      <c r="B7" s="159" t="s">
        <v>319</v>
      </c>
      <c r="C7" s="159"/>
      <c r="D7" s="159"/>
      <c r="E7" s="159"/>
      <c r="F7" s="159"/>
      <c r="G7" s="159"/>
      <c r="H7" s="159"/>
      <c r="I7" s="159"/>
      <c r="J7" s="159"/>
      <c r="K7" s="159"/>
      <c r="L7" s="159"/>
      <c r="M7" s="159"/>
      <c r="N7" s="159"/>
      <c r="O7" s="159"/>
      <c r="P7" s="159"/>
      <c r="Q7" s="159"/>
      <c r="R7" s="159"/>
      <c r="S7" s="159"/>
      <c r="T7" s="159"/>
      <c r="U7" s="159"/>
      <c r="V7" s="159"/>
      <c r="W7" s="159"/>
      <c r="X7" s="159"/>
      <c r="Y7" s="159"/>
      <c r="Z7" s="159"/>
      <c r="AA7" s="159"/>
      <c r="AB7" s="159"/>
      <c r="AC7" s="159"/>
      <c r="AD7" s="159"/>
      <c r="AE7" s="159"/>
      <c r="AF7" s="159"/>
      <c r="AG7" s="159"/>
      <c r="AH7" s="159"/>
      <c r="AI7" s="159"/>
      <c r="AJ7" s="159"/>
      <c r="AK7" s="159"/>
      <c r="AL7" s="159"/>
      <c r="AM7" s="159"/>
      <c r="AN7" s="159"/>
      <c r="AO7" s="159"/>
      <c r="AP7" s="159"/>
      <c r="AQ7" s="159"/>
      <c r="AR7" s="159"/>
      <c r="AS7" s="159"/>
      <c r="AT7" s="159"/>
      <c r="AU7" s="159"/>
      <c r="AV7" s="159"/>
    </row>
    <row r="8" spans="1:48" x14ac:dyDescent="0.25">
      <c r="A8" s="77" t="s">
        <v>306</v>
      </c>
      <c r="B8" s="159" t="s">
        <v>332</v>
      </c>
      <c r="C8" s="159"/>
      <c r="D8" s="159"/>
      <c r="E8" s="159"/>
      <c r="F8" s="159"/>
      <c r="G8" s="159"/>
      <c r="H8" s="159"/>
      <c r="I8" s="159"/>
      <c r="J8" s="159"/>
      <c r="K8" s="159"/>
      <c r="L8" s="159"/>
      <c r="M8" s="159"/>
      <c r="N8" s="159"/>
      <c r="O8" s="159"/>
      <c r="P8" s="159"/>
      <c r="Q8" s="159"/>
      <c r="R8" s="159"/>
      <c r="S8" s="159"/>
      <c r="T8" s="159"/>
      <c r="U8" s="159"/>
      <c r="V8" s="159"/>
      <c r="W8" s="159"/>
      <c r="X8" s="159"/>
      <c r="Y8" s="159"/>
      <c r="Z8" s="159"/>
      <c r="AA8" s="159"/>
      <c r="AB8" s="159"/>
      <c r="AC8" s="159"/>
      <c r="AD8" s="159"/>
      <c r="AE8" s="159"/>
      <c r="AF8" s="159"/>
      <c r="AG8" s="159"/>
      <c r="AH8" s="159"/>
      <c r="AI8" s="159"/>
      <c r="AJ8" s="159"/>
      <c r="AK8" s="159"/>
      <c r="AL8" s="159"/>
      <c r="AM8" s="159"/>
      <c r="AN8" s="159"/>
      <c r="AO8" s="159"/>
      <c r="AP8" s="159"/>
      <c r="AQ8" s="159"/>
      <c r="AR8" s="159"/>
      <c r="AS8" s="159"/>
      <c r="AT8" s="159"/>
      <c r="AU8" s="159"/>
      <c r="AV8" s="159"/>
    </row>
    <row r="9" spans="1:48" x14ac:dyDescent="0.25">
      <c r="A9" s="77" t="s">
        <v>307</v>
      </c>
      <c r="B9" s="159" t="s">
        <v>482</v>
      </c>
      <c r="C9" s="159"/>
      <c r="D9" s="159"/>
      <c r="E9" s="159"/>
      <c r="F9" s="159"/>
      <c r="G9" s="159"/>
      <c r="H9" s="159"/>
      <c r="I9" s="159"/>
      <c r="J9" s="159"/>
      <c r="K9" s="159"/>
      <c r="L9" s="159"/>
      <c r="M9" s="159"/>
      <c r="N9" s="159"/>
      <c r="O9" s="159"/>
      <c r="P9" s="159"/>
      <c r="Q9" s="159"/>
      <c r="R9" s="159"/>
      <c r="S9" s="159"/>
      <c r="T9" s="159"/>
      <c r="U9" s="159"/>
      <c r="V9" s="159"/>
      <c r="W9" s="159"/>
      <c r="X9" s="159"/>
      <c r="Y9" s="159"/>
      <c r="Z9" s="159"/>
      <c r="AA9" s="159"/>
      <c r="AB9" s="159"/>
      <c r="AC9" s="159"/>
      <c r="AD9" s="159"/>
      <c r="AE9" s="159"/>
      <c r="AF9" s="159"/>
      <c r="AG9" s="159"/>
      <c r="AH9" s="159"/>
      <c r="AI9" s="159"/>
      <c r="AJ9" s="159"/>
      <c r="AK9" s="159"/>
      <c r="AL9" s="159"/>
      <c r="AM9" s="159"/>
      <c r="AN9" s="159"/>
      <c r="AO9" s="159"/>
      <c r="AP9" s="159"/>
      <c r="AQ9" s="159"/>
      <c r="AR9" s="159"/>
      <c r="AS9" s="159"/>
      <c r="AT9" s="159"/>
      <c r="AU9" s="159"/>
      <c r="AV9" s="159"/>
    </row>
    <row r="10" spans="1:48" x14ac:dyDescent="0.25">
      <c r="A10" s="77" t="s">
        <v>233</v>
      </c>
      <c r="B10" s="159" t="s">
        <v>519</v>
      </c>
      <c r="C10" s="159"/>
      <c r="D10" s="159"/>
      <c r="E10" s="159"/>
      <c r="F10" s="159"/>
      <c r="G10" s="159"/>
      <c r="H10" s="159"/>
      <c r="I10" s="159"/>
      <c r="J10" s="159"/>
      <c r="K10" s="159"/>
      <c r="L10" s="159"/>
      <c r="M10" s="159"/>
      <c r="N10" s="159"/>
      <c r="O10" s="159"/>
      <c r="P10" s="159"/>
      <c r="Q10" s="159"/>
      <c r="R10" s="159"/>
      <c r="S10" s="159"/>
      <c r="T10" s="159"/>
      <c r="U10" s="159"/>
      <c r="V10" s="159"/>
      <c r="W10" s="159"/>
      <c r="X10" s="159"/>
      <c r="Y10" s="159"/>
      <c r="Z10" s="159"/>
      <c r="AA10" s="159"/>
      <c r="AB10" s="159"/>
      <c r="AC10" s="159"/>
      <c r="AD10" s="159"/>
      <c r="AE10" s="159"/>
      <c r="AF10" s="159"/>
      <c r="AG10" s="159"/>
      <c r="AH10" s="159"/>
      <c r="AI10" s="159"/>
      <c r="AJ10" s="159"/>
      <c r="AK10" s="159"/>
      <c r="AL10" s="159"/>
      <c r="AM10" s="159"/>
      <c r="AN10" s="159"/>
      <c r="AO10" s="159"/>
      <c r="AP10" s="159"/>
      <c r="AQ10" s="159"/>
      <c r="AR10" s="159"/>
      <c r="AS10" s="159"/>
      <c r="AT10" s="159"/>
      <c r="AU10" s="159"/>
      <c r="AV10" s="159"/>
    </row>
    <row r="11" spans="1:48" x14ac:dyDescent="0.25">
      <c r="A11" s="77" t="s">
        <v>308</v>
      </c>
      <c r="B11" s="159" t="s">
        <v>404</v>
      </c>
      <c r="C11" s="159"/>
      <c r="D11" s="159"/>
      <c r="E11" s="159"/>
      <c r="F11" s="159"/>
      <c r="G11" s="159"/>
      <c r="H11" s="159"/>
      <c r="I11" s="159"/>
      <c r="J11" s="159"/>
      <c r="K11" s="159"/>
      <c r="L11" s="159"/>
      <c r="M11" s="159"/>
      <c r="N11" s="159"/>
      <c r="O11" s="159"/>
      <c r="P11" s="159"/>
      <c r="Q11" s="159"/>
      <c r="R11" s="159"/>
      <c r="S11" s="159"/>
      <c r="T11" s="159"/>
      <c r="U11" s="159"/>
      <c r="V11" s="159"/>
      <c r="W11" s="159"/>
      <c r="X11" s="159"/>
      <c r="Y11" s="159"/>
      <c r="Z11" s="159"/>
      <c r="AA11" s="159"/>
      <c r="AB11" s="159"/>
      <c r="AC11" s="159"/>
      <c r="AD11" s="159"/>
      <c r="AE11" s="159"/>
      <c r="AF11" s="159"/>
      <c r="AG11" s="159"/>
      <c r="AH11" s="159"/>
      <c r="AI11" s="159"/>
      <c r="AJ11" s="159"/>
      <c r="AK11" s="159"/>
      <c r="AL11" s="159"/>
      <c r="AM11" s="159"/>
      <c r="AN11" s="159"/>
      <c r="AO11" s="159"/>
      <c r="AP11" s="159"/>
      <c r="AQ11" s="159"/>
      <c r="AR11" s="159"/>
      <c r="AS11" s="159"/>
      <c r="AT11" s="159"/>
      <c r="AU11" s="159"/>
      <c r="AV11" s="159"/>
    </row>
    <row r="12" spans="1:48" x14ac:dyDescent="0.25">
      <c r="A12" s="77" t="s">
        <v>309</v>
      </c>
      <c r="B12" s="159" t="s">
        <v>509</v>
      </c>
      <c r="C12" s="159"/>
      <c r="D12" s="159"/>
      <c r="E12" s="159"/>
      <c r="F12" s="159"/>
      <c r="G12" s="159"/>
      <c r="H12" s="159"/>
      <c r="I12" s="159"/>
      <c r="J12" s="159"/>
      <c r="K12" s="159"/>
      <c r="L12" s="159"/>
      <c r="M12" s="159"/>
      <c r="N12" s="159"/>
      <c r="O12" s="159"/>
      <c r="P12" s="159"/>
      <c r="Q12" s="159"/>
      <c r="R12" s="159"/>
      <c r="S12" s="159"/>
      <c r="T12" s="159"/>
      <c r="U12" s="159"/>
      <c r="V12" s="159"/>
      <c r="W12" s="159"/>
      <c r="X12" s="159"/>
      <c r="Y12" s="159"/>
      <c r="Z12" s="159"/>
      <c r="AA12" s="159"/>
      <c r="AB12" s="159"/>
      <c r="AC12" s="159"/>
      <c r="AD12" s="159"/>
      <c r="AE12" s="159"/>
      <c r="AF12" s="159"/>
      <c r="AG12" s="159"/>
      <c r="AH12" s="159"/>
      <c r="AI12" s="159"/>
      <c r="AJ12" s="159"/>
      <c r="AK12" s="159"/>
      <c r="AL12" s="159"/>
      <c r="AM12" s="159"/>
      <c r="AN12" s="159"/>
      <c r="AO12" s="159"/>
      <c r="AP12" s="159"/>
      <c r="AQ12" s="159"/>
      <c r="AR12" s="159"/>
      <c r="AS12" s="159"/>
      <c r="AT12" s="159"/>
      <c r="AU12" s="159"/>
      <c r="AV12" s="159"/>
    </row>
    <row r="13" spans="1:48" x14ac:dyDescent="0.25">
      <c r="A13" s="77" t="s">
        <v>570</v>
      </c>
      <c r="B13" s="159">
        <v>1</v>
      </c>
      <c r="C13" s="159"/>
      <c r="D13" s="159"/>
      <c r="E13" s="159"/>
      <c r="F13" s="159"/>
      <c r="G13" s="159"/>
      <c r="H13" s="159"/>
      <c r="I13" s="159"/>
      <c r="J13" s="159"/>
      <c r="K13" s="159"/>
      <c r="L13" s="159"/>
      <c r="M13" s="159"/>
      <c r="N13" s="159"/>
      <c r="O13" s="159"/>
      <c r="P13" s="159"/>
      <c r="Q13" s="159"/>
      <c r="R13" s="159"/>
      <c r="S13" s="159"/>
      <c r="T13" s="159"/>
      <c r="U13" s="159"/>
      <c r="V13" s="159"/>
      <c r="W13" s="159"/>
      <c r="X13" s="159"/>
      <c r="Y13" s="159"/>
      <c r="Z13" s="159"/>
      <c r="AA13" s="159"/>
      <c r="AB13" s="159"/>
      <c r="AC13" s="159"/>
      <c r="AD13" s="159"/>
      <c r="AE13" s="159"/>
      <c r="AF13" s="159"/>
      <c r="AG13" s="159"/>
      <c r="AH13" s="159"/>
      <c r="AI13" s="159"/>
      <c r="AJ13" s="159"/>
      <c r="AK13" s="159"/>
      <c r="AL13" s="159"/>
      <c r="AM13" s="159"/>
      <c r="AN13" s="159"/>
      <c r="AO13" s="159"/>
      <c r="AP13" s="159"/>
      <c r="AQ13" s="159"/>
      <c r="AR13" s="159"/>
      <c r="AS13" s="159"/>
      <c r="AT13" s="159"/>
      <c r="AU13" s="159"/>
      <c r="AV13" s="159"/>
    </row>
    <row r="14" spans="1:48" x14ac:dyDescent="0.25">
      <c r="A14" s="77" t="s">
        <v>311</v>
      </c>
      <c r="B14" s="159">
        <v>618</v>
      </c>
      <c r="C14" s="159"/>
      <c r="D14" s="159"/>
      <c r="E14" s="159"/>
      <c r="F14" s="159"/>
      <c r="G14" s="159"/>
      <c r="H14" s="159"/>
      <c r="I14" s="159"/>
      <c r="J14" s="159"/>
      <c r="K14" s="159"/>
      <c r="L14" s="159"/>
      <c r="M14" s="159"/>
      <c r="N14" s="159"/>
      <c r="O14" s="159"/>
      <c r="P14" s="159"/>
      <c r="Q14" s="159"/>
      <c r="R14" s="159"/>
      <c r="S14" s="159"/>
      <c r="T14" s="159"/>
      <c r="U14" s="159"/>
      <c r="V14" s="159"/>
      <c r="W14" s="159"/>
      <c r="X14" s="159"/>
      <c r="Y14" s="159"/>
      <c r="Z14" s="159"/>
      <c r="AA14" s="159"/>
      <c r="AB14" s="159"/>
      <c r="AC14" s="159"/>
      <c r="AD14" s="159"/>
      <c r="AE14" s="159"/>
      <c r="AF14" s="159"/>
      <c r="AG14" s="159"/>
      <c r="AH14" s="159"/>
      <c r="AI14" s="159"/>
      <c r="AJ14" s="159"/>
      <c r="AK14" s="159"/>
      <c r="AL14" s="159"/>
      <c r="AM14" s="159"/>
      <c r="AN14" s="159"/>
      <c r="AO14" s="159"/>
      <c r="AP14" s="159"/>
      <c r="AQ14" s="159"/>
      <c r="AR14" s="159"/>
      <c r="AS14" s="159"/>
      <c r="AT14" s="159"/>
      <c r="AU14" s="159"/>
      <c r="AV14" s="159"/>
    </row>
    <row r="15" spans="1:48" x14ac:dyDescent="0.25">
      <c r="A15" s="77" t="s">
        <v>573</v>
      </c>
      <c r="B15" s="159" t="s">
        <v>520</v>
      </c>
      <c r="C15" s="159"/>
      <c r="D15" s="159"/>
      <c r="E15" s="159"/>
      <c r="F15" s="159"/>
      <c r="G15" s="159"/>
      <c r="H15" s="159"/>
      <c r="I15" s="159"/>
      <c r="J15" s="159"/>
      <c r="K15" s="159"/>
      <c r="L15" s="159"/>
      <c r="M15" s="159"/>
      <c r="N15" s="159"/>
      <c r="O15" s="159"/>
      <c r="P15" s="159"/>
      <c r="Q15" s="159"/>
      <c r="R15" s="159"/>
      <c r="S15" s="159"/>
      <c r="T15" s="159"/>
      <c r="U15" s="159"/>
      <c r="V15" s="159"/>
      <c r="W15" s="159"/>
      <c r="X15" s="159"/>
      <c r="Y15" s="159"/>
      <c r="Z15" s="159"/>
      <c r="AA15" s="159"/>
      <c r="AB15" s="159"/>
      <c r="AC15" s="159"/>
      <c r="AD15" s="159"/>
      <c r="AE15" s="159"/>
      <c r="AF15" s="159"/>
      <c r="AG15" s="159"/>
      <c r="AH15" s="159"/>
      <c r="AI15" s="159"/>
      <c r="AJ15" s="159"/>
      <c r="AK15" s="159"/>
      <c r="AL15" s="159"/>
      <c r="AM15" s="159"/>
      <c r="AN15" s="159"/>
      <c r="AO15" s="159"/>
      <c r="AP15" s="159"/>
      <c r="AQ15" s="159"/>
      <c r="AR15" s="159"/>
      <c r="AS15" s="159"/>
      <c r="AT15" s="159"/>
      <c r="AU15" s="159"/>
      <c r="AV15" s="159"/>
    </row>
    <row r="16" spans="1:48" x14ac:dyDescent="0.25">
      <c r="A16" s="77" t="s">
        <v>313</v>
      </c>
      <c r="B16" s="159" t="s">
        <v>507</v>
      </c>
      <c r="C16" s="159"/>
      <c r="D16" s="159"/>
      <c r="E16" s="159"/>
      <c r="F16" s="159"/>
      <c r="G16" s="159"/>
      <c r="H16" s="159"/>
      <c r="I16" s="159"/>
      <c r="J16" s="159"/>
      <c r="K16" s="159"/>
      <c r="L16" s="159"/>
      <c r="M16" s="159"/>
      <c r="N16" s="159"/>
      <c r="O16" s="159"/>
      <c r="P16" s="159"/>
      <c r="Q16" s="159"/>
      <c r="R16" s="159"/>
      <c r="S16" s="159"/>
      <c r="T16" s="159"/>
      <c r="U16" s="159"/>
      <c r="V16" s="159"/>
      <c r="W16" s="159"/>
      <c r="X16" s="159"/>
      <c r="Y16" s="159"/>
      <c r="Z16" s="159"/>
      <c r="AA16" s="159"/>
      <c r="AB16" s="159"/>
      <c r="AC16" s="159"/>
      <c r="AD16" s="159"/>
      <c r="AE16" s="159"/>
      <c r="AF16" s="159"/>
      <c r="AG16" s="159"/>
      <c r="AH16" s="159"/>
      <c r="AI16" s="159"/>
      <c r="AJ16" s="159"/>
      <c r="AK16" s="159"/>
      <c r="AL16" s="159"/>
      <c r="AM16" s="159"/>
      <c r="AN16" s="159"/>
      <c r="AO16" s="159"/>
      <c r="AP16" s="159"/>
      <c r="AQ16" s="159"/>
      <c r="AR16" s="159"/>
      <c r="AS16" s="159"/>
      <c r="AT16" s="159"/>
      <c r="AU16" s="159"/>
      <c r="AV16" s="159"/>
    </row>
    <row r="17" spans="1:48" x14ac:dyDescent="0.25">
      <c r="A17" s="77" t="s">
        <v>642</v>
      </c>
      <c r="B17" s="159"/>
      <c r="C17" s="159"/>
      <c r="D17" s="159"/>
      <c r="E17" s="159"/>
      <c r="F17" s="159"/>
      <c r="G17" s="159"/>
      <c r="H17" s="159"/>
      <c r="I17" s="159"/>
      <c r="J17" s="159"/>
      <c r="K17" s="159"/>
      <c r="L17" s="159"/>
      <c r="M17" s="159"/>
      <c r="N17" s="159"/>
      <c r="O17" s="159"/>
      <c r="P17" s="159"/>
      <c r="Q17" s="159"/>
      <c r="R17" s="159"/>
      <c r="S17" s="159"/>
      <c r="T17" s="159"/>
      <c r="U17" s="159"/>
      <c r="V17" s="159"/>
      <c r="W17" s="159"/>
      <c r="X17" s="159"/>
      <c r="Y17" s="159"/>
      <c r="Z17" s="159"/>
      <c r="AA17" s="159"/>
      <c r="AB17" s="159"/>
      <c r="AC17" s="159"/>
      <c r="AD17" s="159"/>
      <c r="AE17" s="159"/>
      <c r="AF17" s="159"/>
      <c r="AG17" s="159"/>
      <c r="AH17" s="159"/>
      <c r="AI17" s="159"/>
      <c r="AJ17" s="159"/>
      <c r="AK17" s="159"/>
      <c r="AL17" s="159"/>
      <c r="AM17" s="159"/>
      <c r="AN17" s="159"/>
      <c r="AO17" s="159"/>
      <c r="AP17" s="159"/>
      <c r="AQ17" s="159"/>
      <c r="AR17" s="159"/>
      <c r="AS17" s="159"/>
      <c r="AT17" s="159"/>
      <c r="AU17" s="159"/>
      <c r="AV17" s="159"/>
    </row>
    <row r="18" spans="1:48" x14ac:dyDescent="0.25">
      <c r="A18" s="77" t="s">
        <v>315</v>
      </c>
      <c r="B18" s="161">
        <v>45135</v>
      </c>
      <c r="C18" s="159"/>
      <c r="D18" s="159"/>
      <c r="E18" s="159"/>
      <c r="F18" s="159"/>
      <c r="G18" s="159"/>
      <c r="H18" s="159"/>
      <c r="I18" s="159"/>
      <c r="J18" s="159"/>
      <c r="K18" s="159"/>
      <c r="L18" s="159"/>
      <c r="M18" s="159"/>
      <c r="N18" s="159"/>
      <c r="O18" s="159"/>
      <c r="P18" s="159"/>
      <c r="Q18" s="159"/>
      <c r="R18" s="159"/>
      <c r="S18" s="159"/>
      <c r="T18" s="159"/>
      <c r="U18" s="159"/>
      <c r="V18" s="159"/>
      <c r="W18" s="159"/>
      <c r="X18" s="159"/>
      <c r="Y18" s="159"/>
      <c r="Z18" s="159"/>
      <c r="AA18" s="159"/>
      <c r="AB18" s="159"/>
      <c r="AC18" s="159"/>
      <c r="AD18" s="159"/>
      <c r="AE18" s="159"/>
      <c r="AF18" s="159"/>
      <c r="AG18" s="159"/>
      <c r="AH18" s="159"/>
      <c r="AI18" s="159"/>
      <c r="AJ18" s="159"/>
      <c r="AK18" s="159"/>
      <c r="AL18" s="159"/>
      <c r="AM18" s="159"/>
      <c r="AN18" s="159"/>
      <c r="AO18" s="159"/>
      <c r="AP18" s="159"/>
      <c r="AQ18" s="159"/>
      <c r="AR18" s="159"/>
      <c r="AS18" s="159"/>
      <c r="AT18" s="159"/>
      <c r="AU18" s="159"/>
      <c r="AV18" s="159"/>
    </row>
    <row r="19" spans="1:48" x14ac:dyDescent="0.25">
      <c r="A19" s="77" t="s">
        <v>316</v>
      </c>
      <c r="B19" s="161">
        <v>45135</v>
      </c>
      <c r="C19" s="159"/>
      <c r="D19" s="159"/>
      <c r="E19" s="159"/>
      <c r="F19" s="159"/>
      <c r="G19" s="159"/>
      <c r="H19" s="159"/>
      <c r="I19" s="159"/>
      <c r="J19" s="159"/>
      <c r="K19" s="159"/>
      <c r="L19" s="159"/>
      <c r="M19" s="159"/>
      <c r="N19" s="159"/>
      <c r="O19" s="159"/>
      <c r="P19" s="159"/>
      <c r="Q19" s="159"/>
      <c r="R19" s="159"/>
      <c r="S19" s="159"/>
      <c r="T19" s="159"/>
      <c r="U19" s="159"/>
      <c r="V19" s="159"/>
      <c r="W19" s="159"/>
      <c r="X19" s="159"/>
      <c r="Y19" s="159"/>
      <c r="Z19" s="159"/>
      <c r="AA19" s="159"/>
      <c r="AB19" s="159"/>
      <c r="AC19" s="159"/>
      <c r="AD19" s="159"/>
      <c r="AE19" s="159"/>
      <c r="AF19" s="159"/>
      <c r="AG19" s="159"/>
      <c r="AH19" s="159"/>
      <c r="AI19" s="159"/>
      <c r="AJ19" s="159"/>
      <c r="AK19" s="159"/>
      <c r="AL19" s="159"/>
      <c r="AM19" s="159"/>
      <c r="AN19" s="159"/>
      <c r="AO19" s="159"/>
      <c r="AP19" s="159"/>
      <c r="AQ19" s="159"/>
      <c r="AR19" s="159"/>
      <c r="AS19" s="159"/>
      <c r="AT19" s="159"/>
      <c r="AU19" s="159"/>
      <c r="AV19" s="159"/>
    </row>
    <row r="20" spans="1:48" x14ac:dyDescent="0.25">
      <c r="A20" s="77" t="s">
        <v>317</v>
      </c>
      <c r="B20" s="159" t="s">
        <v>327</v>
      </c>
      <c r="C20" s="159"/>
      <c r="D20" s="159"/>
      <c r="E20" s="159"/>
      <c r="F20" s="159"/>
      <c r="G20" s="159"/>
      <c r="H20" s="159"/>
      <c r="I20" s="159"/>
      <c r="J20" s="159"/>
      <c r="K20" s="159"/>
      <c r="L20" s="159"/>
      <c r="M20" s="159"/>
      <c r="N20" s="159"/>
      <c r="O20" s="159"/>
      <c r="P20" s="159"/>
      <c r="Q20" s="159"/>
      <c r="R20" s="159"/>
      <c r="S20" s="159"/>
      <c r="T20" s="159"/>
      <c r="U20" s="159"/>
      <c r="V20" s="159"/>
      <c r="W20" s="159"/>
      <c r="X20" s="159"/>
      <c r="Y20" s="159"/>
      <c r="Z20" s="159"/>
      <c r="AA20" s="159"/>
      <c r="AB20" s="159"/>
      <c r="AC20" s="159"/>
      <c r="AD20" s="159"/>
      <c r="AE20" s="159"/>
      <c r="AF20" s="159"/>
      <c r="AG20" s="159"/>
      <c r="AH20" s="159"/>
      <c r="AI20" s="159"/>
      <c r="AJ20" s="159"/>
      <c r="AK20" s="159"/>
      <c r="AL20" s="159"/>
      <c r="AM20" s="159"/>
      <c r="AN20" s="159"/>
      <c r="AO20" s="159"/>
      <c r="AP20" s="159"/>
      <c r="AQ20" s="159"/>
      <c r="AR20" s="159"/>
      <c r="AS20" s="159"/>
      <c r="AT20" s="159"/>
      <c r="AU20" s="159"/>
      <c r="AV20" s="159"/>
    </row>
    <row r="21" spans="1:48" x14ac:dyDescent="0.25">
      <c r="A21" s="77" t="s">
        <v>318</v>
      </c>
      <c r="B21" s="159" t="s">
        <v>328</v>
      </c>
      <c r="C21" s="159"/>
      <c r="D21" s="159"/>
      <c r="E21" s="159"/>
      <c r="F21" s="159"/>
      <c r="G21" s="159"/>
      <c r="H21" s="159"/>
      <c r="I21" s="159"/>
      <c r="J21" s="159"/>
      <c r="K21" s="159"/>
      <c r="L21" s="159"/>
      <c r="M21" s="159"/>
      <c r="N21" s="159"/>
      <c r="O21" s="159"/>
      <c r="P21" s="159"/>
      <c r="Q21" s="159"/>
      <c r="R21" s="159"/>
      <c r="S21" s="159"/>
      <c r="T21" s="159"/>
      <c r="U21" s="159"/>
      <c r="V21" s="159"/>
      <c r="W21" s="159"/>
      <c r="X21" s="159"/>
      <c r="Y21" s="159"/>
      <c r="Z21" s="159"/>
      <c r="AA21" s="159"/>
      <c r="AB21" s="159"/>
      <c r="AC21" s="159"/>
      <c r="AD21" s="159"/>
      <c r="AE21" s="159"/>
      <c r="AF21" s="159"/>
      <c r="AG21" s="159"/>
      <c r="AH21" s="159"/>
      <c r="AI21" s="159"/>
      <c r="AJ21" s="159"/>
      <c r="AK21" s="159"/>
      <c r="AL21" s="159"/>
      <c r="AM21" s="159"/>
      <c r="AN21" s="159"/>
      <c r="AO21" s="159"/>
      <c r="AP21" s="159"/>
      <c r="AQ21" s="159"/>
      <c r="AR21" s="159"/>
      <c r="AS21" s="159"/>
      <c r="AT21" s="159"/>
      <c r="AU21" s="159"/>
      <c r="AV21" s="159"/>
    </row>
    <row r="23" spans="1:48" x14ac:dyDescent="0.25">
      <c r="B23" s="91" t="str">
        <f>HYPERLINK("#'Factor List'!A1","Back to Factor List")</f>
        <v>Back to Factor List</v>
      </c>
    </row>
    <row r="24" spans="1:48" x14ac:dyDescent="0.25">
      <c r="B24" s="91" t="s">
        <v>240</v>
      </c>
    </row>
    <row r="25" spans="1:48" x14ac:dyDescent="0.25">
      <c r="B25" s="91"/>
    </row>
    <row r="26" spans="1:48" ht="13" x14ac:dyDescent="0.25">
      <c r="A26" s="87" t="s">
        <v>667</v>
      </c>
      <c r="B26" s="87">
        <v>18</v>
      </c>
      <c r="C26" s="87">
        <v>19</v>
      </c>
      <c r="D26" s="87">
        <v>20</v>
      </c>
      <c r="E26" s="87">
        <v>21</v>
      </c>
      <c r="F26" s="87">
        <v>22</v>
      </c>
      <c r="G26" s="87">
        <v>23</v>
      </c>
      <c r="H26" s="87">
        <v>24</v>
      </c>
      <c r="I26" s="87">
        <v>25</v>
      </c>
      <c r="J26" s="87">
        <v>26</v>
      </c>
      <c r="K26" s="87">
        <v>27</v>
      </c>
      <c r="L26" s="87">
        <v>28</v>
      </c>
      <c r="M26" s="87">
        <v>29</v>
      </c>
      <c r="N26" s="87">
        <v>30</v>
      </c>
      <c r="O26" s="87">
        <v>31</v>
      </c>
      <c r="P26" s="87">
        <v>32</v>
      </c>
      <c r="Q26" s="87">
        <v>33</v>
      </c>
      <c r="R26" s="87">
        <v>34</v>
      </c>
      <c r="S26" s="87">
        <v>35</v>
      </c>
      <c r="T26" s="87">
        <v>36</v>
      </c>
      <c r="U26" s="87">
        <v>37</v>
      </c>
      <c r="V26" s="87">
        <v>38</v>
      </c>
      <c r="W26" s="87">
        <v>39</v>
      </c>
      <c r="X26" s="87">
        <v>40</v>
      </c>
      <c r="Y26" s="87">
        <v>41</v>
      </c>
      <c r="Z26" s="87">
        <v>42</v>
      </c>
      <c r="AA26" s="87">
        <v>43</v>
      </c>
      <c r="AB26" s="87">
        <v>44</v>
      </c>
      <c r="AC26" s="87">
        <v>45</v>
      </c>
      <c r="AD26" s="87">
        <v>46</v>
      </c>
      <c r="AE26" s="87">
        <v>47</v>
      </c>
      <c r="AF26" s="87">
        <v>48</v>
      </c>
      <c r="AG26" s="87">
        <v>49</v>
      </c>
      <c r="AH26" s="87">
        <v>50</v>
      </c>
      <c r="AI26" s="87">
        <v>51</v>
      </c>
      <c r="AJ26" s="87">
        <v>52</v>
      </c>
      <c r="AK26" s="87">
        <v>53</v>
      </c>
      <c r="AL26" s="87">
        <v>54</v>
      </c>
      <c r="AM26" s="87">
        <v>55</v>
      </c>
      <c r="AN26" s="87">
        <v>56</v>
      </c>
      <c r="AO26" s="87">
        <v>57</v>
      </c>
      <c r="AP26" s="87">
        <v>58</v>
      </c>
      <c r="AQ26" s="87">
        <v>59</v>
      </c>
      <c r="AR26" s="87">
        <v>60</v>
      </c>
      <c r="AS26" s="87">
        <v>61</v>
      </c>
      <c r="AT26" s="87">
        <v>62</v>
      </c>
      <c r="AU26" s="87">
        <v>63</v>
      </c>
      <c r="AV26" s="87">
        <v>64</v>
      </c>
    </row>
    <row r="27" spans="1:48" x14ac:dyDescent="0.25">
      <c r="A27" s="88">
        <v>0</v>
      </c>
      <c r="B27" s="90">
        <v>0.21199999999999999</v>
      </c>
      <c r="C27" s="90">
        <v>0.216</v>
      </c>
      <c r="D27" s="90">
        <v>0.221</v>
      </c>
      <c r="E27" s="90">
        <v>0.22700000000000001</v>
      </c>
      <c r="F27" s="90">
        <v>0.23200000000000001</v>
      </c>
      <c r="G27" s="90">
        <v>0.23699999999999999</v>
      </c>
      <c r="H27" s="90">
        <v>0.24299999999999999</v>
      </c>
      <c r="I27" s="90">
        <v>0.249</v>
      </c>
      <c r="J27" s="90">
        <v>0.255</v>
      </c>
      <c r="K27" s="90">
        <v>0.26100000000000001</v>
      </c>
      <c r="L27" s="90">
        <v>0.26700000000000002</v>
      </c>
      <c r="M27" s="90">
        <v>0.27400000000000002</v>
      </c>
      <c r="N27" s="90">
        <v>0.28100000000000003</v>
      </c>
      <c r="O27" s="90">
        <v>0.28799999999999998</v>
      </c>
      <c r="P27" s="90">
        <v>0.29599999999999999</v>
      </c>
      <c r="Q27" s="90">
        <v>0.30399999999999999</v>
      </c>
      <c r="R27" s="90">
        <v>0.312</v>
      </c>
      <c r="S27" s="90">
        <v>0.32100000000000001</v>
      </c>
      <c r="T27" s="90">
        <v>0.33</v>
      </c>
      <c r="U27" s="90">
        <v>0.33900000000000002</v>
      </c>
      <c r="V27" s="90">
        <v>0.34899999999999998</v>
      </c>
      <c r="W27" s="90">
        <v>0.35899999999999999</v>
      </c>
      <c r="X27" s="90">
        <v>0.36899999999999999</v>
      </c>
      <c r="Y27" s="90">
        <v>0.38100000000000001</v>
      </c>
      <c r="Z27" s="90">
        <v>0.39200000000000002</v>
      </c>
      <c r="AA27" s="90">
        <v>0.40500000000000003</v>
      </c>
      <c r="AB27" s="90">
        <v>0.41799999999999998</v>
      </c>
      <c r="AC27" s="90">
        <v>0.43099999999999999</v>
      </c>
      <c r="AD27" s="90">
        <v>0.44600000000000001</v>
      </c>
      <c r="AE27" s="90">
        <v>0.46100000000000002</v>
      </c>
      <c r="AF27" s="90">
        <v>0.47699999999999998</v>
      </c>
      <c r="AG27" s="90">
        <v>0.49399999999999999</v>
      </c>
      <c r="AH27" s="90">
        <v>0.51200000000000001</v>
      </c>
      <c r="AI27" s="90">
        <v>0.53100000000000003</v>
      </c>
      <c r="AJ27" s="90">
        <v>0.55100000000000005</v>
      </c>
      <c r="AK27" s="90">
        <v>0.57199999999999995</v>
      </c>
      <c r="AL27" s="90">
        <v>0.59499999999999997</v>
      </c>
      <c r="AM27" s="90">
        <v>0.62</v>
      </c>
      <c r="AN27" s="90">
        <v>0.64600000000000002</v>
      </c>
      <c r="AO27" s="90">
        <v>0.67400000000000004</v>
      </c>
      <c r="AP27" s="90">
        <v>0.70499999999999996</v>
      </c>
      <c r="AQ27" s="90">
        <v>0.73699999999999999</v>
      </c>
      <c r="AR27" s="90">
        <v>0.77200000000000002</v>
      </c>
      <c r="AS27" s="90">
        <v>0.81100000000000005</v>
      </c>
      <c r="AT27" s="90">
        <v>0.85199999999999998</v>
      </c>
      <c r="AU27" s="90">
        <v>0.89700000000000002</v>
      </c>
      <c r="AV27" s="90">
        <v>0.94599999999999995</v>
      </c>
    </row>
    <row r="28" spans="1:48" x14ac:dyDescent="0.25">
      <c r="A28" s="88">
        <v>1</v>
      </c>
      <c r="B28" s="90">
        <v>0.21199999999999999</v>
      </c>
      <c r="C28" s="90">
        <v>0.217</v>
      </c>
      <c r="D28" s="90">
        <v>0.222</v>
      </c>
      <c r="E28" s="90">
        <v>0.22700000000000001</v>
      </c>
      <c r="F28" s="90">
        <v>0.23200000000000001</v>
      </c>
      <c r="G28" s="90">
        <v>0.23799999999999999</v>
      </c>
      <c r="H28" s="90">
        <v>0.24299999999999999</v>
      </c>
      <c r="I28" s="90">
        <v>0.249</v>
      </c>
      <c r="J28" s="90">
        <v>0.255</v>
      </c>
      <c r="K28" s="90">
        <v>0.26200000000000001</v>
      </c>
      <c r="L28" s="90">
        <v>0.26800000000000002</v>
      </c>
      <c r="M28" s="90">
        <v>0.27500000000000002</v>
      </c>
      <c r="N28" s="90">
        <v>0.28199999999999997</v>
      </c>
      <c r="O28" s="90">
        <v>0.28899999999999998</v>
      </c>
      <c r="P28" s="90">
        <v>0.29699999999999999</v>
      </c>
      <c r="Q28" s="90">
        <v>0.30499999999999999</v>
      </c>
      <c r="R28" s="90">
        <v>0.313</v>
      </c>
      <c r="S28" s="90">
        <v>0.32100000000000001</v>
      </c>
      <c r="T28" s="90">
        <v>0.33</v>
      </c>
      <c r="U28" s="90">
        <v>0.34</v>
      </c>
      <c r="V28" s="90">
        <v>0.35</v>
      </c>
      <c r="W28" s="90">
        <v>0.36</v>
      </c>
      <c r="X28" s="90">
        <v>0.37</v>
      </c>
      <c r="Y28" s="90">
        <v>0.38200000000000001</v>
      </c>
      <c r="Z28" s="90">
        <v>0.39300000000000002</v>
      </c>
      <c r="AA28" s="90">
        <v>0.40600000000000003</v>
      </c>
      <c r="AB28" s="90">
        <v>0.41899999999999998</v>
      </c>
      <c r="AC28" s="90">
        <v>0.432</v>
      </c>
      <c r="AD28" s="90">
        <v>0.44700000000000001</v>
      </c>
      <c r="AE28" s="90">
        <v>0.46200000000000002</v>
      </c>
      <c r="AF28" s="90">
        <v>0.47799999999999998</v>
      </c>
      <c r="AG28" s="90">
        <v>0.495</v>
      </c>
      <c r="AH28" s="90">
        <v>0.51300000000000001</v>
      </c>
      <c r="AI28" s="90">
        <v>0.53200000000000003</v>
      </c>
      <c r="AJ28" s="90">
        <v>0.55300000000000005</v>
      </c>
      <c r="AK28" s="90">
        <v>0.57399999999999995</v>
      </c>
      <c r="AL28" s="90">
        <v>0.59699999999999998</v>
      </c>
      <c r="AM28" s="90">
        <v>0.622</v>
      </c>
      <c r="AN28" s="90">
        <v>0.64800000000000002</v>
      </c>
      <c r="AO28" s="90">
        <v>0.67700000000000005</v>
      </c>
      <c r="AP28" s="90">
        <v>0.70699999999999996</v>
      </c>
      <c r="AQ28" s="90">
        <v>0.74</v>
      </c>
      <c r="AR28" s="90">
        <v>0.77600000000000002</v>
      </c>
      <c r="AS28" s="90">
        <v>0.81399999999999995</v>
      </c>
      <c r="AT28" s="90">
        <v>0.85599999999999998</v>
      </c>
      <c r="AU28" s="90">
        <v>0.90100000000000002</v>
      </c>
      <c r="AV28" s="90">
        <v>0.95099999999999996</v>
      </c>
    </row>
    <row r="29" spans="1:48" x14ac:dyDescent="0.25">
      <c r="A29" s="88">
        <v>2</v>
      </c>
      <c r="B29" s="90">
        <v>0.21299999999999999</v>
      </c>
      <c r="C29" s="90">
        <v>0.217</v>
      </c>
      <c r="D29" s="90">
        <v>0.222</v>
      </c>
      <c r="E29" s="90">
        <v>0.22700000000000001</v>
      </c>
      <c r="F29" s="90">
        <v>0.23300000000000001</v>
      </c>
      <c r="G29" s="90">
        <v>0.23799999999999999</v>
      </c>
      <c r="H29" s="90">
        <v>0.24399999999999999</v>
      </c>
      <c r="I29" s="90">
        <v>0.25</v>
      </c>
      <c r="J29" s="90">
        <v>0.25600000000000001</v>
      </c>
      <c r="K29" s="90">
        <v>0.26200000000000001</v>
      </c>
      <c r="L29" s="90">
        <v>0.26900000000000002</v>
      </c>
      <c r="M29" s="90">
        <v>0.27500000000000002</v>
      </c>
      <c r="N29" s="90">
        <v>0.28199999999999997</v>
      </c>
      <c r="O29" s="90">
        <v>0.28999999999999998</v>
      </c>
      <c r="P29" s="90">
        <v>0.29699999999999999</v>
      </c>
      <c r="Q29" s="90">
        <v>0.30499999999999999</v>
      </c>
      <c r="R29" s="90">
        <v>0.314</v>
      </c>
      <c r="S29" s="90">
        <v>0.32200000000000001</v>
      </c>
      <c r="T29" s="90">
        <v>0.33100000000000002</v>
      </c>
      <c r="U29" s="90">
        <v>0.34100000000000003</v>
      </c>
      <c r="V29" s="90">
        <v>0.35</v>
      </c>
      <c r="W29" s="90">
        <v>0.36099999999999999</v>
      </c>
      <c r="X29" s="90">
        <v>0.371</v>
      </c>
      <c r="Y29" s="90">
        <v>0.38300000000000001</v>
      </c>
      <c r="Z29" s="90">
        <v>0.39400000000000002</v>
      </c>
      <c r="AA29" s="90">
        <v>0.40699999999999997</v>
      </c>
      <c r="AB29" s="90">
        <v>0.42</v>
      </c>
      <c r="AC29" s="90">
        <v>0.434</v>
      </c>
      <c r="AD29" s="90">
        <v>0.44800000000000001</v>
      </c>
      <c r="AE29" s="90">
        <v>0.46300000000000002</v>
      </c>
      <c r="AF29" s="90">
        <v>0.48</v>
      </c>
      <c r="AG29" s="90">
        <v>0.497</v>
      </c>
      <c r="AH29" s="90">
        <v>0.51500000000000001</v>
      </c>
      <c r="AI29" s="90">
        <v>0.53400000000000003</v>
      </c>
      <c r="AJ29" s="90">
        <v>0.55400000000000005</v>
      </c>
      <c r="AK29" s="90">
        <v>0.57599999999999996</v>
      </c>
      <c r="AL29" s="90">
        <v>0.59899999999999998</v>
      </c>
      <c r="AM29" s="90">
        <v>0.624</v>
      </c>
      <c r="AN29" s="90">
        <v>0.65100000000000002</v>
      </c>
      <c r="AO29" s="90">
        <v>0.67900000000000005</v>
      </c>
      <c r="AP29" s="90">
        <v>0.71</v>
      </c>
      <c r="AQ29" s="90">
        <v>0.74299999999999999</v>
      </c>
      <c r="AR29" s="90">
        <v>0.77900000000000003</v>
      </c>
      <c r="AS29" s="90">
        <v>0.81699999999999995</v>
      </c>
      <c r="AT29" s="90">
        <v>0.85899999999999999</v>
      </c>
      <c r="AU29" s="90">
        <v>0.90500000000000003</v>
      </c>
      <c r="AV29" s="90">
        <v>0.95499999999999996</v>
      </c>
    </row>
    <row r="30" spans="1:48" x14ac:dyDescent="0.25">
      <c r="A30" s="88">
        <v>3</v>
      </c>
      <c r="B30" s="90">
        <v>0.21299999999999999</v>
      </c>
      <c r="C30" s="90">
        <v>0.218</v>
      </c>
      <c r="D30" s="90">
        <v>0.223</v>
      </c>
      <c r="E30" s="90">
        <v>0.22800000000000001</v>
      </c>
      <c r="F30" s="90">
        <v>0.23300000000000001</v>
      </c>
      <c r="G30" s="90">
        <v>0.23899999999999999</v>
      </c>
      <c r="H30" s="90">
        <v>0.24399999999999999</v>
      </c>
      <c r="I30" s="90">
        <v>0.25</v>
      </c>
      <c r="J30" s="90">
        <v>0.25600000000000001</v>
      </c>
      <c r="K30" s="90">
        <v>0.26300000000000001</v>
      </c>
      <c r="L30" s="90">
        <v>0.26900000000000002</v>
      </c>
      <c r="M30" s="90">
        <v>0.27600000000000002</v>
      </c>
      <c r="N30" s="90">
        <v>0.28299999999999997</v>
      </c>
      <c r="O30" s="90">
        <v>0.28999999999999998</v>
      </c>
      <c r="P30" s="90">
        <v>0.29799999999999999</v>
      </c>
      <c r="Q30" s="90">
        <v>0.30599999999999999</v>
      </c>
      <c r="R30" s="90">
        <v>0.314</v>
      </c>
      <c r="S30" s="90">
        <v>0.32300000000000001</v>
      </c>
      <c r="T30" s="90">
        <v>0.33200000000000002</v>
      </c>
      <c r="U30" s="90">
        <v>0.34100000000000003</v>
      </c>
      <c r="V30" s="90">
        <v>0.35099999999999998</v>
      </c>
      <c r="W30" s="90">
        <v>0.36199999999999999</v>
      </c>
      <c r="X30" s="90">
        <v>0.372</v>
      </c>
      <c r="Y30" s="90">
        <v>0.38400000000000001</v>
      </c>
      <c r="Z30" s="90">
        <v>0.39500000000000002</v>
      </c>
      <c r="AA30" s="90">
        <v>0.40799999999999997</v>
      </c>
      <c r="AB30" s="90">
        <v>0.42099999999999999</v>
      </c>
      <c r="AC30" s="90">
        <v>0.435</v>
      </c>
      <c r="AD30" s="90">
        <v>0.44900000000000001</v>
      </c>
      <c r="AE30" s="90">
        <v>0.46500000000000002</v>
      </c>
      <c r="AF30" s="90">
        <v>0.48099999999999998</v>
      </c>
      <c r="AG30" s="90">
        <v>0.498</v>
      </c>
      <c r="AH30" s="90">
        <v>0.51600000000000001</v>
      </c>
      <c r="AI30" s="90">
        <v>0.53600000000000003</v>
      </c>
      <c r="AJ30" s="90">
        <v>0.55600000000000005</v>
      </c>
      <c r="AK30" s="90">
        <v>0.57799999999999996</v>
      </c>
      <c r="AL30" s="90">
        <v>0.60099999999999998</v>
      </c>
      <c r="AM30" s="90">
        <v>0.626</v>
      </c>
      <c r="AN30" s="90">
        <v>0.65300000000000002</v>
      </c>
      <c r="AO30" s="90">
        <v>0.68200000000000005</v>
      </c>
      <c r="AP30" s="90">
        <v>0.71299999999999997</v>
      </c>
      <c r="AQ30" s="90">
        <v>0.746</v>
      </c>
      <c r="AR30" s="90">
        <v>0.78200000000000003</v>
      </c>
      <c r="AS30" s="90">
        <v>0.82099999999999995</v>
      </c>
      <c r="AT30" s="90">
        <v>0.86299999999999999</v>
      </c>
      <c r="AU30" s="90">
        <v>0.90900000000000003</v>
      </c>
      <c r="AV30" s="90">
        <v>0.96</v>
      </c>
    </row>
    <row r="31" spans="1:48" x14ac:dyDescent="0.25">
      <c r="A31" s="88">
        <v>4</v>
      </c>
      <c r="B31" s="90">
        <v>0.21299999999999999</v>
      </c>
      <c r="C31" s="90">
        <v>0.218</v>
      </c>
      <c r="D31" s="90">
        <v>0.223</v>
      </c>
      <c r="E31" s="90">
        <v>0.22800000000000001</v>
      </c>
      <c r="F31" s="90">
        <v>0.23400000000000001</v>
      </c>
      <c r="G31" s="90">
        <v>0.23899999999999999</v>
      </c>
      <c r="H31" s="90">
        <v>0.245</v>
      </c>
      <c r="I31" s="90">
        <v>0.251</v>
      </c>
      <c r="J31" s="90">
        <v>0.25700000000000001</v>
      </c>
      <c r="K31" s="90">
        <v>0.26300000000000001</v>
      </c>
      <c r="L31" s="90">
        <v>0.27</v>
      </c>
      <c r="M31" s="90">
        <v>0.27700000000000002</v>
      </c>
      <c r="N31" s="90">
        <v>0.28399999999999997</v>
      </c>
      <c r="O31" s="90">
        <v>0.29099999999999998</v>
      </c>
      <c r="P31" s="90">
        <v>0.29899999999999999</v>
      </c>
      <c r="Q31" s="90">
        <v>0.307</v>
      </c>
      <c r="R31" s="90">
        <v>0.315</v>
      </c>
      <c r="S31" s="90">
        <v>0.32400000000000001</v>
      </c>
      <c r="T31" s="90">
        <v>0.33300000000000002</v>
      </c>
      <c r="U31" s="90">
        <v>0.34200000000000003</v>
      </c>
      <c r="V31" s="90">
        <v>0.35199999999999998</v>
      </c>
      <c r="W31" s="90">
        <v>0.36199999999999999</v>
      </c>
      <c r="X31" s="90">
        <v>0.373</v>
      </c>
      <c r="Y31" s="90">
        <v>0.38500000000000001</v>
      </c>
      <c r="Z31" s="90">
        <v>0.39600000000000002</v>
      </c>
      <c r="AA31" s="90">
        <v>0.40899999999999997</v>
      </c>
      <c r="AB31" s="90">
        <v>0.42199999999999999</v>
      </c>
      <c r="AC31" s="90">
        <v>0.436</v>
      </c>
      <c r="AD31" s="90">
        <v>0.45100000000000001</v>
      </c>
      <c r="AE31" s="90">
        <v>0.46600000000000003</v>
      </c>
      <c r="AF31" s="90">
        <v>0.48199999999999998</v>
      </c>
      <c r="AG31" s="90">
        <v>0.5</v>
      </c>
      <c r="AH31" s="90">
        <v>0.51800000000000002</v>
      </c>
      <c r="AI31" s="90">
        <v>0.53700000000000003</v>
      </c>
      <c r="AJ31" s="90">
        <v>0.55800000000000005</v>
      </c>
      <c r="AK31" s="90">
        <v>0.57999999999999996</v>
      </c>
      <c r="AL31" s="90">
        <v>0.60299999999999998</v>
      </c>
      <c r="AM31" s="90">
        <v>0.629</v>
      </c>
      <c r="AN31" s="90">
        <v>0.65600000000000003</v>
      </c>
      <c r="AO31" s="90">
        <v>0.68400000000000005</v>
      </c>
      <c r="AP31" s="90">
        <v>0.71499999999999997</v>
      </c>
      <c r="AQ31" s="90">
        <v>0.749</v>
      </c>
      <c r="AR31" s="90">
        <v>0.78500000000000003</v>
      </c>
      <c r="AS31" s="90">
        <v>0.82399999999999995</v>
      </c>
      <c r="AT31" s="90">
        <v>0.86699999999999999</v>
      </c>
      <c r="AU31" s="90">
        <v>0.91300000000000003</v>
      </c>
      <c r="AV31" s="90">
        <v>0.96399999999999997</v>
      </c>
    </row>
    <row r="32" spans="1:48" x14ac:dyDescent="0.25">
      <c r="A32" s="88">
        <v>5</v>
      </c>
      <c r="B32" s="90">
        <v>0.214</v>
      </c>
      <c r="C32" s="90">
        <v>0.219</v>
      </c>
      <c r="D32" s="90">
        <v>0.224</v>
      </c>
      <c r="E32" s="90">
        <v>0.22900000000000001</v>
      </c>
      <c r="F32" s="90">
        <v>0.23400000000000001</v>
      </c>
      <c r="G32" s="90">
        <v>0.24</v>
      </c>
      <c r="H32" s="90">
        <v>0.245</v>
      </c>
      <c r="I32" s="90">
        <v>0.251</v>
      </c>
      <c r="J32" s="90">
        <v>0.25700000000000001</v>
      </c>
      <c r="K32" s="90">
        <v>0.26400000000000001</v>
      </c>
      <c r="L32" s="90">
        <v>0.27</v>
      </c>
      <c r="M32" s="90">
        <v>0.27700000000000002</v>
      </c>
      <c r="N32" s="90">
        <v>0.28399999999999997</v>
      </c>
      <c r="O32" s="90">
        <v>0.29199999999999998</v>
      </c>
      <c r="P32" s="90">
        <v>0.29899999999999999</v>
      </c>
      <c r="Q32" s="90">
        <v>0.307</v>
      </c>
      <c r="R32" s="90">
        <v>0.316</v>
      </c>
      <c r="S32" s="90">
        <v>0.32400000000000001</v>
      </c>
      <c r="T32" s="90">
        <v>0.33300000000000002</v>
      </c>
      <c r="U32" s="90">
        <v>0.34300000000000003</v>
      </c>
      <c r="V32" s="90">
        <v>0.35299999999999998</v>
      </c>
      <c r="W32" s="90">
        <v>0.36299999999999999</v>
      </c>
      <c r="X32" s="90">
        <v>0.374</v>
      </c>
      <c r="Y32" s="90">
        <v>0.38600000000000001</v>
      </c>
      <c r="Z32" s="90">
        <v>0.39800000000000002</v>
      </c>
      <c r="AA32" s="90">
        <v>0.41</v>
      </c>
      <c r="AB32" s="90">
        <v>0.42299999999999999</v>
      </c>
      <c r="AC32" s="90">
        <v>0.437</v>
      </c>
      <c r="AD32" s="90">
        <v>0.45200000000000001</v>
      </c>
      <c r="AE32" s="90">
        <v>0.46700000000000003</v>
      </c>
      <c r="AF32" s="90">
        <v>0.48399999999999999</v>
      </c>
      <c r="AG32" s="90">
        <v>0.501</v>
      </c>
      <c r="AH32" s="90">
        <v>0.52</v>
      </c>
      <c r="AI32" s="90">
        <v>0.53900000000000003</v>
      </c>
      <c r="AJ32" s="90">
        <v>0.56000000000000005</v>
      </c>
      <c r="AK32" s="90">
        <v>0.58199999999999996</v>
      </c>
      <c r="AL32" s="90">
        <v>0.60599999999999998</v>
      </c>
      <c r="AM32" s="90">
        <v>0.63100000000000001</v>
      </c>
      <c r="AN32" s="90">
        <v>0.65800000000000003</v>
      </c>
      <c r="AO32" s="90">
        <v>0.68700000000000006</v>
      </c>
      <c r="AP32" s="90">
        <v>0.71799999999999997</v>
      </c>
      <c r="AQ32" s="90">
        <v>0.752</v>
      </c>
      <c r="AR32" s="90">
        <v>0.78800000000000003</v>
      </c>
      <c r="AS32" s="90">
        <v>0.82799999999999996</v>
      </c>
      <c r="AT32" s="90">
        <v>0.871</v>
      </c>
      <c r="AU32" s="90">
        <v>0.91700000000000004</v>
      </c>
      <c r="AV32" s="90">
        <v>0.96899999999999997</v>
      </c>
    </row>
    <row r="33" spans="1:48" x14ac:dyDescent="0.25">
      <c r="A33" s="88">
        <v>6</v>
      </c>
      <c r="B33" s="90">
        <v>0.214</v>
      </c>
      <c r="C33" s="90">
        <v>0.219</v>
      </c>
      <c r="D33" s="90">
        <v>0.224</v>
      </c>
      <c r="E33" s="90">
        <v>0.22900000000000001</v>
      </c>
      <c r="F33" s="90">
        <v>0.23400000000000001</v>
      </c>
      <c r="G33" s="90">
        <v>0.24</v>
      </c>
      <c r="H33" s="90">
        <v>0.246</v>
      </c>
      <c r="I33" s="90">
        <v>0.252</v>
      </c>
      <c r="J33" s="90">
        <v>0.25800000000000001</v>
      </c>
      <c r="K33" s="90">
        <v>0.26400000000000001</v>
      </c>
      <c r="L33" s="90">
        <v>0.27100000000000002</v>
      </c>
      <c r="M33" s="90">
        <v>0.27800000000000002</v>
      </c>
      <c r="N33" s="90">
        <v>0.28499999999999998</v>
      </c>
      <c r="O33" s="90">
        <v>0.29199999999999998</v>
      </c>
      <c r="P33" s="90">
        <v>0.3</v>
      </c>
      <c r="Q33" s="90">
        <v>0.308</v>
      </c>
      <c r="R33" s="90">
        <v>0.316</v>
      </c>
      <c r="S33" s="90">
        <v>0.32500000000000001</v>
      </c>
      <c r="T33" s="90">
        <v>0.33400000000000002</v>
      </c>
      <c r="U33" s="90">
        <v>0.34399999999999997</v>
      </c>
      <c r="V33" s="90">
        <v>0.35399999999999998</v>
      </c>
      <c r="W33" s="90">
        <v>0.36399999999999999</v>
      </c>
      <c r="X33" s="90">
        <v>0.375</v>
      </c>
      <c r="Y33" s="90">
        <v>0.38700000000000001</v>
      </c>
      <c r="Z33" s="90">
        <v>0.39900000000000002</v>
      </c>
      <c r="AA33" s="90">
        <v>0.41099999999999998</v>
      </c>
      <c r="AB33" s="90">
        <v>0.42399999999999999</v>
      </c>
      <c r="AC33" s="90">
        <v>0.438</v>
      </c>
      <c r="AD33" s="90">
        <v>0.45300000000000001</v>
      </c>
      <c r="AE33" s="90">
        <v>0.46899999999999997</v>
      </c>
      <c r="AF33" s="90">
        <v>0.48499999999999999</v>
      </c>
      <c r="AG33" s="90">
        <v>0.503</v>
      </c>
      <c r="AH33" s="90">
        <v>0.52100000000000002</v>
      </c>
      <c r="AI33" s="90">
        <v>0.54100000000000004</v>
      </c>
      <c r="AJ33" s="90">
        <v>0.56200000000000006</v>
      </c>
      <c r="AK33" s="90">
        <v>0.58399999999999996</v>
      </c>
      <c r="AL33" s="90">
        <v>0.60799999999999998</v>
      </c>
      <c r="AM33" s="90">
        <v>0.63300000000000001</v>
      </c>
      <c r="AN33" s="90">
        <v>0.66</v>
      </c>
      <c r="AO33" s="90">
        <v>0.68899999999999995</v>
      </c>
      <c r="AP33" s="90">
        <v>0.72099999999999997</v>
      </c>
      <c r="AQ33" s="90">
        <v>0.755</v>
      </c>
      <c r="AR33" s="90">
        <v>0.79100000000000004</v>
      </c>
      <c r="AS33" s="90">
        <v>0.83099999999999996</v>
      </c>
      <c r="AT33" s="90">
        <v>0.874</v>
      </c>
      <c r="AU33" s="90">
        <v>0.92200000000000004</v>
      </c>
      <c r="AV33" s="90">
        <v>0.97299999999999998</v>
      </c>
    </row>
    <row r="34" spans="1:48" x14ac:dyDescent="0.25">
      <c r="A34" s="88">
        <v>7</v>
      </c>
      <c r="B34" s="90">
        <v>0.215</v>
      </c>
      <c r="C34" s="90">
        <v>0.219</v>
      </c>
      <c r="D34" s="90">
        <v>0.224</v>
      </c>
      <c r="E34" s="90">
        <v>0.23</v>
      </c>
      <c r="F34" s="90">
        <v>0.23499999999999999</v>
      </c>
      <c r="G34" s="90">
        <v>0.24</v>
      </c>
      <c r="H34" s="90">
        <v>0.246</v>
      </c>
      <c r="I34" s="90">
        <v>0.252</v>
      </c>
      <c r="J34" s="90">
        <v>0.25800000000000001</v>
      </c>
      <c r="K34" s="90">
        <v>0.26500000000000001</v>
      </c>
      <c r="L34" s="90">
        <v>0.27100000000000002</v>
      </c>
      <c r="M34" s="90">
        <v>0.27800000000000002</v>
      </c>
      <c r="N34" s="90">
        <v>0.28499999999999998</v>
      </c>
      <c r="O34" s="90">
        <v>0.29299999999999998</v>
      </c>
      <c r="P34" s="90">
        <v>0.30099999999999999</v>
      </c>
      <c r="Q34" s="90">
        <v>0.309</v>
      </c>
      <c r="R34" s="90">
        <v>0.317</v>
      </c>
      <c r="S34" s="90">
        <v>0.32600000000000001</v>
      </c>
      <c r="T34" s="90">
        <v>0.33500000000000002</v>
      </c>
      <c r="U34" s="90">
        <v>0.34499999999999997</v>
      </c>
      <c r="V34" s="90">
        <v>0.35499999999999998</v>
      </c>
      <c r="W34" s="90">
        <v>0.36499999999999999</v>
      </c>
      <c r="X34" s="90">
        <v>0.376</v>
      </c>
      <c r="Y34" s="90">
        <v>0.38800000000000001</v>
      </c>
      <c r="Z34" s="90">
        <v>0.4</v>
      </c>
      <c r="AA34" s="90">
        <v>0.41199999999999998</v>
      </c>
      <c r="AB34" s="90">
        <v>0.42599999999999999</v>
      </c>
      <c r="AC34" s="90">
        <v>0.44</v>
      </c>
      <c r="AD34" s="90">
        <v>0.45400000000000001</v>
      </c>
      <c r="AE34" s="90">
        <v>0.47</v>
      </c>
      <c r="AF34" s="90">
        <v>0.48699999999999999</v>
      </c>
      <c r="AG34" s="90">
        <v>0.504</v>
      </c>
      <c r="AH34" s="90">
        <v>0.52300000000000002</v>
      </c>
      <c r="AI34" s="90">
        <v>0.54200000000000004</v>
      </c>
      <c r="AJ34" s="90">
        <v>0.56299999999999994</v>
      </c>
      <c r="AK34" s="90">
        <v>0.58599999999999997</v>
      </c>
      <c r="AL34" s="90">
        <v>0.61</v>
      </c>
      <c r="AM34" s="90">
        <v>0.63500000000000001</v>
      </c>
      <c r="AN34" s="90">
        <v>0.66300000000000003</v>
      </c>
      <c r="AO34" s="90">
        <v>0.69199999999999995</v>
      </c>
      <c r="AP34" s="90">
        <v>0.72399999999999998</v>
      </c>
      <c r="AQ34" s="90">
        <v>0.75800000000000001</v>
      </c>
      <c r="AR34" s="90">
        <v>0.79500000000000004</v>
      </c>
      <c r="AS34" s="90">
        <v>0.83499999999999996</v>
      </c>
      <c r="AT34" s="90">
        <v>0.878</v>
      </c>
      <c r="AU34" s="90">
        <v>0.92600000000000005</v>
      </c>
      <c r="AV34" s="90">
        <v>0.97799999999999998</v>
      </c>
    </row>
    <row r="35" spans="1:48" x14ac:dyDescent="0.25">
      <c r="A35" s="88">
        <v>8</v>
      </c>
      <c r="B35" s="90">
        <v>0.215</v>
      </c>
      <c r="C35" s="90">
        <v>0.22</v>
      </c>
      <c r="D35" s="90">
        <v>0.22500000000000001</v>
      </c>
      <c r="E35" s="90">
        <v>0.23</v>
      </c>
      <c r="F35" s="90">
        <v>0.23499999999999999</v>
      </c>
      <c r="G35" s="90">
        <v>0.24099999999999999</v>
      </c>
      <c r="H35" s="90">
        <v>0.247</v>
      </c>
      <c r="I35" s="90">
        <v>0.253</v>
      </c>
      <c r="J35" s="90">
        <v>0.25900000000000001</v>
      </c>
      <c r="K35" s="90">
        <v>0.26500000000000001</v>
      </c>
      <c r="L35" s="90">
        <v>0.27200000000000002</v>
      </c>
      <c r="M35" s="90">
        <v>0.27900000000000003</v>
      </c>
      <c r="N35" s="90">
        <v>0.28599999999999998</v>
      </c>
      <c r="O35" s="90">
        <v>0.29399999999999998</v>
      </c>
      <c r="P35" s="90">
        <v>0.30099999999999999</v>
      </c>
      <c r="Q35" s="90">
        <v>0.309</v>
      </c>
      <c r="R35" s="90">
        <v>0.318</v>
      </c>
      <c r="S35" s="90">
        <v>0.32700000000000001</v>
      </c>
      <c r="T35" s="90">
        <v>0.33600000000000002</v>
      </c>
      <c r="U35" s="90">
        <v>0.34499999999999997</v>
      </c>
      <c r="V35" s="90">
        <v>0.35499999999999998</v>
      </c>
      <c r="W35" s="90">
        <v>0.36599999999999999</v>
      </c>
      <c r="X35" s="90">
        <v>0.377</v>
      </c>
      <c r="Y35" s="90">
        <v>0.38800000000000001</v>
      </c>
      <c r="Z35" s="90">
        <v>0.40100000000000002</v>
      </c>
      <c r="AA35" s="90">
        <v>0.41299999999999998</v>
      </c>
      <c r="AB35" s="90">
        <v>0.42699999999999999</v>
      </c>
      <c r="AC35" s="90">
        <v>0.441</v>
      </c>
      <c r="AD35" s="90">
        <v>0.45600000000000002</v>
      </c>
      <c r="AE35" s="90">
        <v>0.47099999999999997</v>
      </c>
      <c r="AF35" s="90">
        <v>0.48799999999999999</v>
      </c>
      <c r="AG35" s="90">
        <v>0.50600000000000001</v>
      </c>
      <c r="AH35" s="90">
        <v>0.52400000000000002</v>
      </c>
      <c r="AI35" s="90">
        <v>0.54400000000000004</v>
      </c>
      <c r="AJ35" s="90">
        <v>0.56499999999999995</v>
      </c>
      <c r="AK35" s="90">
        <v>0.58799999999999997</v>
      </c>
      <c r="AL35" s="90">
        <v>0.61199999999999999</v>
      </c>
      <c r="AM35" s="90">
        <v>0.63700000000000001</v>
      </c>
      <c r="AN35" s="90">
        <v>0.66500000000000004</v>
      </c>
      <c r="AO35" s="90">
        <v>0.69399999999999995</v>
      </c>
      <c r="AP35" s="90">
        <v>0.72599999999999998</v>
      </c>
      <c r="AQ35" s="90">
        <v>0.76100000000000001</v>
      </c>
      <c r="AR35" s="90">
        <v>0.79800000000000004</v>
      </c>
      <c r="AS35" s="90">
        <v>0.83799999999999997</v>
      </c>
      <c r="AT35" s="90">
        <v>0.88200000000000001</v>
      </c>
      <c r="AU35" s="90">
        <v>0.93</v>
      </c>
      <c r="AV35" s="90">
        <v>0.98199999999999998</v>
      </c>
    </row>
    <row r="36" spans="1:48" x14ac:dyDescent="0.25">
      <c r="A36" s="88">
        <v>9</v>
      </c>
      <c r="B36" s="90">
        <v>0.215</v>
      </c>
      <c r="C36" s="90">
        <v>0.22</v>
      </c>
      <c r="D36" s="90">
        <v>0.22500000000000001</v>
      </c>
      <c r="E36" s="90">
        <v>0.23</v>
      </c>
      <c r="F36" s="90">
        <v>0.23599999999999999</v>
      </c>
      <c r="G36" s="90">
        <v>0.24099999999999999</v>
      </c>
      <c r="H36" s="90">
        <v>0.247</v>
      </c>
      <c r="I36" s="90">
        <v>0.253</v>
      </c>
      <c r="J36" s="90">
        <v>0.25900000000000001</v>
      </c>
      <c r="K36" s="90">
        <v>0.26600000000000001</v>
      </c>
      <c r="L36" s="90">
        <v>0.27300000000000002</v>
      </c>
      <c r="M36" s="90">
        <v>0.27900000000000003</v>
      </c>
      <c r="N36" s="90">
        <v>0.28699999999999998</v>
      </c>
      <c r="O36" s="90">
        <v>0.29399999999999998</v>
      </c>
      <c r="P36" s="90">
        <v>0.30199999999999999</v>
      </c>
      <c r="Q36" s="90">
        <v>0.31</v>
      </c>
      <c r="R36" s="90">
        <v>0.31900000000000001</v>
      </c>
      <c r="S36" s="90">
        <v>0.32700000000000001</v>
      </c>
      <c r="T36" s="90">
        <v>0.33700000000000002</v>
      </c>
      <c r="U36" s="90">
        <v>0.34599999999999997</v>
      </c>
      <c r="V36" s="90">
        <v>0.35599999999999998</v>
      </c>
      <c r="W36" s="90">
        <v>0.36699999999999999</v>
      </c>
      <c r="X36" s="90">
        <v>0.378</v>
      </c>
      <c r="Y36" s="90">
        <v>0.38900000000000001</v>
      </c>
      <c r="Z36" s="90">
        <v>0.40200000000000002</v>
      </c>
      <c r="AA36" s="90">
        <v>0.41399999999999998</v>
      </c>
      <c r="AB36" s="90">
        <v>0.42799999999999999</v>
      </c>
      <c r="AC36" s="90">
        <v>0.442</v>
      </c>
      <c r="AD36" s="90">
        <v>0.45700000000000002</v>
      </c>
      <c r="AE36" s="90">
        <v>0.47299999999999998</v>
      </c>
      <c r="AF36" s="90">
        <v>0.48899999999999999</v>
      </c>
      <c r="AG36" s="90">
        <v>0.50700000000000001</v>
      </c>
      <c r="AH36" s="90">
        <v>0.52600000000000002</v>
      </c>
      <c r="AI36" s="90">
        <v>0.54600000000000004</v>
      </c>
      <c r="AJ36" s="90">
        <v>0.56699999999999995</v>
      </c>
      <c r="AK36" s="90">
        <v>0.59</v>
      </c>
      <c r="AL36" s="90">
        <v>0.61399999999999999</v>
      </c>
      <c r="AM36" s="90">
        <v>0.64</v>
      </c>
      <c r="AN36" s="90">
        <v>0.66700000000000004</v>
      </c>
      <c r="AO36" s="90">
        <v>0.69699999999999995</v>
      </c>
      <c r="AP36" s="90">
        <v>0.72899999999999998</v>
      </c>
      <c r="AQ36" s="90">
        <v>0.76400000000000001</v>
      </c>
      <c r="AR36" s="90">
        <v>0.80100000000000005</v>
      </c>
      <c r="AS36" s="90">
        <v>0.84199999999999997</v>
      </c>
      <c r="AT36" s="90">
        <v>0.88600000000000001</v>
      </c>
      <c r="AU36" s="90">
        <v>0.93400000000000005</v>
      </c>
      <c r="AV36" s="90">
        <v>0.98699999999999999</v>
      </c>
    </row>
    <row r="37" spans="1:48" x14ac:dyDescent="0.25">
      <c r="A37" s="88">
        <v>10</v>
      </c>
      <c r="B37" s="90">
        <v>0.216</v>
      </c>
      <c r="C37" s="90">
        <v>0.221</v>
      </c>
      <c r="D37" s="90">
        <v>0.22600000000000001</v>
      </c>
      <c r="E37" s="90">
        <v>0.23100000000000001</v>
      </c>
      <c r="F37" s="90">
        <v>0.23599999999999999</v>
      </c>
      <c r="G37" s="90">
        <v>0.24199999999999999</v>
      </c>
      <c r="H37" s="90">
        <v>0.248</v>
      </c>
      <c r="I37" s="90">
        <v>0.254</v>
      </c>
      <c r="J37" s="90">
        <v>0.26</v>
      </c>
      <c r="K37" s="90">
        <v>0.26600000000000001</v>
      </c>
      <c r="L37" s="90">
        <v>0.27300000000000002</v>
      </c>
      <c r="M37" s="90">
        <v>0.28000000000000003</v>
      </c>
      <c r="N37" s="90">
        <v>0.28699999999999998</v>
      </c>
      <c r="O37" s="90">
        <v>0.29499999999999998</v>
      </c>
      <c r="P37" s="90">
        <v>0.30299999999999999</v>
      </c>
      <c r="Q37" s="90">
        <v>0.311</v>
      </c>
      <c r="R37" s="90">
        <v>0.31900000000000001</v>
      </c>
      <c r="S37" s="90">
        <v>0.32800000000000001</v>
      </c>
      <c r="T37" s="90">
        <v>0.33700000000000002</v>
      </c>
      <c r="U37" s="90">
        <v>0.34699999999999998</v>
      </c>
      <c r="V37" s="90">
        <v>0.35699999999999998</v>
      </c>
      <c r="W37" s="90">
        <v>0.36799999999999999</v>
      </c>
      <c r="X37" s="90">
        <v>0.379</v>
      </c>
      <c r="Y37" s="90">
        <v>0.39</v>
      </c>
      <c r="Z37" s="90">
        <v>0.40300000000000002</v>
      </c>
      <c r="AA37" s="90">
        <v>0.41499999999999998</v>
      </c>
      <c r="AB37" s="90">
        <v>0.42899999999999999</v>
      </c>
      <c r="AC37" s="90">
        <v>0.443</v>
      </c>
      <c r="AD37" s="90">
        <v>0.45800000000000002</v>
      </c>
      <c r="AE37" s="90">
        <v>0.47399999999999998</v>
      </c>
      <c r="AF37" s="90">
        <v>0.49099999999999999</v>
      </c>
      <c r="AG37" s="90">
        <v>0.50900000000000001</v>
      </c>
      <c r="AH37" s="90">
        <v>0.52700000000000002</v>
      </c>
      <c r="AI37" s="90">
        <v>0.54700000000000004</v>
      </c>
      <c r="AJ37" s="90">
        <v>0.56899999999999995</v>
      </c>
      <c r="AK37" s="90">
        <v>0.59099999999999997</v>
      </c>
      <c r="AL37" s="90">
        <v>0.61599999999999999</v>
      </c>
      <c r="AM37" s="90">
        <v>0.64200000000000002</v>
      </c>
      <c r="AN37" s="90">
        <v>0.67</v>
      </c>
      <c r="AO37" s="90">
        <v>0.7</v>
      </c>
      <c r="AP37" s="90">
        <v>0.73199999999999998</v>
      </c>
      <c r="AQ37" s="90">
        <v>0.76700000000000002</v>
      </c>
      <c r="AR37" s="90">
        <v>0.80400000000000005</v>
      </c>
      <c r="AS37" s="90">
        <v>0.84499999999999997</v>
      </c>
      <c r="AT37" s="90">
        <v>0.88900000000000001</v>
      </c>
      <c r="AU37" s="90">
        <v>0.93799999999999994</v>
      </c>
      <c r="AV37" s="90">
        <v>0.99099999999999999</v>
      </c>
    </row>
    <row r="38" spans="1:48" x14ac:dyDescent="0.25">
      <c r="A38" s="88">
        <v>11</v>
      </c>
      <c r="B38" s="90">
        <v>0.216</v>
      </c>
      <c r="C38" s="90">
        <v>0.221</v>
      </c>
      <c r="D38" s="90">
        <v>0.22600000000000001</v>
      </c>
      <c r="E38" s="90">
        <v>0.23100000000000001</v>
      </c>
      <c r="F38" s="90">
        <v>0.23699999999999999</v>
      </c>
      <c r="G38" s="90">
        <v>0.24199999999999999</v>
      </c>
      <c r="H38" s="90">
        <v>0.248</v>
      </c>
      <c r="I38" s="90">
        <v>0.254</v>
      </c>
      <c r="J38" s="90">
        <v>0.26</v>
      </c>
      <c r="K38" s="90">
        <v>0.26700000000000002</v>
      </c>
      <c r="L38" s="90">
        <v>0.27400000000000002</v>
      </c>
      <c r="M38" s="90">
        <v>0.28100000000000003</v>
      </c>
      <c r="N38" s="90">
        <v>0.28799999999999998</v>
      </c>
      <c r="O38" s="90">
        <v>0.29499999999999998</v>
      </c>
      <c r="P38" s="90">
        <v>0.30299999999999999</v>
      </c>
      <c r="Q38" s="90">
        <v>0.311</v>
      </c>
      <c r="R38" s="90">
        <v>0.32</v>
      </c>
      <c r="S38" s="90">
        <v>0.32900000000000001</v>
      </c>
      <c r="T38" s="90">
        <v>0.33800000000000002</v>
      </c>
      <c r="U38" s="90">
        <v>0.34799999999999998</v>
      </c>
      <c r="V38" s="90">
        <v>0.35799999999999998</v>
      </c>
      <c r="W38" s="90">
        <v>0.36899999999999999</v>
      </c>
      <c r="X38" s="90">
        <v>0.38</v>
      </c>
      <c r="Y38" s="90">
        <v>0.39100000000000001</v>
      </c>
      <c r="Z38" s="90">
        <v>0.40400000000000003</v>
      </c>
      <c r="AA38" s="90">
        <v>0.41699999999999998</v>
      </c>
      <c r="AB38" s="90">
        <v>0.43</v>
      </c>
      <c r="AC38" s="90">
        <v>0.44400000000000001</v>
      </c>
      <c r="AD38" s="90">
        <v>0.45900000000000002</v>
      </c>
      <c r="AE38" s="90">
        <v>0.47499999999999998</v>
      </c>
      <c r="AF38" s="90">
        <v>0.49199999999999999</v>
      </c>
      <c r="AG38" s="90">
        <v>0.51</v>
      </c>
      <c r="AH38" s="90">
        <v>0.52900000000000003</v>
      </c>
      <c r="AI38" s="90">
        <v>0.54900000000000004</v>
      </c>
      <c r="AJ38" s="90">
        <v>0.57099999999999995</v>
      </c>
      <c r="AK38" s="90">
        <v>0.59299999999999997</v>
      </c>
      <c r="AL38" s="90">
        <v>0.61799999999999999</v>
      </c>
      <c r="AM38" s="90">
        <v>0.64400000000000002</v>
      </c>
      <c r="AN38" s="90">
        <v>0.67200000000000004</v>
      </c>
      <c r="AO38" s="90">
        <v>0.70199999999999996</v>
      </c>
      <c r="AP38" s="90">
        <v>0.73399999999999999</v>
      </c>
      <c r="AQ38" s="90">
        <v>0.76900000000000002</v>
      </c>
      <c r="AR38" s="90">
        <v>0.80700000000000005</v>
      </c>
      <c r="AS38" s="90">
        <v>0.84799999999999998</v>
      </c>
      <c r="AT38" s="90">
        <v>0.89300000000000002</v>
      </c>
      <c r="AU38" s="90">
        <v>0.94199999999999995</v>
      </c>
      <c r="AV38" s="90">
        <v>0.996</v>
      </c>
    </row>
    <row r="44" spans="1:48" ht="39.65" customHeight="1" x14ac:dyDescent="0.25"/>
    <row r="46" spans="1:48" ht="27.65" customHeight="1" x14ac:dyDescent="0.25"/>
  </sheetData>
  <sheetProtection algorithmName="SHA-512" hashValue="2j0kFrQ33aQAzPdScgFUKnJ8VdKKBLGUVPbG2BNUIB5ALsT5puBLQFPxsri9DliG3fhIKXPTz7Llc/Ws/p7j7w==" saltValue="T7ctCpViu22piqUeI4o2UQ==" spinCount="100000" sheet="1" objects="1" scenarios="1"/>
  <conditionalFormatting sqref="A6:A16">
    <cfRule type="expression" dxfId="253" priority="29" stopIfTrue="1">
      <formula>MOD(ROW(),2)=0</formula>
    </cfRule>
    <cfRule type="expression" dxfId="252" priority="30" stopIfTrue="1">
      <formula>MOD(ROW(),2)&lt;&gt;0</formula>
    </cfRule>
  </conditionalFormatting>
  <conditionalFormatting sqref="B6:AV21">
    <cfRule type="expression" dxfId="251" priority="31" stopIfTrue="1">
      <formula>MOD(ROW(),2)=0</formula>
    </cfRule>
    <cfRule type="expression" dxfId="250" priority="32" stopIfTrue="1">
      <formula>MOD(ROW(),2)&lt;&gt;0</formula>
    </cfRule>
  </conditionalFormatting>
  <conditionalFormatting sqref="A17:A20">
    <cfRule type="expression" dxfId="249" priority="21" stopIfTrue="1">
      <formula>MOD(ROW(),2)=0</formula>
    </cfRule>
    <cfRule type="expression" dxfId="248" priority="22" stopIfTrue="1">
      <formula>MOD(ROW(),2)&lt;&gt;0</formula>
    </cfRule>
  </conditionalFormatting>
  <conditionalFormatting sqref="B17:B18 B20:B21">
    <cfRule type="expression" dxfId="247" priority="23" stopIfTrue="1">
      <formula>MOD(ROW(),2)=0</formula>
    </cfRule>
    <cfRule type="expression" dxfId="246" priority="24" stopIfTrue="1">
      <formula>MOD(ROW(),2)&lt;&gt;0</formula>
    </cfRule>
  </conditionalFormatting>
  <conditionalFormatting sqref="A26:A38">
    <cfRule type="expression" dxfId="245" priority="15" stopIfTrue="1">
      <formula>MOD(ROW(),2)=0</formula>
    </cfRule>
    <cfRule type="expression" dxfId="244" priority="16" stopIfTrue="1">
      <formula>MOD(ROW(),2)&lt;&gt;0</formula>
    </cfRule>
  </conditionalFormatting>
  <conditionalFormatting sqref="B26:AV38">
    <cfRule type="expression" dxfId="243" priority="17" stopIfTrue="1">
      <formula>MOD(ROW(),2)=0</formula>
    </cfRule>
    <cfRule type="expression" dxfId="242" priority="18" stopIfTrue="1">
      <formula>MOD(ROW(),2)&lt;&gt;0</formula>
    </cfRule>
  </conditionalFormatting>
  <conditionalFormatting sqref="B19">
    <cfRule type="expression" dxfId="241" priority="13" stopIfTrue="1">
      <formula>MOD(ROW(),2)=0</formula>
    </cfRule>
    <cfRule type="expression" dxfId="240" priority="14" stopIfTrue="1">
      <formula>MOD(ROW(),2)&lt;&gt;0</formula>
    </cfRule>
  </conditionalFormatting>
  <conditionalFormatting sqref="A21">
    <cfRule type="expression" dxfId="239" priority="1" stopIfTrue="1">
      <formula>MOD(ROW(),2)=0</formula>
    </cfRule>
    <cfRule type="expression" dxfId="238" priority="2" stopIfTrue="1">
      <formula>MOD(ROW(),2)&lt;&gt;0</formula>
    </cfRule>
  </conditionalFormatting>
  <hyperlinks>
    <hyperlink ref="B24" location="Assumptions!A1" display="Assumptions" xr:uid="{0DE40636-1F7D-4714-9CB9-7F9BA95C98FD}"/>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sheetPr codeName="Sheet99"/>
  <dimension ref="A1:AQ46"/>
  <sheetViews>
    <sheetView showGridLines="0" zoomScale="85" zoomScaleNormal="85" workbookViewId="0">
      <selection activeCell="B18" sqref="B18"/>
    </sheetView>
  </sheetViews>
  <sheetFormatPr defaultColWidth="10" defaultRowHeight="12.5" x14ac:dyDescent="0.25"/>
  <cols>
    <col min="1" max="1" width="31.81640625" style="28" customWidth="1"/>
    <col min="2" max="43" width="22.81640625" style="28" customWidth="1"/>
    <col min="44" max="16384" width="10" style="28"/>
  </cols>
  <sheetData>
    <row r="1" spans="1:43" ht="20" x14ac:dyDescent="0.4">
      <c r="A1" s="40" t="s">
        <v>227</v>
      </c>
      <c r="B1" s="41"/>
      <c r="C1" s="41"/>
      <c r="D1" s="41"/>
      <c r="E1" s="41"/>
      <c r="F1" s="41"/>
      <c r="G1" s="41"/>
      <c r="H1" s="41"/>
      <c r="I1" s="41"/>
    </row>
    <row r="2" spans="1:43" ht="15.5" x14ac:dyDescent="0.35">
      <c r="A2" s="42" t="str">
        <f>IF(title="&gt; Enter workbook title here","Enter workbook title in Cover sheet",title)</f>
        <v>Fire Northern Ireland - Consolidated Factor Spreadsheet</v>
      </c>
      <c r="B2" s="43"/>
      <c r="C2" s="43"/>
      <c r="D2" s="43"/>
      <c r="E2" s="43"/>
      <c r="F2" s="43"/>
      <c r="G2" s="43"/>
      <c r="H2" s="43"/>
      <c r="I2" s="43"/>
    </row>
    <row r="3" spans="1:43" ht="15.5" x14ac:dyDescent="0.35">
      <c r="A3" s="44" t="str">
        <f>TABLE_FACTOR_TYPE_1&amp;" - x-"&amp;TABLE_SERIES_NUMBER_1</f>
        <v>Scheme pays AA - x-619</v>
      </c>
      <c r="B3" s="43"/>
      <c r="C3" s="43"/>
      <c r="D3" s="43"/>
      <c r="E3" s="43"/>
      <c r="F3" s="43"/>
      <c r="G3" s="43"/>
      <c r="H3" s="43"/>
      <c r="I3" s="43"/>
    </row>
    <row r="4" spans="1:43" x14ac:dyDescent="0.25">
      <c r="A4" s="45"/>
    </row>
    <row r="6" spans="1:43" ht="13" x14ac:dyDescent="0.3">
      <c r="A6" s="75" t="s">
        <v>562</v>
      </c>
      <c r="B6" s="159" t="s">
        <v>563</v>
      </c>
      <c r="C6" s="159"/>
      <c r="D6" s="159"/>
      <c r="E6" s="159"/>
      <c r="F6" s="159"/>
      <c r="G6" s="159"/>
      <c r="H6" s="159"/>
      <c r="I6" s="159"/>
      <c r="J6" s="159"/>
      <c r="K6" s="159"/>
      <c r="L6" s="159"/>
      <c r="M6" s="159"/>
      <c r="N6" s="159"/>
      <c r="O6" s="159"/>
      <c r="P6" s="159"/>
      <c r="Q6" s="159"/>
      <c r="R6" s="159"/>
      <c r="S6" s="159"/>
      <c r="T6" s="159"/>
      <c r="U6" s="159"/>
      <c r="V6" s="159"/>
      <c r="W6" s="159"/>
      <c r="X6" s="159"/>
      <c r="Y6" s="159"/>
      <c r="Z6" s="159"/>
      <c r="AA6" s="159"/>
      <c r="AB6" s="159"/>
      <c r="AC6" s="159"/>
      <c r="AD6" s="159"/>
      <c r="AE6" s="159"/>
      <c r="AF6" s="159"/>
      <c r="AG6" s="159"/>
      <c r="AH6" s="159"/>
      <c r="AI6" s="159"/>
      <c r="AJ6" s="159"/>
      <c r="AK6" s="159"/>
      <c r="AL6" s="159"/>
      <c r="AM6" s="159"/>
      <c r="AN6" s="159"/>
      <c r="AO6" s="159"/>
      <c r="AP6" s="159"/>
      <c r="AQ6" s="159"/>
    </row>
    <row r="7" spans="1:43" x14ac:dyDescent="0.25">
      <c r="A7" s="77" t="s">
        <v>305</v>
      </c>
      <c r="B7" s="159" t="s">
        <v>319</v>
      </c>
      <c r="C7" s="159"/>
      <c r="D7" s="159"/>
      <c r="E7" s="159"/>
      <c r="F7" s="159"/>
      <c r="G7" s="159"/>
      <c r="H7" s="159"/>
      <c r="I7" s="159"/>
      <c r="J7" s="159"/>
      <c r="K7" s="159"/>
      <c r="L7" s="159"/>
      <c r="M7" s="159"/>
      <c r="N7" s="159"/>
      <c r="O7" s="159"/>
      <c r="P7" s="159"/>
      <c r="Q7" s="159"/>
      <c r="R7" s="159"/>
      <c r="S7" s="159"/>
      <c r="T7" s="159"/>
      <c r="U7" s="159"/>
      <c r="V7" s="159"/>
      <c r="W7" s="159"/>
      <c r="X7" s="159"/>
      <c r="Y7" s="159"/>
      <c r="Z7" s="159"/>
      <c r="AA7" s="159"/>
      <c r="AB7" s="159"/>
      <c r="AC7" s="159"/>
      <c r="AD7" s="159"/>
      <c r="AE7" s="159"/>
      <c r="AF7" s="159"/>
      <c r="AG7" s="159"/>
      <c r="AH7" s="159"/>
      <c r="AI7" s="159"/>
      <c r="AJ7" s="159"/>
      <c r="AK7" s="159"/>
      <c r="AL7" s="159"/>
      <c r="AM7" s="159"/>
      <c r="AN7" s="159"/>
      <c r="AO7" s="159"/>
      <c r="AP7" s="159"/>
      <c r="AQ7" s="159"/>
    </row>
    <row r="8" spans="1:43" x14ac:dyDescent="0.25">
      <c r="A8" s="77" t="s">
        <v>306</v>
      </c>
      <c r="B8" s="159" t="s">
        <v>332</v>
      </c>
      <c r="C8" s="159"/>
      <c r="D8" s="159"/>
      <c r="E8" s="159"/>
      <c r="F8" s="159"/>
      <c r="G8" s="159"/>
      <c r="H8" s="159"/>
      <c r="I8" s="159"/>
      <c r="J8" s="159"/>
      <c r="K8" s="159"/>
      <c r="L8" s="159"/>
      <c r="M8" s="159"/>
      <c r="N8" s="159"/>
      <c r="O8" s="159"/>
      <c r="P8" s="159"/>
      <c r="Q8" s="159"/>
      <c r="R8" s="159"/>
      <c r="S8" s="159"/>
      <c r="T8" s="159"/>
      <c r="U8" s="159"/>
      <c r="V8" s="159"/>
      <c r="W8" s="159"/>
      <c r="X8" s="159"/>
      <c r="Y8" s="159"/>
      <c r="Z8" s="159"/>
      <c r="AA8" s="159"/>
      <c r="AB8" s="159"/>
      <c r="AC8" s="159"/>
      <c r="AD8" s="159"/>
      <c r="AE8" s="159"/>
      <c r="AF8" s="159"/>
      <c r="AG8" s="159"/>
      <c r="AH8" s="159"/>
      <c r="AI8" s="159"/>
      <c r="AJ8" s="159"/>
      <c r="AK8" s="159"/>
      <c r="AL8" s="159"/>
      <c r="AM8" s="159"/>
      <c r="AN8" s="159"/>
      <c r="AO8" s="159"/>
      <c r="AP8" s="159"/>
      <c r="AQ8" s="159"/>
    </row>
    <row r="9" spans="1:43" x14ac:dyDescent="0.25">
      <c r="A9" s="77" t="s">
        <v>307</v>
      </c>
      <c r="B9" s="159" t="s">
        <v>482</v>
      </c>
      <c r="C9" s="159"/>
      <c r="D9" s="159"/>
      <c r="E9" s="159"/>
      <c r="F9" s="159"/>
      <c r="G9" s="159"/>
      <c r="H9" s="159"/>
      <c r="I9" s="159"/>
      <c r="J9" s="159"/>
      <c r="K9" s="159"/>
      <c r="L9" s="159"/>
      <c r="M9" s="159"/>
      <c r="N9" s="159"/>
      <c r="O9" s="159"/>
      <c r="P9" s="159"/>
      <c r="Q9" s="159"/>
      <c r="R9" s="159"/>
      <c r="S9" s="159"/>
      <c r="T9" s="159"/>
      <c r="U9" s="159"/>
      <c r="V9" s="159"/>
      <c r="W9" s="159"/>
      <c r="X9" s="159"/>
      <c r="Y9" s="159"/>
      <c r="Z9" s="159"/>
      <c r="AA9" s="159"/>
      <c r="AB9" s="159"/>
      <c r="AC9" s="159"/>
      <c r="AD9" s="159"/>
      <c r="AE9" s="159"/>
      <c r="AF9" s="159"/>
      <c r="AG9" s="159"/>
      <c r="AH9" s="159"/>
      <c r="AI9" s="159"/>
      <c r="AJ9" s="159"/>
      <c r="AK9" s="159"/>
      <c r="AL9" s="159"/>
      <c r="AM9" s="159"/>
      <c r="AN9" s="159"/>
      <c r="AO9" s="159"/>
      <c r="AP9" s="159"/>
      <c r="AQ9" s="159"/>
    </row>
    <row r="10" spans="1:43" x14ac:dyDescent="0.25">
      <c r="A10" s="77" t="s">
        <v>233</v>
      </c>
      <c r="B10" s="159" t="s">
        <v>521</v>
      </c>
      <c r="C10" s="159"/>
      <c r="D10" s="159"/>
      <c r="E10" s="159"/>
      <c r="F10" s="159"/>
      <c r="G10" s="159"/>
      <c r="H10" s="159"/>
      <c r="I10" s="159"/>
      <c r="J10" s="159"/>
      <c r="K10" s="159"/>
      <c r="L10" s="159"/>
      <c r="M10" s="159"/>
      <c r="N10" s="159"/>
      <c r="O10" s="159"/>
      <c r="P10" s="159"/>
      <c r="Q10" s="159"/>
      <c r="R10" s="159"/>
      <c r="S10" s="159"/>
      <c r="T10" s="159"/>
      <c r="U10" s="159"/>
      <c r="V10" s="159"/>
      <c r="W10" s="159"/>
      <c r="X10" s="159"/>
      <c r="Y10" s="159"/>
      <c r="Z10" s="159"/>
      <c r="AA10" s="159"/>
      <c r="AB10" s="159"/>
      <c r="AC10" s="159"/>
      <c r="AD10" s="159"/>
      <c r="AE10" s="159"/>
      <c r="AF10" s="159"/>
      <c r="AG10" s="159"/>
      <c r="AH10" s="159"/>
      <c r="AI10" s="159"/>
      <c r="AJ10" s="159"/>
      <c r="AK10" s="159"/>
      <c r="AL10" s="159"/>
      <c r="AM10" s="159"/>
      <c r="AN10" s="159"/>
      <c r="AO10" s="159"/>
      <c r="AP10" s="159"/>
      <c r="AQ10" s="159"/>
    </row>
    <row r="11" spans="1:43" x14ac:dyDescent="0.25">
      <c r="A11" s="77" t="s">
        <v>308</v>
      </c>
      <c r="B11" s="159" t="s">
        <v>404</v>
      </c>
      <c r="C11" s="159"/>
      <c r="D11" s="159"/>
      <c r="E11" s="159"/>
      <c r="F11" s="159"/>
      <c r="G11" s="159"/>
      <c r="H11" s="159"/>
      <c r="I11" s="159"/>
      <c r="J11" s="159"/>
      <c r="K11" s="159"/>
      <c r="L11" s="159"/>
      <c r="M11" s="159"/>
      <c r="N11" s="159"/>
      <c r="O11" s="159"/>
      <c r="P11" s="159"/>
      <c r="Q11" s="159"/>
      <c r="R11" s="159"/>
      <c r="S11" s="159"/>
      <c r="T11" s="159"/>
      <c r="U11" s="159"/>
      <c r="V11" s="159"/>
      <c r="W11" s="159"/>
      <c r="X11" s="159"/>
      <c r="Y11" s="159"/>
      <c r="Z11" s="159"/>
      <c r="AA11" s="159"/>
      <c r="AB11" s="159"/>
      <c r="AC11" s="159"/>
      <c r="AD11" s="159"/>
      <c r="AE11" s="159"/>
      <c r="AF11" s="159"/>
      <c r="AG11" s="159"/>
      <c r="AH11" s="159"/>
      <c r="AI11" s="159"/>
      <c r="AJ11" s="159"/>
      <c r="AK11" s="159"/>
      <c r="AL11" s="159"/>
      <c r="AM11" s="159"/>
      <c r="AN11" s="159"/>
      <c r="AO11" s="159"/>
      <c r="AP11" s="159"/>
      <c r="AQ11" s="159"/>
    </row>
    <row r="12" spans="1:43" x14ac:dyDescent="0.25">
      <c r="A12" s="77" t="s">
        <v>309</v>
      </c>
      <c r="B12" s="159" t="s">
        <v>509</v>
      </c>
      <c r="C12" s="159"/>
      <c r="D12" s="159"/>
      <c r="E12" s="159"/>
      <c r="F12" s="159"/>
      <c r="G12" s="159"/>
      <c r="H12" s="159"/>
      <c r="I12" s="159"/>
      <c r="J12" s="159"/>
      <c r="K12" s="159"/>
      <c r="L12" s="159"/>
      <c r="M12" s="159"/>
      <c r="N12" s="159"/>
      <c r="O12" s="159"/>
      <c r="P12" s="159"/>
      <c r="Q12" s="159"/>
      <c r="R12" s="159"/>
      <c r="S12" s="159"/>
      <c r="T12" s="159"/>
      <c r="U12" s="159"/>
      <c r="V12" s="159"/>
      <c r="W12" s="159"/>
      <c r="X12" s="159"/>
      <c r="Y12" s="159"/>
      <c r="Z12" s="159"/>
      <c r="AA12" s="159"/>
      <c r="AB12" s="159"/>
      <c r="AC12" s="159"/>
      <c r="AD12" s="159"/>
      <c r="AE12" s="159"/>
      <c r="AF12" s="159"/>
      <c r="AG12" s="159"/>
      <c r="AH12" s="159"/>
      <c r="AI12" s="159"/>
      <c r="AJ12" s="159"/>
      <c r="AK12" s="159"/>
      <c r="AL12" s="159"/>
      <c r="AM12" s="159"/>
      <c r="AN12" s="159"/>
      <c r="AO12" s="159"/>
      <c r="AP12" s="159"/>
      <c r="AQ12" s="159"/>
    </row>
    <row r="13" spans="1:43" x14ac:dyDescent="0.25">
      <c r="A13" s="77" t="s">
        <v>570</v>
      </c>
      <c r="B13" s="159">
        <v>1</v>
      </c>
      <c r="C13" s="159"/>
      <c r="D13" s="159"/>
      <c r="E13" s="159"/>
      <c r="F13" s="159"/>
      <c r="G13" s="159"/>
      <c r="H13" s="159"/>
      <c r="I13" s="159"/>
      <c r="J13" s="159"/>
      <c r="K13" s="159"/>
      <c r="L13" s="159"/>
      <c r="M13" s="159"/>
      <c r="N13" s="159"/>
      <c r="O13" s="159"/>
      <c r="P13" s="159"/>
      <c r="Q13" s="159"/>
      <c r="R13" s="159"/>
      <c r="S13" s="159"/>
      <c r="T13" s="159"/>
      <c r="U13" s="159"/>
      <c r="V13" s="159"/>
      <c r="W13" s="159"/>
      <c r="X13" s="159"/>
      <c r="Y13" s="159"/>
      <c r="Z13" s="159"/>
      <c r="AA13" s="159"/>
      <c r="AB13" s="159"/>
      <c r="AC13" s="159"/>
      <c r="AD13" s="159"/>
      <c r="AE13" s="159"/>
      <c r="AF13" s="159"/>
      <c r="AG13" s="159"/>
      <c r="AH13" s="159"/>
      <c r="AI13" s="159"/>
      <c r="AJ13" s="159"/>
      <c r="AK13" s="159"/>
      <c r="AL13" s="159"/>
      <c r="AM13" s="159"/>
      <c r="AN13" s="159"/>
      <c r="AO13" s="159"/>
      <c r="AP13" s="159"/>
      <c r="AQ13" s="159"/>
    </row>
    <row r="14" spans="1:43" x14ac:dyDescent="0.25">
      <c r="A14" s="77" t="s">
        <v>311</v>
      </c>
      <c r="B14" s="159">
        <v>619</v>
      </c>
      <c r="C14" s="159"/>
      <c r="D14" s="159"/>
      <c r="E14" s="159"/>
      <c r="F14" s="159"/>
      <c r="G14" s="159"/>
      <c r="H14" s="159"/>
      <c r="I14" s="159"/>
      <c r="J14" s="159"/>
      <c r="K14" s="159"/>
      <c r="L14" s="159"/>
      <c r="M14" s="159"/>
      <c r="N14" s="159"/>
      <c r="O14" s="159"/>
      <c r="P14" s="159"/>
      <c r="Q14" s="159"/>
      <c r="R14" s="159"/>
      <c r="S14" s="159"/>
      <c r="T14" s="159"/>
      <c r="U14" s="159"/>
      <c r="V14" s="159"/>
      <c r="W14" s="159"/>
      <c r="X14" s="159"/>
      <c r="Y14" s="159"/>
      <c r="Z14" s="159"/>
      <c r="AA14" s="159"/>
      <c r="AB14" s="159"/>
      <c r="AC14" s="159"/>
      <c r="AD14" s="159"/>
      <c r="AE14" s="159"/>
      <c r="AF14" s="159"/>
      <c r="AG14" s="159"/>
      <c r="AH14" s="159"/>
      <c r="AI14" s="159"/>
      <c r="AJ14" s="159"/>
      <c r="AK14" s="159"/>
      <c r="AL14" s="159"/>
      <c r="AM14" s="159"/>
      <c r="AN14" s="159"/>
      <c r="AO14" s="159"/>
      <c r="AP14" s="159"/>
      <c r="AQ14" s="159"/>
    </row>
    <row r="15" spans="1:43" x14ac:dyDescent="0.25">
      <c r="A15" s="77" t="s">
        <v>573</v>
      </c>
      <c r="B15" s="159" t="s">
        <v>522</v>
      </c>
      <c r="C15" s="159"/>
      <c r="D15" s="159"/>
      <c r="E15" s="159"/>
      <c r="F15" s="159"/>
      <c r="G15" s="159"/>
      <c r="H15" s="159"/>
      <c r="I15" s="159"/>
      <c r="J15" s="159"/>
      <c r="K15" s="159"/>
      <c r="L15" s="159"/>
      <c r="M15" s="159"/>
      <c r="N15" s="159"/>
      <c r="O15" s="159"/>
      <c r="P15" s="159"/>
      <c r="Q15" s="159"/>
      <c r="R15" s="159"/>
      <c r="S15" s="159"/>
      <c r="T15" s="159"/>
      <c r="U15" s="159"/>
      <c r="V15" s="159"/>
      <c r="W15" s="159"/>
      <c r="X15" s="159"/>
      <c r="Y15" s="159"/>
      <c r="Z15" s="159"/>
      <c r="AA15" s="159"/>
      <c r="AB15" s="159"/>
      <c r="AC15" s="159"/>
      <c r="AD15" s="159"/>
      <c r="AE15" s="159"/>
      <c r="AF15" s="159"/>
      <c r="AG15" s="159"/>
      <c r="AH15" s="159"/>
      <c r="AI15" s="159"/>
      <c r="AJ15" s="159"/>
      <c r="AK15" s="159"/>
      <c r="AL15" s="159"/>
      <c r="AM15" s="159"/>
      <c r="AN15" s="159"/>
      <c r="AO15" s="159"/>
      <c r="AP15" s="159"/>
      <c r="AQ15" s="159"/>
    </row>
    <row r="16" spans="1:43" x14ac:dyDescent="0.25">
      <c r="A16" s="77" t="s">
        <v>313</v>
      </c>
      <c r="B16" s="159" t="s">
        <v>523</v>
      </c>
      <c r="C16" s="159"/>
      <c r="D16" s="159"/>
      <c r="E16" s="159"/>
      <c r="F16" s="159"/>
      <c r="G16" s="159"/>
      <c r="H16" s="159"/>
      <c r="I16" s="159"/>
      <c r="J16" s="159"/>
      <c r="K16" s="159"/>
      <c r="L16" s="159"/>
      <c r="M16" s="159"/>
      <c r="N16" s="159"/>
      <c r="O16" s="159"/>
      <c r="P16" s="159"/>
      <c r="Q16" s="159"/>
      <c r="R16" s="159"/>
      <c r="S16" s="159"/>
      <c r="T16" s="159"/>
      <c r="U16" s="159"/>
      <c r="V16" s="159"/>
      <c r="W16" s="159"/>
      <c r="X16" s="159"/>
      <c r="Y16" s="159"/>
      <c r="Z16" s="159"/>
      <c r="AA16" s="159"/>
      <c r="AB16" s="159"/>
      <c r="AC16" s="159"/>
      <c r="AD16" s="159"/>
      <c r="AE16" s="159"/>
      <c r="AF16" s="159"/>
      <c r="AG16" s="159"/>
      <c r="AH16" s="159"/>
      <c r="AI16" s="159"/>
      <c r="AJ16" s="159"/>
      <c r="AK16" s="159"/>
      <c r="AL16" s="159"/>
      <c r="AM16" s="159"/>
      <c r="AN16" s="159"/>
      <c r="AO16" s="159"/>
      <c r="AP16" s="159"/>
      <c r="AQ16" s="159"/>
    </row>
    <row r="17" spans="1:43" x14ac:dyDescent="0.25">
      <c r="A17" s="77" t="s">
        <v>642</v>
      </c>
      <c r="B17" s="159"/>
      <c r="C17" s="159"/>
      <c r="D17" s="159"/>
      <c r="E17" s="159"/>
      <c r="F17" s="159"/>
      <c r="G17" s="159"/>
      <c r="H17" s="159"/>
      <c r="I17" s="159"/>
      <c r="J17" s="159"/>
      <c r="K17" s="159"/>
      <c r="L17" s="159"/>
      <c r="M17" s="159"/>
      <c r="N17" s="159"/>
      <c r="O17" s="159"/>
      <c r="P17" s="159"/>
      <c r="Q17" s="159"/>
      <c r="R17" s="159"/>
      <c r="S17" s="159"/>
      <c r="T17" s="159"/>
      <c r="U17" s="159"/>
      <c r="V17" s="159"/>
      <c r="W17" s="159"/>
      <c r="X17" s="159"/>
      <c r="Y17" s="159"/>
      <c r="Z17" s="159"/>
      <c r="AA17" s="159"/>
      <c r="AB17" s="159"/>
      <c r="AC17" s="159"/>
      <c r="AD17" s="159"/>
      <c r="AE17" s="159"/>
      <c r="AF17" s="159"/>
      <c r="AG17" s="159"/>
      <c r="AH17" s="159"/>
      <c r="AI17" s="159"/>
      <c r="AJ17" s="159"/>
      <c r="AK17" s="159"/>
      <c r="AL17" s="159"/>
      <c r="AM17" s="159"/>
      <c r="AN17" s="159"/>
      <c r="AO17" s="159"/>
      <c r="AP17" s="159"/>
      <c r="AQ17" s="159"/>
    </row>
    <row r="18" spans="1:43" x14ac:dyDescent="0.25">
      <c r="A18" s="77" t="s">
        <v>315</v>
      </c>
      <c r="B18" s="161">
        <v>45135</v>
      </c>
      <c r="C18" s="159"/>
      <c r="D18" s="159"/>
      <c r="E18" s="159"/>
      <c r="F18" s="159"/>
      <c r="G18" s="159"/>
      <c r="H18" s="159"/>
      <c r="I18" s="159"/>
      <c r="J18" s="159"/>
      <c r="K18" s="159"/>
      <c r="L18" s="159"/>
      <c r="M18" s="159"/>
      <c r="N18" s="159"/>
      <c r="O18" s="159"/>
      <c r="P18" s="159"/>
      <c r="Q18" s="159"/>
      <c r="R18" s="159"/>
      <c r="S18" s="159"/>
      <c r="T18" s="159"/>
      <c r="U18" s="159"/>
      <c r="V18" s="159"/>
      <c r="W18" s="159"/>
      <c r="X18" s="159"/>
      <c r="Y18" s="159"/>
      <c r="Z18" s="159"/>
      <c r="AA18" s="159"/>
      <c r="AB18" s="159"/>
      <c r="AC18" s="159"/>
      <c r="AD18" s="159"/>
      <c r="AE18" s="159"/>
      <c r="AF18" s="159"/>
      <c r="AG18" s="159"/>
      <c r="AH18" s="159"/>
      <c r="AI18" s="159"/>
      <c r="AJ18" s="159"/>
      <c r="AK18" s="159"/>
      <c r="AL18" s="159"/>
      <c r="AM18" s="159"/>
      <c r="AN18" s="159"/>
      <c r="AO18" s="159"/>
      <c r="AP18" s="159"/>
      <c r="AQ18" s="159"/>
    </row>
    <row r="19" spans="1:43" x14ac:dyDescent="0.25">
      <c r="A19" s="77" t="s">
        <v>316</v>
      </c>
      <c r="B19" s="161">
        <v>45135</v>
      </c>
      <c r="C19" s="159"/>
      <c r="D19" s="159"/>
      <c r="E19" s="159"/>
      <c r="F19" s="159"/>
      <c r="G19" s="159"/>
      <c r="H19" s="159"/>
      <c r="I19" s="159"/>
      <c r="J19" s="159"/>
      <c r="K19" s="159"/>
      <c r="L19" s="159"/>
      <c r="M19" s="159"/>
      <c r="N19" s="159"/>
      <c r="O19" s="159"/>
      <c r="P19" s="159"/>
      <c r="Q19" s="159"/>
      <c r="R19" s="159"/>
      <c r="S19" s="159"/>
      <c r="T19" s="159"/>
      <c r="U19" s="159"/>
      <c r="V19" s="159"/>
      <c r="W19" s="159"/>
      <c r="X19" s="159"/>
      <c r="Y19" s="159"/>
      <c r="Z19" s="159"/>
      <c r="AA19" s="159"/>
      <c r="AB19" s="159"/>
      <c r="AC19" s="159"/>
      <c r="AD19" s="159"/>
      <c r="AE19" s="159"/>
      <c r="AF19" s="159"/>
      <c r="AG19" s="159"/>
      <c r="AH19" s="159"/>
      <c r="AI19" s="159"/>
      <c r="AJ19" s="159"/>
      <c r="AK19" s="159"/>
      <c r="AL19" s="159"/>
      <c r="AM19" s="159"/>
      <c r="AN19" s="159"/>
      <c r="AO19" s="159"/>
      <c r="AP19" s="159"/>
      <c r="AQ19" s="159"/>
    </row>
    <row r="20" spans="1:43" x14ac:dyDescent="0.25">
      <c r="A20" s="77" t="s">
        <v>317</v>
      </c>
      <c r="B20" s="159" t="s">
        <v>327</v>
      </c>
      <c r="C20" s="159"/>
      <c r="D20" s="159"/>
      <c r="E20" s="159"/>
      <c r="F20" s="159"/>
      <c r="G20" s="159"/>
      <c r="H20" s="159"/>
      <c r="I20" s="159"/>
      <c r="J20" s="159"/>
      <c r="K20" s="159"/>
      <c r="L20" s="159"/>
      <c r="M20" s="159"/>
      <c r="N20" s="159"/>
      <c r="O20" s="159"/>
      <c r="P20" s="159"/>
      <c r="Q20" s="159"/>
      <c r="R20" s="159"/>
      <c r="S20" s="159"/>
      <c r="T20" s="159"/>
      <c r="U20" s="159"/>
      <c r="V20" s="159"/>
      <c r="W20" s="159"/>
      <c r="X20" s="159"/>
      <c r="Y20" s="159"/>
      <c r="Z20" s="159"/>
      <c r="AA20" s="159"/>
      <c r="AB20" s="159"/>
      <c r="AC20" s="159"/>
      <c r="AD20" s="159"/>
      <c r="AE20" s="159"/>
      <c r="AF20" s="159"/>
      <c r="AG20" s="159"/>
      <c r="AH20" s="159"/>
      <c r="AI20" s="159"/>
      <c r="AJ20" s="159"/>
      <c r="AK20" s="159"/>
      <c r="AL20" s="159"/>
      <c r="AM20" s="159"/>
      <c r="AN20" s="159"/>
      <c r="AO20" s="159"/>
      <c r="AP20" s="159"/>
      <c r="AQ20" s="159"/>
    </row>
    <row r="21" spans="1:43" x14ac:dyDescent="0.25">
      <c r="A21" s="77" t="s">
        <v>318</v>
      </c>
      <c r="B21" s="159" t="s">
        <v>328</v>
      </c>
      <c r="C21" s="159"/>
      <c r="D21" s="159"/>
      <c r="E21" s="159"/>
      <c r="F21" s="159"/>
      <c r="G21" s="159"/>
      <c r="H21" s="159"/>
      <c r="I21" s="159"/>
      <c r="J21" s="159"/>
      <c r="K21" s="159"/>
      <c r="L21" s="159"/>
      <c r="M21" s="159"/>
      <c r="N21" s="159"/>
      <c r="O21" s="159"/>
      <c r="P21" s="159"/>
      <c r="Q21" s="159"/>
      <c r="R21" s="159"/>
      <c r="S21" s="159"/>
      <c r="T21" s="159"/>
      <c r="U21" s="159"/>
      <c r="V21" s="159"/>
      <c r="W21" s="159"/>
      <c r="X21" s="159"/>
      <c r="Y21" s="159"/>
      <c r="Z21" s="159"/>
      <c r="AA21" s="159"/>
      <c r="AB21" s="159"/>
      <c r="AC21" s="159"/>
      <c r="AD21" s="159"/>
      <c r="AE21" s="159"/>
      <c r="AF21" s="159"/>
      <c r="AG21" s="159"/>
      <c r="AH21" s="159"/>
      <c r="AI21" s="159"/>
      <c r="AJ21" s="159"/>
      <c r="AK21" s="159"/>
      <c r="AL21" s="159"/>
      <c r="AM21" s="159"/>
      <c r="AN21" s="159"/>
      <c r="AO21" s="159"/>
      <c r="AP21" s="159"/>
      <c r="AQ21" s="159"/>
    </row>
    <row r="23" spans="1:43" x14ac:dyDescent="0.25">
      <c r="B23" s="91" t="str">
        <f>HYPERLINK("#'Factor List'!A1","Back to Factor List")</f>
        <v>Back to Factor List</v>
      </c>
    </row>
    <row r="24" spans="1:43" x14ac:dyDescent="0.25">
      <c r="B24" s="91" t="s">
        <v>240</v>
      </c>
    </row>
    <row r="25" spans="1:43" x14ac:dyDescent="0.25">
      <c r="B25" s="91"/>
    </row>
    <row r="26" spans="1:43" ht="13" x14ac:dyDescent="0.25">
      <c r="A26" s="87" t="s">
        <v>667</v>
      </c>
      <c r="B26" s="87">
        <v>18</v>
      </c>
      <c r="C26" s="87">
        <v>19</v>
      </c>
      <c r="D26" s="87">
        <v>20</v>
      </c>
      <c r="E26" s="87">
        <v>21</v>
      </c>
      <c r="F26" s="87">
        <v>22</v>
      </c>
      <c r="G26" s="87">
        <v>23</v>
      </c>
      <c r="H26" s="87">
        <v>24</v>
      </c>
      <c r="I26" s="87">
        <v>25</v>
      </c>
      <c r="J26" s="87">
        <v>26</v>
      </c>
      <c r="K26" s="87">
        <v>27</v>
      </c>
      <c r="L26" s="87">
        <v>28</v>
      </c>
      <c r="M26" s="87">
        <v>29</v>
      </c>
      <c r="N26" s="87">
        <v>30</v>
      </c>
      <c r="O26" s="87">
        <v>31</v>
      </c>
      <c r="P26" s="87">
        <v>32</v>
      </c>
      <c r="Q26" s="87">
        <v>33</v>
      </c>
      <c r="R26" s="87">
        <v>34</v>
      </c>
      <c r="S26" s="87">
        <v>35</v>
      </c>
      <c r="T26" s="87">
        <v>36</v>
      </c>
      <c r="U26" s="87">
        <v>37</v>
      </c>
      <c r="V26" s="87">
        <v>38</v>
      </c>
      <c r="W26" s="87">
        <v>39</v>
      </c>
      <c r="X26" s="87">
        <v>40</v>
      </c>
      <c r="Y26" s="87">
        <v>41</v>
      </c>
      <c r="Z26" s="87">
        <v>42</v>
      </c>
      <c r="AA26" s="87">
        <v>43</v>
      </c>
      <c r="AB26" s="87">
        <v>44</v>
      </c>
      <c r="AC26" s="87">
        <v>45</v>
      </c>
      <c r="AD26" s="87">
        <v>46</v>
      </c>
      <c r="AE26" s="87">
        <v>47</v>
      </c>
      <c r="AF26" s="87">
        <v>48</v>
      </c>
      <c r="AG26" s="87">
        <v>49</v>
      </c>
      <c r="AH26" s="87">
        <v>50</v>
      </c>
      <c r="AI26" s="87">
        <v>51</v>
      </c>
      <c r="AJ26" s="87">
        <v>52</v>
      </c>
      <c r="AK26" s="87">
        <v>53</v>
      </c>
      <c r="AL26" s="87">
        <v>54</v>
      </c>
      <c r="AM26" s="87">
        <v>55</v>
      </c>
      <c r="AN26" s="87">
        <v>56</v>
      </c>
      <c r="AO26" s="87">
        <v>57</v>
      </c>
      <c r="AP26" s="87">
        <v>58</v>
      </c>
      <c r="AQ26" s="87">
        <v>59</v>
      </c>
    </row>
    <row r="27" spans="1:43" x14ac:dyDescent="0.25">
      <c r="A27" s="88">
        <v>0</v>
      </c>
      <c r="B27" s="90">
        <v>0.26700000000000002</v>
      </c>
      <c r="C27" s="90">
        <v>0.27300000000000002</v>
      </c>
      <c r="D27" s="90">
        <v>0.27900000000000003</v>
      </c>
      <c r="E27" s="90">
        <v>0.28599999999999998</v>
      </c>
      <c r="F27" s="90">
        <v>0.29299999999999998</v>
      </c>
      <c r="G27" s="90">
        <v>0.3</v>
      </c>
      <c r="H27" s="90">
        <v>0.307</v>
      </c>
      <c r="I27" s="90">
        <v>0.315</v>
      </c>
      <c r="J27" s="90">
        <v>0.32200000000000001</v>
      </c>
      <c r="K27" s="90">
        <v>0.33</v>
      </c>
      <c r="L27" s="90">
        <v>0.33900000000000002</v>
      </c>
      <c r="M27" s="90">
        <v>0.34799999999999998</v>
      </c>
      <c r="N27" s="90">
        <v>0.35699999999999998</v>
      </c>
      <c r="O27" s="90">
        <v>0.36599999999999999</v>
      </c>
      <c r="P27" s="90">
        <v>0.376</v>
      </c>
      <c r="Q27" s="90">
        <v>0.38600000000000001</v>
      </c>
      <c r="R27" s="90">
        <v>0.39700000000000002</v>
      </c>
      <c r="S27" s="90">
        <v>0.40799999999999997</v>
      </c>
      <c r="T27" s="90">
        <v>0.42</v>
      </c>
      <c r="U27" s="90">
        <v>0.432</v>
      </c>
      <c r="V27" s="90">
        <v>0.44500000000000001</v>
      </c>
      <c r="W27" s="90">
        <v>0.45800000000000002</v>
      </c>
      <c r="X27" s="90">
        <v>0.47199999999999998</v>
      </c>
      <c r="Y27" s="90">
        <v>0.48599999999999999</v>
      </c>
      <c r="Z27" s="90">
        <v>0.502</v>
      </c>
      <c r="AA27" s="90">
        <v>0.51800000000000002</v>
      </c>
      <c r="AB27" s="90">
        <v>0.53500000000000003</v>
      </c>
      <c r="AC27" s="90">
        <v>0.55200000000000005</v>
      </c>
      <c r="AD27" s="90">
        <v>0.57099999999999995</v>
      </c>
      <c r="AE27" s="90">
        <v>0.59099999999999997</v>
      </c>
      <c r="AF27" s="90">
        <v>0.61199999999999999</v>
      </c>
      <c r="AG27" s="90">
        <v>0.63400000000000001</v>
      </c>
      <c r="AH27" s="90">
        <v>0.65800000000000003</v>
      </c>
      <c r="AI27" s="90">
        <v>0.68300000000000005</v>
      </c>
      <c r="AJ27" s="90">
        <v>0.70899999999999996</v>
      </c>
      <c r="AK27" s="90">
        <v>0.73699999999999999</v>
      </c>
      <c r="AL27" s="90">
        <v>0.76700000000000002</v>
      </c>
      <c r="AM27" s="90">
        <v>0.8</v>
      </c>
      <c r="AN27" s="90">
        <v>0.83399999999999996</v>
      </c>
      <c r="AO27" s="90">
        <v>0.871</v>
      </c>
      <c r="AP27" s="90">
        <v>0.91100000000000003</v>
      </c>
      <c r="AQ27" s="90">
        <v>0.95399999999999996</v>
      </c>
    </row>
    <row r="28" spans="1:43" x14ac:dyDescent="0.25">
      <c r="A28" s="88">
        <v>1</v>
      </c>
      <c r="B28" s="90">
        <v>0.26700000000000002</v>
      </c>
      <c r="C28" s="90">
        <v>0.27300000000000002</v>
      </c>
      <c r="D28" s="90">
        <v>0.28000000000000003</v>
      </c>
      <c r="E28" s="90">
        <v>0.28599999999999998</v>
      </c>
      <c r="F28" s="90">
        <v>0.29299999999999998</v>
      </c>
      <c r="G28" s="90">
        <v>0.3</v>
      </c>
      <c r="H28" s="90">
        <v>0.308</v>
      </c>
      <c r="I28" s="90">
        <v>0.315</v>
      </c>
      <c r="J28" s="90">
        <v>0.32300000000000001</v>
      </c>
      <c r="K28" s="90">
        <v>0.33100000000000002</v>
      </c>
      <c r="L28" s="90">
        <v>0.34</v>
      </c>
      <c r="M28" s="90">
        <v>0.34799999999999998</v>
      </c>
      <c r="N28" s="90">
        <v>0.35799999999999998</v>
      </c>
      <c r="O28" s="90">
        <v>0.36699999999999999</v>
      </c>
      <c r="P28" s="90">
        <v>0.377</v>
      </c>
      <c r="Q28" s="90">
        <v>0.38700000000000001</v>
      </c>
      <c r="R28" s="90">
        <v>0.39800000000000002</v>
      </c>
      <c r="S28" s="90">
        <v>0.40899999999999997</v>
      </c>
      <c r="T28" s="90">
        <v>0.42099999999999999</v>
      </c>
      <c r="U28" s="90">
        <v>0.433</v>
      </c>
      <c r="V28" s="90">
        <v>0.44600000000000001</v>
      </c>
      <c r="W28" s="90">
        <v>0.45900000000000002</v>
      </c>
      <c r="X28" s="90">
        <v>0.47299999999999998</v>
      </c>
      <c r="Y28" s="90">
        <v>0.48799999999999999</v>
      </c>
      <c r="Z28" s="90">
        <v>0.503</v>
      </c>
      <c r="AA28" s="90">
        <v>0.51900000000000002</v>
      </c>
      <c r="AB28" s="90">
        <v>0.53600000000000003</v>
      </c>
      <c r="AC28" s="90">
        <v>0.55400000000000005</v>
      </c>
      <c r="AD28" s="90">
        <v>0.57299999999999995</v>
      </c>
      <c r="AE28" s="90">
        <v>0.59299999999999997</v>
      </c>
      <c r="AF28" s="90">
        <v>0.61399999999999999</v>
      </c>
      <c r="AG28" s="90">
        <v>0.63600000000000001</v>
      </c>
      <c r="AH28" s="90">
        <v>0.66</v>
      </c>
      <c r="AI28" s="90">
        <v>0.68500000000000005</v>
      </c>
      <c r="AJ28" s="90">
        <v>0.71099999999999997</v>
      </c>
      <c r="AK28" s="90">
        <v>0.74</v>
      </c>
      <c r="AL28" s="90">
        <v>0.77</v>
      </c>
      <c r="AM28" s="90">
        <v>0.80200000000000005</v>
      </c>
      <c r="AN28" s="90">
        <v>0.83699999999999997</v>
      </c>
      <c r="AO28" s="90">
        <v>0.874</v>
      </c>
      <c r="AP28" s="90">
        <v>0.91400000000000003</v>
      </c>
      <c r="AQ28" s="90">
        <v>0.95799999999999996</v>
      </c>
    </row>
    <row r="29" spans="1:43" x14ac:dyDescent="0.25">
      <c r="A29" s="88">
        <v>2</v>
      </c>
      <c r="B29" s="90">
        <v>0.26800000000000002</v>
      </c>
      <c r="C29" s="90">
        <v>0.27400000000000002</v>
      </c>
      <c r="D29" s="90">
        <v>0.28000000000000003</v>
      </c>
      <c r="E29" s="90">
        <v>0.28699999999999998</v>
      </c>
      <c r="F29" s="90">
        <v>0.29399999999999998</v>
      </c>
      <c r="G29" s="90">
        <v>0.30099999999999999</v>
      </c>
      <c r="H29" s="90">
        <v>0.308</v>
      </c>
      <c r="I29" s="90">
        <v>0.316</v>
      </c>
      <c r="J29" s="90">
        <v>0.32400000000000001</v>
      </c>
      <c r="K29" s="90">
        <v>0.33200000000000002</v>
      </c>
      <c r="L29" s="90">
        <v>0.34</v>
      </c>
      <c r="M29" s="90">
        <v>0.34899999999999998</v>
      </c>
      <c r="N29" s="90">
        <v>0.35799999999999998</v>
      </c>
      <c r="O29" s="90">
        <v>0.36799999999999999</v>
      </c>
      <c r="P29" s="90">
        <v>0.378</v>
      </c>
      <c r="Q29" s="90">
        <v>0.38800000000000001</v>
      </c>
      <c r="R29" s="90">
        <v>0.39900000000000002</v>
      </c>
      <c r="S29" s="90">
        <v>0.41</v>
      </c>
      <c r="T29" s="90">
        <v>0.42199999999999999</v>
      </c>
      <c r="U29" s="90">
        <v>0.434</v>
      </c>
      <c r="V29" s="90">
        <v>0.44700000000000001</v>
      </c>
      <c r="W29" s="90">
        <v>0.46</v>
      </c>
      <c r="X29" s="90">
        <v>0.47399999999999998</v>
      </c>
      <c r="Y29" s="90">
        <v>0.48899999999999999</v>
      </c>
      <c r="Z29" s="90">
        <v>0.504</v>
      </c>
      <c r="AA29" s="90">
        <v>0.52100000000000002</v>
      </c>
      <c r="AB29" s="90">
        <v>0.53800000000000003</v>
      </c>
      <c r="AC29" s="90">
        <v>0.55600000000000005</v>
      </c>
      <c r="AD29" s="90">
        <v>0.57399999999999995</v>
      </c>
      <c r="AE29" s="90">
        <v>0.59399999999999997</v>
      </c>
      <c r="AF29" s="90">
        <v>0.61599999999999999</v>
      </c>
      <c r="AG29" s="90">
        <v>0.63800000000000001</v>
      </c>
      <c r="AH29" s="90">
        <v>0.66200000000000003</v>
      </c>
      <c r="AI29" s="90">
        <v>0.68700000000000006</v>
      </c>
      <c r="AJ29" s="90">
        <v>0.71399999999999997</v>
      </c>
      <c r="AK29" s="90">
        <v>0.74199999999999999</v>
      </c>
      <c r="AL29" s="90">
        <v>0.77300000000000002</v>
      </c>
      <c r="AM29" s="90">
        <v>0.80500000000000005</v>
      </c>
      <c r="AN29" s="90">
        <v>0.84</v>
      </c>
      <c r="AO29" s="90">
        <v>0.878</v>
      </c>
      <c r="AP29" s="90">
        <v>0.91800000000000004</v>
      </c>
      <c r="AQ29" s="90">
        <v>0.96099999999999997</v>
      </c>
    </row>
    <row r="30" spans="1:43" x14ac:dyDescent="0.25">
      <c r="A30" s="88">
        <v>3</v>
      </c>
      <c r="B30" s="90">
        <v>0.26800000000000002</v>
      </c>
      <c r="C30" s="90">
        <v>0.27500000000000002</v>
      </c>
      <c r="D30" s="90">
        <v>0.28100000000000003</v>
      </c>
      <c r="E30" s="90">
        <v>0.28799999999999998</v>
      </c>
      <c r="F30" s="90">
        <v>0.29399999999999998</v>
      </c>
      <c r="G30" s="90">
        <v>0.30199999999999999</v>
      </c>
      <c r="H30" s="90">
        <v>0.309</v>
      </c>
      <c r="I30" s="90">
        <v>0.316</v>
      </c>
      <c r="J30" s="90">
        <v>0.32400000000000001</v>
      </c>
      <c r="K30" s="90">
        <v>0.33300000000000002</v>
      </c>
      <c r="L30" s="90">
        <v>0.34100000000000003</v>
      </c>
      <c r="M30" s="90">
        <v>0.35</v>
      </c>
      <c r="N30" s="90">
        <v>0.35899999999999999</v>
      </c>
      <c r="O30" s="90">
        <v>0.36899999999999999</v>
      </c>
      <c r="P30" s="90">
        <v>0.379</v>
      </c>
      <c r="Q30" s="90">
        <v>0.38900000000000001</v>
      </c>
      <c r="R30" s="90">
        <v>0.4</v>
      </c>
      <c r="S30" s="90">
        <v>0.41099999999999998</v>
      </c>
      <c r="T30" s="90">
        <v>0.42299999999999999</v>
      </c>
      <c r="U30" s="90">
        <v>0.435</v>
      </c>
      <c r="V30" s="90">
        <v>0.44800000000000001</v>
      </c>
      <c r="W30" s="90">
        <v>0.46100000000000002</v>
      </c>
      <c r="X30" s="90">
        <v>0.47499999999999998</v>
      </c>
      <c r="Y30" s="90">
        <v>0.49</v>
      </c>
      <c r="Z30" s="90">
        <v>0.50600000000000001</v>
      </c>
      <c r="AA30" s="90">
        <v>0.52200000000000002</v>
      </c>
      <c r="AB30" s="90">
        <v>0.53900000000000003</v>
      </c>
      <c r="AC30" s="90">
        <v>0.55700000000000005</v>
      </c>
      <c r="AD30" s="90">
        <v>0.57599999999999996</v>
      </c>
      <c r="AE30" s="90">
        <v>0.59599999999999997</v>
      </c>
      <c r="AF30" s="90">
        <v>0.61699999999999999</v>
      </c>
      <c r="AG30" s="90">
        <v>0.64</v>
      </c>
      <c r="AH30" s="90">
        <v>0.66400000000000003</v>
      </c>
      <c r="AI30" s="90">
        <v>0.68899999999999995</v>
      </c>
      <c r="AJ30" s="90">
        <v>0.71599999999999997</v>
      </c>
      <c r="AK30" s="90">
        <v>0.745</v>
      </c>
      <c r="AL30" s="90">
        <v>0.77500000000000002</v>
      </c>
      <c r="AM30" s="90">
        <v>0.80800000000000005</v>
      </c>
      <c r="AN30" s="90">
        <v>0.84299999999999997</v>
      </c>
      <c r="AO30" s="90">
        <v>0.88100000000000001</v>
      </c>
      <c r="AP30" s="90">
        <v>0.92200000000000004</v>
      </c>
      <c r="AQ30" s="90">
        <v>0.96499999999999997</v>
      </c>
    </row>
    <row r="31" spans="1:43" x14ac:dyDescent="0.25">
      <c r="A31" s="88">
        <v>4</v>
      </c>
      <c r="B31" s="90">
        <v>0.26900000000000002</v>
      </c>
      <c r="C31" s="90">
        <v>0.27500000000000002</v>
      </c>
      <c r="D31" s="90">
        <v>0.28100000000000003</v>
      </c>
      <c r="E31" s="90">
        <v>0.28799999999999998</v>
      </c>
      <c r="F31" s="90">
        <v>0.29499999999999998</v>
      </c>
      <c r="G31" s="90">
        <v>0.30199999999999999</v>
      </c>
      <c r="H31" s="90">
        <v>0.31</v>
      </c>
      <c r="I31" s="90">
        <v>0.317</v>
      </c>
      <c r="J31" s="90">
        <v>0.32500000000000001</v>
      </c>
      <c r="K31" s="90">
        <v>0.33300000000000002</v>
      </c>
      <c r="L31" s="90">
        <v>0.34200000000000003</v>
      </c>
      <c r="M31" s="90">
        <v>0.35099999999999998</v>
      </c>
      <c r="N31" s="90">
        <v>0.36</v>
      </c>
      <c r="O31" s="90">
        <v>0.36899999999999999</v>
      </c>
      <c r="P31" s="90">
        <v>0.379</v>
      </c>
      <c r="Q31" s="90">
        <v>0.39</v>
      </c>
      <c r="R31" s="90">
        <v>0.40100000000000002</v>
      </c>
      <c r="S31" s="90">
        <v>0.41199999999999998</v>
      </c>
      <c r="T31" s="90">
        <v>0.42399999999999999</v>
      </c>
      <c r="U31" s="90">
        <v>0.436</v>
      </c>
      <c r="V31" s="90">
        <v>0.44900000000000001</v>
      </c>
      <c r="W31" s="90">
        <v>0.46200000000000002</v>
      </c>
      <c r="X31" s="90">
        <v>0.47699999999999998</v>
      </c>
      <c r="Y31" s="90">
        <v>0.49099999999999999</v>
      </c>
      <c r="Z31" s="90">
        <v>0.50700000000000001</v>
      </c>
      <c r="AA31" s="90">
        <v>0.52300000000000002</v>
      </c>
      <c r="AB31" s="90">
        <v>0.54100000000000004</v>
      </c>
      <c r="AC31" s="90">
        <v>0.55900000000000005</v>
      </c>
      <c r="AD31" s="90">
        <v>0.57799999999999996</v>
      </c>
      <c r="AE31" s="90">
        <v>0.59799999999999998</v>
      </c>
      <c r="AF31" s="90">
        <v>0.61899999999999999</v>
      </c>
      <c r="AG31" s="90">
        <v>0.64200000000000002</v>
      </c>
      <c r="AH31" s="90">
        <v>0.66600000000000004</v>
      </c>
      <c r="AI31" s="90">
        <v>0.69099999999999995</v>
      </c>
      <c r="AJ31" s="90">
        <v>0.71799999999999997</v>
      </c>
      <c r="AK31" s="90">
        <v>0.747</v>
      </c>
      <c r="AL31" s="90">
        <v>0.77800000000000002</v>
      </c>
      <c r="AM31" s="90">
        <v>0.81100000000000005</v>
      </c>
      <c r="AN31" s="90">
        <v>0.84599999999999997</v>
      </c>
      <c r="AO31" s="90">
        <v>0.88400000000000001</v>
      </c>
      <c r="AP31" s="90">
        <v>0.92500000000000004</v>
      </c>
      <c r="AQ31" s="90">
        <v>0.96899999999999997</v>
      </c>
    </row>
    <row r="32" spans="1:43" x14ac:dyDescent="0.25">
      <c r="A32" s="88">
        <v>5</v>
      </c>
      <c r="B32" s="90">
        <v>0.26900000000000002</v>
      </c>
      <c r="C32" s="90">
        <v>0.27600000000000002</v>
      </c>
      <c r="D32" s="90">
        <v>0.28199999999999997</v>
      </c>
      <c r="E32" s="90">
        <v>0.28899999999999998</v>
      </c>
      <c r="F32" s="90">
        <v>0.29599999999999999</v>
      </c>
      <c r="G32" s="90">
        <v>0.30299999999999999</v>
      </c>
      <c r="H32" s="90">
        <v>0.31</v>
      </c>
      <c r="I32" s="90">
        <v>0.318</v>
      </c>
      <c r="J32" s="90">
        <v>0.32600000000000001</v>
      </c>
      <c r="K32" s="90">
        <v>0.33400000000000002</v>
      </c>
      <c r="L32" s="90">
        <v>0.34300000000000003</v>
      </c>
      <c r="M32" s="90">
        <v>0.35099999999999998</v>
      </c>
      <c r="N32" s="90">
        <v>0.36099999999999999</v>
      </c>
      <c r="O32" s="90">
        <v>0.37</v>
      </c>
      <c r="P32" s="90">
        <v>0.38</v>
      </c>
      <c r="Q32" s="90">
        <v>0.39100000000000001</v>
      </c>
      <c r="R32" s="90">
        <v>0.40200000000000002</v>
      </c>
      <c r="S32" s="90">
        <v>0.41299999999999998</v>
      </c>
      <c r="T32" s="90">
        <v>0.42499999999999999</v>
      </c>
      <c r="U32" s="90">
        <v>0.437</v>
      </c>
      <c r="V32" s="90">
        <v>0.45</v>
      </c>
      <c r="W32" s="90">
        <v>0.46400000000000002</v>
      </c>
      <c r="X32" s="90">
        <v>0.47799999999999998</v>
      </c>
      <c r="Y32" s="90">
        <v>0.49299999999999999</v>
      </c>
      <c r="Z32" s="90">
        <v>0.50800000000000001</v>
      </c>
      <c r="AA32" s="90">
        <v>0.52500000000000002</v>
      </c>
      <c r="AB32" s="90">
        <v>0.54200000000000004</v>
      </c>
      <c r="AC32" s="90">
        <v>0.56000000000000005</v>
      </c>
      <c r="AD32" s="90">
        <v>0.57899999999999996</v>
      </c>
      <c r="AE32" s="90">
        <v>0.6</v>
      </c>
      <c r="AF32" s="90">
        <v>0.621</v>
      </c>
      <c r="AG32" s="90">
        <v>0.64400000000000002</v>
      </c>
      <c r="AH32" s="90">
        <v>0.66800000000000004</v>
      </c>
      <c r="AI32" s="90">
        <v>0.69399999999999995</v>
      </c>
      <c r="AJ32" s="90">
        <v>0.72099999999999997</v>
      </c>
      <c r="AK32" s="90">
        <v>0.75</v>
      </c>
      <c r="AL32" s="90">
        <v>0.78100000000000003</v>
      </c>
      <c r="AM32" s="90">
        <v>0.81399999999999995</v>
      </c>
      <c r="AN32" s="90">
        <v>0.84899999999999998</v>
      </c>
      <c r="AO32" s="90">
        <v>0.88800000000000001</v>
      </c>
      <c r="AP32" s="90">
        <v>0.92900000000000005</v>
      </c>
      <c r="AQ32" s="90">
        <v>0.97299999999999998</v>
      </c>
    </row>
    <row r="33" spans="1:43" x14ac:dyDescent="0.25">
      <c r="A33" s="88">
        <v>6</v>
      </c>
      <c r="B33" s="90">
        <v>0.27</v>
      </c>
      <c r="C33" s="90">
        <v>0.27600000000000002</v>
      </c>
      <c r="D33" s="90">
        <v>0.28299999999999997</v>
      </c>
      <c r="E33" s="90">
        <v>0.28899999999999998</v>
      </c>
      <c r="F33" s="90">
        <v>0.29599999999999999</v>
      </c>
      <c r="G33" s="90">
        <v>0.30299999999999999</v>
      </c>
      <c r="H33" s="90">
        <v>0.311</v>
      </c>
      <c r="I33" s="90">
        <v>0.318</v>
      </c>
      <c r="J33" s="90">
        <v>0.32600000000000001</v>
      </c>
      <c r="K33" s="90">
        <v>0.33500000000000002</v>
      </c>
      <c r="L33" s="90">
        <v>0.34300000000000003</v>
      </c>
      <c r="M33" s="90">
        <v>0.35199999999999998</v>
      </c>
      <c r="N33" s="90">
        <v>0.36099999999999999</v>
      </c>
      <c r="O33" s="90">
        <v>0.371</v>
      </c>
      <c r="P33" s="90">
        <v>0.38100000000000001</v>
      </c>
      <c r="Q33" s="90">
        <v>0.39200000000000002</v>
      </c>
      <c r="R33" s="90">
        <v>0.40300000000000002</v>
      </c>
      <c r="S33" s="90">
        <v>0.41399999999999998</v>
      </c>
      <c r="T33" s="90">
        <v>0.42599999999999999</v>
      </c>
      <c r="U33" s="90">
        <v>0.438</v>
      </c>
      <c r="V33" s="90">
        <v>0.45100000000000001</v>
      </c>
      <c r="W33" s="90">
        <v>0.46500000000000002</v>
      </c>
      <c r="X33" s="90">
        <v>0.47899999999999998</v>
      </c>
      <c r="Y33" s="90">
        <v>0.49399999999999999</v>
      </c>
      <c r="Z33" s="90">
        <v>0.51</v>
      </c>
      <c r="AA33" s="90">
        <v>0.52600000000000002</v>
      </c>
      <c r="AB33" s="90">
        <v>0.54400000000000004</v>
      </c>
      <c r="AC33" s="90">
        <v>0.56200000000000006</v>
      </c>
      <c r="AD33" s="90">
        <v>0.58099999999999996</v>
      </c>
      <c r="AE33" s="90">
        <v>0.60099999999999998</v>
      </c>
      <c r="AF33" s="90">
        <v>0.623</v>
      </c>
      <c r="AG33" s="90">
        <v>0.64600000000000002</v>
      </c>
      <c r="AH33" s="90">
        <v>0.67</v>
      </c>
      <c r="AI33" s="90">
        <v>0.69599999999999995</v>
      </c>
      <c r="AJ33" s="90">
        <v>0.72299999999999998</v>
      </c>
      <c r="AK33" s="90">
        <v>0.752</v>
      </c>
      <c r="AL33" s="90">
        <v>0.78300000000000003</v>
      </c>
      <c r="AM33" s="90">
        <v>0.81699999999999995</v>
      </c>
      <c r="AN33" s="90">
        <v>0.85299999999999998</v>
      </c>
      <c r="AO33" s="90">
        <v>0.89100000000000001</v>
      </c>
      <c r="AP33" s="90">
        <v>0.93200000000000005</v>
      </c>
      <c r="AQ33" s="90">
        <v>0.97699999999999998</v>
      </c>
    </row>
    <row r="34" spans="1:43" x14ac:dyDescent="0.25">
      <c r="A34" s="88">
        <v>7</v>
      </c>
      <c r="B34" s="90">
        <v>0.27</v>
      </c>
      <c r="C34" s="90">
        <v>0.27700000000000002</v>
      </c>
      <c r="D34" s="90">
        <v>0.28299999999999997</v>
      </c>
      <c r="E34" s="90">
        <v>0.28999999999999998</v>
      </c>
      <c r="F34" s="90">
        <v>0.29699999999999999</v>
      </c>
      <c r="G34" s="90">
        <v>0.30399999999999999</v>
      </c>
      <c r="H34" s="90">
        <v>0.311</v>
      </c>
      <c r="I34" s="90">
        <v>0.31900000000000001</v>
      </c>
      <c r="J34" s="90">
        <v>0.32700000000000001</v>
      </c>
      <c r="K34" s="90">
        <v>0.33500000000000002</v>
      </c>
      <c r="L34" s="90">
        <v>0.34399999999999997</v>
      </c>
      <c r="M34" s="90">
        <v>0.35299999999999998</v>
      </c>
      <c r="N34" s="90">
        <v>0.36199999999999999</v>
      </c>
      <c r="O34" s="90">
        <v>0.372</v>
      </c>
      <c r="P34" s="90">
        <v>0.38200000000000001</v>
      </c>
      <c r="Q34" s="90">
        <v>0.39300000000000002</v>
      </c>
      <c r="R34" s="90">
        <v>0.40300000000000002</v>
      </c>
      <c r="S34" s="90">
        <v>0.41499999999999998</v>
      </c>
      <c r="T34" s="90">
        <v>0.42699999999999999</v>
      </c>
      <c r="U34" s="90">
        <v>0.439</v>
      </c>
      <c r="V34" s="90">
        <v>0.45200000000000001</v>
      </c>
      <c r="W34" s="90">
        <v>0.46600000000000003</v>
      </c>
      <c r="X34" s="90">
        <v>0.48</v>
      </c>
      <c r="Y34" s="90">
        <v>0.495</v>
      </c>
      <c r="Z34" s="90">
        <v>0.51100000000000001</v>
      </c>
      <c r="AA34" s="90">
        <v>0.52800000000000002</v>
      </c>
      <c r="AB34" s="90">
        <v>0.54500000000000004</v>
      </c>
      <c r="AC34" s="90">
        <v>0.56299999999999994</v>
      </c>
      <c r="AD34" s="90">
        <v>0.58299999999999996</v>
      </c>
      <c r="AE34" s="90">
        <v>0.60299999999999998</v>
      </c>
      <c r="AF34" s="90">
        <v>0.625</v>
      </c>
      <c r="AG34" s="90">
        <v>0.64800000000000002</v>
      </c>
      <c r="AH34" s="90">
        <v>0.67200000000000004</v>
      </c>
      <c r="AI34" s="90">
        <v>0.69799999999999995</v>
      </c>
      <c r="AJ34" s="90">
        <v>0.72499999999999998</v>
      </c>
      <c r="AK34" s="90">
        <v>0.755</v>
      </c>
      <c r="AL34" s="90">
        <v>0.78600000000000003</v>
      </c>
      <c r="AM34" s="90">
        <v>0.82</v>
      </c>
      <c r="AN34" s="90">
        <v>0.85599999999999998</v>
      </c>
      <c r="AO34" s="90">
        <v>0.89400000000000002</v>
      </c>
      <c r="AP34" s="90">
        <v>0.93600000000000005</v>
      </c>
      <c r="AQ34" s="90">
        <v>0.98099999999999998</v>
      </c>
    </row>
    <row r="35" spans="1:43" x14ac:dyDescent="0.25">
      <c r="A35" s="88">
        <v>8</v>
      </c>
      <c r="B35" s="90">
        <v>0.27100000000000002</v>
      </c>
      <c r="C35" s="90">
        <v>0.27700000000000002</v>
      </c>
      <c r="D35" s="90">
        <v>0.28399999999999997</v>
      </c>
      <c r="E35" s="90">
        <v>0.28999999999999998</v>
      </c>
      <c r="F35" s="90">
        <v>0.29699999999999999</v>
      </c>
      <c r="G35" s="90">
        <v>0.30499999999999999</v>
      </c>
      <c r="H35" s="90">
        <v>0.312</v>
      </c>
      <c r="I35" s="90">
        <v>0.32</v>
      </c>
      <c r="J35" s="90">
        <v>0.32800000000000001</v>
      </c>
      <c r="K35" s="90">
        <v>0.33600000000000002</v>
      </c>
      <c r="L35" s="90">
        <v>0.34499999999999997</v>
      </c>
      <c r="M35" s="90">
        <v>0.35399999999999998</v>
      </c>
      <c r="N35" s="90">
        <v>0.36299999999999999</v>
      </c>
      <c r="O35" s="90">
        <v>0.373</v>
      </c>
      <c r="P35" s="90">
        <v>0.38300000000000001</v>
      </c>
      <c r="Q35" s="90">
        <v>0.39300000000000002</v>
      </c>
      <c r="R35" s="90">
        <v>0.40400000000000003</v>
      </c>
      <c r="S35" s="90">
        <v>0.41599999999999998</v>
      </c>
      <c r="T35" s="90">
        <v>0.42799999999999999</v>
      </c>
      <c r="U35" s="90">
        <v>0.44</v>
      </c>
      <c r="V35" s="90">
        <v>0.45300000000000001</v>
      </c>
      <c r="W35" s="90">
        <v>0.46700000000000003</v>
      </c>
      <c r="X35" s="90">
        <v>0.48099999999999998</v>
      </c>
      <c r="Y35" s="90">
        <v>0.497</v>
      </c>
      <c r="Z35" s="90">
        <v>0.51200000000000001</v>
      </c>
      <c r="AA35" s="90">
        <v>0.52900000000000003</v>
      </c>
      <c r="AB35" s="90">
        <v>0.54600000000000004</v>
      </c>
      <c r="AC35" s="90">
        <v>0.56499999999999995</v>
      </c>
      <c r="AD35" s="90">
        <v>0.58399999999999996</v>
      </c>
      <c r="AE35" s="90">
        <v>0.60499999999999998</v>
      </c>
      <c r="AF35" s="90">
        <v>0.627</v>
      </c>
      <c r="AG35" s="90">
        <v>0.65</v>
      </c>
      <c r="AH35" s="90">
        <v>0.67400000000000004</v>
      </c>
      <c r="AI35" s="90">
        <v>0.7</v>
      </c>
      <c r="AJ35" s="90">
        <v>0.72799999999999998</v>
      </c>
      <c r="AK35" s="90">
        <v>0.75700000000000001</v>
      </c>
      <c r="AL35" s="90">
        <v>0.78900000000000003</v>
      </c>
      <c r="AM35" s="90">
        <v>0.82299999999999995</v>
      </c>
      <c r="AN35" s="90">
        <v>0.85899999999999999</v>
      </c>
      <c r="AO35" s="90">
        <v>0.89800000000000002</v>
      </c>
      <c r="AP35" s="90">
        <v>0.93899999999999995</v>
      </c>
      <c r="AQ35" s="90">
        <v>0.98499999999999999</v>
      </c>
    </row>
    <row r="36" spans="1:43" x14ac:dyDescent="0.25">
      <c r="A36" s="88">
        <v>9</v>
      </c>
      <c r="B36" s="90">
        <v>0.27100000000000002</v>
      </c>
      <c r="C36" s="90">
        <v>0.27800000000000002</v>
      </c>
      <c r="D36" s="90">
        <v>0.28399999999999997</v>
      </c>
      <c r="E36" s="90">
        <v>0.29099999999999998</v>
      </c>
      <c r="F36" s="90">
        <v>0.29799999999999999</v>
      </c>
      <c r="G36" s="90">
        <v>0.30499999999999999</v>
      </c>
      <c r="H36" s="90">
        <v>0.313</v>
      </c>
      <c r="I36" s="90">
        <v>0.32</v>
      </c>
      <c r="J36" s="90">
        <v>0.32800000000000001</v>
      </c>
      <c r="K36" s="90">
        <v>0.33700000000000002</v>
      </c>
      <c r="L36" s="90">
        <v>0.34499999999999997</v>
      </c>
      <c r="M36" s="90">
        <v>0.35399999999999998</v>
      </c>
      <c r="N36" s="90">
        <v>0.36399999999999999</v>
      </c>
      <c r="O36" s="90">
        <v>0.374</v>
      </c>
      <c r="P36" s="90">
        <v>0.38400000000000001</v>
      </c>
      <c r="Q36" s="90">
        <v>0.39400000000000002</v>
      </c>
      <c r="R36" s="90">
        <v>0.40500000000000003</v>
      </c>
      <c r="S36" s="90">
        <v>0.41699999999999998</v>
      </c>
      <c r="T36" s="90">
        <v>0.42899999999999999</v>
      </c>
      <c r="U36" s="90">
        <v>0.441</v>
      </c>
      <c r="V36" s="90">
        <v>0.45500000000000002</v>
      </c>
      <c r="W36" s="90">
        <v>0.46800000000000003</v>
      </c>
      <c r="X36" s="90">
        <v>0.48299999999999998</v>
      </c>
      <c r="Y36" s="90">
        <v>0.498</v>
      </c>
      <c r="Z36" s="90">
        <v>0.51400000000000001</v>
      </c>
      <c r="AA36" s="90">
        <v>0.53</v>
      </c>
      <c r="AB36" s="90">
        <v>0.54800000000000004</v>
      </c>
      <c r="AC36" s="90">
        <v>0.56599999999999995</v>
      </c>
      <c r="AD36" s="90">
        <v>0.58599999999999997</v>
      </c>
      <c r="AE36" s="90">
        <v>0.60699999999999998</v>
      </c>
      <c r="AF36" s="90">
        <v>0.629</v>
      </c>
      <c r="AG36" s="90">
        <v>0.65200000000000002</v>
      </c>
      <c r="AH36" s="90">
        <v>0.67600000000000005</v>
      </c>
      <c r="AI36" s="90">
        <v>0.70199999999999996</v>
      </c>
      <c r="AJ36" s="90">
        <v>0.73</v>
      </c>
      <c r="AK36" s="90">
        <v>0.76</v>
      </c>
      <c r="AL36" s="90">
        <v>0.79200000000000004</v>
      </c>
      <c r="AM36" s="90">
        <v>0.82499999999999996</v>
      </c>
      <c r="AN36" s="90">
        <v>0.86199999999999999</v>
      </c>
      <c r="AO36" s="90">
        <v>0.90100000000000002</v>
      </c>
      <c r="AP36" s="90">
        <v>0.94299999999999995</v>
      </c>
      <c r="AQ36" s="90">
        <v>0.98799999999999999</v>
      </c>
    </row>
    <row r="37" spans="1:43" x14ac:dyDescent="0.25">
      <c r="A37" s="88">
        <v>10</v>
      </c>
      <c r="B37" s="90">
        <v>0.27200000000000002</v>
      </c>
      <c r="C37" s="90">
        <v>0.27800000000000002</v>
      </c>
      <c r="D37" s="90">
        <v>0.28499999999999998</v>
      </c>
      <c r="E37" s="90">
        <v>0.29199999999999998</v>
      </c>
      <c r="F37" s="90">
        <v>0.29899999999999999</v>
      </c>
      <c r="G37" s="90">
        <v>0.30599999999999999</v>
      </c>
      <c r="H37" s="90">
        <v>0.313</v>
      </c>
      <c r="I37" s="90">
        <v>0.32100000000000001</v>
      </c>
      <c r="J37" s="90">
        <v>0.32900000000000001</v>
      </c>
      <c r="K37" s="90">
        <v>0.33800000000000002</v>
      </c>
      <c r="L37" s="90">
        <v>0.34599999999999997</v>
      </c>
      <c r="M37" s="90">
        <v>0.35499999999999998</v>
      </c>
      <c r="N37" s="90">
        <v>0.36499999999999999</v>
      </c>
      <c r="O37" s="90">
        <v>0.374</v>
      </c>
      <c r="P37" s="90">
        <v>0.38500000000000001</v>
      </c>
      <c r="Q37" s="90">
        <v>0.39500000000000002</v>
      </c>
      <c r="R37" s="90">
        <v>0.40600000000000003</v>
      </c>
      <c r="S37" s="90">
        <v>0.41799999999999998</v>
      </c>
      <c r="T37" s="90">
        <v>0.43</v>
      </c>
      <c r="U37" s="90">
        <v>0.442</v>
      </c>
      <c r="V37" s="90">
        <v>0.45600000000000002</v>
      </c>
      <c r="W37" s="90">
        <v>0.46899999999999997</v>
      </c>
      <c r="X37" s="90">
        <v>0.48399999999999999</v>
      </c>
      <c r="Y37" s="90">
        <v>0.499</v>
      </c>
      <c r="Z37" s="90">
        <v>0.51500000000000001</v>
      </c>
      <c r="AA37" s="90">
        <v>0.53200000000000003</v>
      </c>
      <c r="AB37" s="90">
        <v>0.54900000000000004</v>
      </c>
      <c r="AC37" s="90">
        <v>0.56799999999999995</v>
      </c>
      <c r="AD37" s="90">
        <v>0.58799999999999997</v>
      </c>
      <c r="AE37" s="90">
        <v>0.60799999999999998</v>
      </c>
      <c r="AF37" s="90">
        <v>0.63</v>
      </c>
      <c r="AG37" s="90">
        <v>0.65400000000000003</v>
      </c>
      <c r="AH37" s="90">
        <v>0.67800000000000005</v>
      </c>
      <c r="AI37" s="90">
        <v>0.70499999999999996</v>
      </c>
      <c r="AJ37" s="90">
        <v>0.73299999999999998</v>
      </c>
      <c r="AK37" s="90">
        <v>0.76200000000000001</v>
      </c>
      <c r="AL37" s="90">
        <v>0.79400000000000004</v>
      </c>
      <c r="AM37" s="90">
        <v>0.82799999999999996</v>
      </c>
      <c r="AN37" s="90">
        <v>0.86499999999999999</v>
      </c>
      <c r="AO37" s="90">
        <v>0.90400000000000003</v>
      </c>
      <c r="AP37" s="90">
        <v>0.94699999999999995</v>
      </c>
      <c r="AQ37" s="90">
        <v>0.99199999999999999</v>
      </c>
    </row>
    <row r="38" spans="1:43" x14ac:dyDescent="0.25">
      <c r="A38" s="88">
        <v>11</v>
      </c>
      <c r="B38" s="90">
        <v>0.27200000000000002</v>
      </c>
      <c r="C38" s="90">
        <v>0.27900000000000003</v>
      </c>
      <c r="D38" s="90">
        <v>0.28499999999999998</v>
      </c>
      <c r="E38" s="90">
        <v>0.29199999999999998</v>
      </c>
      <c r="F38" s="90">
        <v>0.29899999999999999</v>
      </c>
      <c r="G38" s="90">
        <v>0.30599999999999999</v>
      </c>
      <c r="H38" s="90">
        <v>0.314</v>
      </c>
      <c r="I38" s="90">
        <v>0.32200000000000001</v>
      </c>
      <c r="J38" s="90">
        <v>0.33</v>
      </c>
      <c r="K38" s="90">
        <v>0.33800000000000002</v>
      </c>
      <c r="L38" s="90">
        <v>0.34699999999999998</v>
      </c>
      <c r="M38" s="90">
        <v>0.35599999999999998</v>
      </c>
      <c r="N38" s="90">
        <v>0.36499999999999999</v>
      </c>
      <c r="O38" s="90">
        <v>0.375</v>
      </c>
      <c r="P38" s="90">
        <v>0.38500000000000001</v>
      </c>
      <c r="Q38" s="90">
        <v>0.39600000000000002</v>
      </c>
      <c r="R38" s="90">
        <v>0.40699999999999997</v>
      </c>
      <c r="S38" s="90">
        <v>0.41899999999999998</v>
      </c>
      <c r="T38" s="90">
        <v>0.43099999999999999</v>
      </c>
      <c r="U38" s="90">
        <v>0.443</v>
      </c>
      <c r="V38" s="90">
        <v>0.45700000000000002</v>
      </c>
      <c r="W38" s="90">
        <v>0.47099999999999997</v>
      </c>
      <c r="X38" s="90">
        <v>0.48499999999999999</v>
      </c>
      <c r="Y38" s="90">
        <v>0.5</v>
      </c>
      <c r="Z38" s="90">
        <v>0.51600000000000001</v>
      </c>
      <c r="AA38" s="90">
        <v>0.53300000000000003</v>
      </c>
      <c r="AB38" s="90">
        <v>0.55100000000000005</v>
      </c>
      <c r="AC38" s="90">
        <v>0.56999999999999995</v>
      </c>
      <c r="AD38" s="90">
        <v>0.58899999999999997</v>
      </c>
      <c r="AE38" s="90">
        <v>0.61</v>
      </c>
      <c r="AF38" s="90">
        <v>0.63200000000000001</v>
      </c>
      <c r="AG38" s="90">
        <v>0.65600000000000003</v>
      </c>
      <c r="AH38" s="90">
        <v>0.68</v>
      </c>
      <c r="AI38" s="90">
        <v>0.70699999999999996</v>
      </c>
      <c r="AJ38" s="90">
        <v>0.73499999999999999</v>
      </c>
      <c r="AK38" s="90">
        <v>0.76500000000000001</v>
      </c>
      <c r="AL38" s="90">
        <v>0.79700000000000004</v>
      </c>
      <c r="AM38" s="90">
        <v>0.83099999999999996</v>
      </c>
      <c r="AN38" s="90">
        <v>0.86799999999999999</v>
      </c>
      <c r="AO38" s="90">
        <v>0.90800000000000003</v>
      </c>
      <c r="AP38" s="90">
        <v>0.95</v>
      </c>
      <c r="AQ38" s="90">
        <v>0.996</v>
      </c>
    </row>
    <row r="44" spans="1:43" ht="39.65" customHeight="1" x14ac:dyDescent="0.25"/>
    <row r="46" spans="1:43" ht="27.65" customHeight="1" x14ac:dyDescent="0.25"/>
  </sheetData>
  <sheetProtection algorithmName="SHA-512" hashValue="aLJFEBbFXWXReGCJV4lEwoU/sqwsK5rJYvhNp4h0eQDBEulXactAPgGLQVbbg4XruoU4cbS550M5w1TyAQ1C1A==" saltValue="4MeqUL6+cPFw7Dxr6MvtnA==" spinCount="100000" sheet="1" objects="1" scenarios="1"/>
  <conditionalFormatting sqref="A6:A16">
    <cfRule type="expression" dxfId="237" priority="29" stopIfTrue="1">
      <formula>MOD(ROW(),2)=0</formula>
    </cfRule>
    <cfRule type="expression" dxfId="236" priority="30" stopIfTrue="1">
      <formula>MOD(ROW(),2)&lt;&gt;0</formula>
    </cfRule>
  </conditionalFormatting>
  <conditionalFormatting sqref="B6:AQ21">
    <cfRule type="expression" dxfId="235" priority="31" stopIfTrue="1">
      <formula>MOD(ROW(),2)=0</formula>
    </cfRule>
    <cfRule type="expression" dxfId="234" priority="32" stopIfTrue="1">
      <formula>MOD(ROW(),2)&lt;&gt;0</formula>
    </cfRule>
  </conditionalFormatting>
  <conditionalFormatting sqref="A17:A20">
    <cfRule type="expression" dxfId="233" priority="21" stopIfTrue="1">
      <formula>MOD(ROW(),2)=0</formula>
    </cfRule>
    <cfRule type="expression" dxfId="232" priority="22" stopIfTrue="1">
      <formula>MOD(ROW(),2)&lt;&gt;0</formula>
    </cfRule>
  </conditionalFormatting>
  <conditionalFormatting sqref="B17:B18 B20:B21">
    <cfRule type="expression" dxfId="231" priority="23" stopIfTrue="1">
      <formula>MOD(ROW(),2)=0</formula>
    </cfRule>
    <cfRule type="expression" dxfId="230" priority="24" stopIfTrue="1">
      <formula>MOD(ROW(),2)&lt;&gt;0</formula>
    </cfRule>
  </conditionalFormatting>
  <conditionalFormatting sqref="A26:A38">
    <cfRule type="expression" dxfId="229" priority="15" stopIfTrue="1">
      <formula>MOD(ROW(),2)=0</formula>
    </cfRule>
    <cfRule type="expression" dxfId="228" priority="16" stopIfTrue="1">
      <formula>MOD(ROW(),2)&lt;&gt;0</formula>
    </cfRule>
  </conditionalFormatting>
  <conditionalFormatting sqref="B26:AQ38">
    <cfRule type="expression" dxfId="227" priority="17" stopIfTrue="1">
      <formula>MOD(ROW(),2)=0</formula>
    </cfRule>
    <cfRule type="expression" dxfId="226" priority="18" stopIfTrue="1">
      <formula>MOD(ROW(),2)&lt;&gt;0</formula>
    </cfRule>
  </conditionalFormatting>
  <conditionalFormatting sqref="B19">
    <cfRule type="expression" dxfId="225" priority="13" stopIfTrue="1">
      <formula>MOD(ROW(),2)=0</formula>
    </cfRule>
    <cfRule type="expression" dxfId="224" priority="14" stopIfTrue="1">
      <formula>MOD(ROW(),2)&lt;&gt;0</formula>
    </cfRule>
  </conditionalFormatting>
  <conditionalFormatting sqref="A21">
    <cfRule type="expression" dxfId="223" priority="1" stopIfTrue="1">
      <formula>MOD(ROW(),2)=0</formula>
    </cfRule>
    <cfRule type="expression" dxfId="222" priority="2" stopIfTrue="1">
      <formula>MOD(ROW(),2)&lt;&gt;0</formula>
    </cfRule>
  </conditionalFormatting>
  <hyperlinks>
    <hyperlink ref="B24" location="Assumptions!A1" display="Assumptions" xr:uid="{9006951E-42E2-4F2C-9BBF-26AB87F6E0AF}"/>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100-000000000000}">
  <sheetPr codeName="Sheet100"/>
  <dimension ref="A1:I76"/>
  <sheetViews>
    <sheetView showGridLines="0" zoomScale="85" zoomScaleNormal="85" workbookViewId="0">
      <selection activeCell="B18" sqref="B18"/>
    </sheetView>
  </sheetViews>
  <sheetFormatPr defaultColWidth="10" defaultRowHeight="12.5" x14ac:dyDescent="0.25"/>
  <cols>
    <col min="1" max="1" width="31.81640625" style="28" customWidth="1"/>
    <col min="2" max="2" width="34.1796875" style="28" customWidth="1"/>
    <col min="3" max="16384" width="10" style="28"/>
  </cols>
  <sheetData>
    <row r="1" spans="1:9" ht="20" x14ac:dyDescent="0.4">
      <c r="A1" s="40" t="s">
        <v>227</v>
      </c>
      <c r="B1" s="41"/>
      <c r="C1" s="41"/>
      <c r="D1" s="41"/>
      <c r="E1" s="41"/>
      <c r="F1" s="41"/>
      <c r="G1" s="41"/>
      <c r="H1" s="41"/>
      <c r="I1" s="41"/>
    </row>
    <row r="2" spans="1:9" ht="15.5" x14ac:dyDescent="0.35">
      <c r="A2" s="42" t="str">
        <f>IF(title="&gt; Enter workbook title here","Enter workbook title in Cover sheet",title)</f>
        <v>Fire Northern Ireland - Consolidated Factor Spreadsheet</v>
      </c>
      <c r="B2" s="43"/>
      <c r="C2" s="43"/>
      <c r="D2" s="43"/>
      <c r="E2" s="43"/>
      <c r="F2" s="43"/>
      <c r="G2" s="43"/>
      <c r="H2" s="43"/>
      <c r="I2" s="43"/>
    </row>
    <row r="3" spans="1:9" ht="15.5" x14ac:dyDescent="0.35">
      <c r="A3" s="44" t="str">
        <f>TABLE_FACTOR_TYPE_1&amp;" - x-"&amp;TABLE_SERIES_NUMBER_1</f>
        <v>Scheme pays AA - x-620</v>
      </c>
      <c r="B3" s="43"/>
      <c r="C3" s="43"/>
      <c r="D3" s="43"/>
      <c r="E3" s="43"/>
      <c r="F3" s="43"/>
      <c r="G3" s="43"/>
      <c r="H3" s="43"/>
      <c r="I3" s="43"/>
    </row>
    <row r="4" spans="1:9" x14ac:dyDescent="0.25">
      <c r="A4" s="45"/>
    </row>
    <row r="6" spans="1:9" ht="13" x14ac:dyDescent="0.3">
      <c r="A6" s="75" t="s">
        <v>562</v>
      </c>
      <c r="B6" s="159" t="s">
        <v>563</v>
      </c>
    </row>
    <row r="7" spans="1:9" x14ac:dyDescent="0.25">
      <c r="A7" s="77" t="s">
        <v>305</v>
      </c>
      <c r="B7" s="159" t="s">
        <v>319</v>
      </c>
    </row>
    <row r="8" spans="1:9" x14ac:dyDescent="0.25">
      <c r="A8" s="77" t="s">
        <v>306</v>
      </c>
      <c r="B8" s="159">
        <v>2015</v>
      </c>
    </row>
    <row r="9" spans="1:9" x14ac:dyDescent="0.25">
      <c r="A9" s="77" t="s">
        <v>307</v>
      </c>
      <c r="B9" s="159" t="s">
        <v>482</v>
      </c>
    </row>
    <row r="10" spans="1:9" x14ac:dyDescent="0.25">
      <c r="A10" s="77" t="s">
        <v>233</v>
      </c>
      <c r="B10" s="159" t="s">
        <v>524</v>
      </c>
    </row>
    <row r="11" spans="1:9" x14ac:dyDescent="0.25">
      <c r="A11" s="77" t="s">
        <v>308</v>
      </c>
      <c r="B11" s="159" t="s">
        <v>404</v>
      </c>
    </row>
    <row r="12" spans="1:9" x14ac:dyDescent="0.25">
      <c r="A12" s="77" t="s">
        <v>309</v>
      </c>
      <c r="B12" s="159" t="s">
        <v>431</v>
      </c>
    </row>
    <row r="13" spans="1:9" x14ac:dyDescent="0.25">
      <c r="A13" s="77" t="s">
        <v>570</v>
      </c>
      <c r="B13" s="159">
        <v>0</v>
      </c>
    </row>
    <row r="14" spans="1:9" x14ac:dyDescent="0.25">
      <c r="A14" s="77" t="s">
        <v>311</v>
      </c>
      <c r="B14" s="159">
        <v>620</v>
      </c>
    </row>
    <row r="15" spans="1:9" x14ac:dyDescent="0.25">
      <c r="A15" s="77" t="s">
        <v>573</v>
      </c>
      <c r="B15" s="159" t="s">
        <v>525</v>
      </c>
    </row>
    <row r="16" spans="1:9" x14ac:dyDescent="0.25">
      <c r="A16" s="77" t="s">
        <v>313</v>
      </c>
      <c r="B16" s="159" t="s">
        <v>340</v>
      </c>
    </row>
    <row r="17" spans="1:2" x14ac:dyDescent="0.25">
      <c r="A17" s="77" t="s">
        <v>642</v>
      </c>
      <c r="B17" s="159"/>
    </row>
    <row r="18" spans="1:2" x14ac:dyDescent="0.25">
      <c r="A18" s="77" t="s">
        <v>315</v>
      </c>
      <c r="B18" s="161">
        <v>45135</v>
      </c>
    </row>
    <row r="19" spans="1:2" x14ac:dyDescent="0.25">
      <c r="A19" s="77" t="s">
        <v>316</v>
      </c>
      <c r="B19" s="161">
        <v>45135</v>
      </c>
    </row>
    <row r="20" spans="1:2" x14ac:dyDescent="0.25">
      <c r="A20" s="77" t="s">
        <v>317</v>
      </c>
      <c r="B20" s="159" t="s">
        <v>327</v>
      </c>
    </row>
    <row r="21" spans="1:2" x14ac:dyDescent="0.25">
      <c r="A21" s="77" t="s">
        <v>318</v>
      </c>
      <c r="B21" s="159" t="s">
        <v>328</v>
      </c>
    </row>
    <row r="23" spans="1:2" x14ac:dyDescent="0.25">
      <c r="B23" s="91" t="str">
        <f>HYPERLINK("#'Factor List'!A1","Back to Factor List")</f>
        <v>Back to Factor List</v>
      </c>
    </row>
    <row r="24" spans="1:2" x14ac:dyDescent="0.25">
      <c r="B24" s="91" t="s">
        <v>240</v>
      </c>
    </row>
    <row r="25" spans="1:2" x14ac:dyDescent="0.25">
      <c r="B25" s="91"/>
    </row>
    <row r="26" spans="1:2" ht="26" x14ac:dyDescent="0.25">
      <c r="A26" s="87" t="s">
        <v>668</v>
      </c>
      <c r="B26" s="87" t="s">
        <v>695</v>
      </c>
    </row>
    <row r="27" spans="1:2" x14ac:dyDescent="0.25">
      <c r="A27" s="88">
        <v>0</v>
      </c>
      <c r="B27" s="90">
        <v>1</v>
      </c>
    </row>
    <row r="28" spans="1:2" x14ac:dyDescent="0.25">
      <c r="A28" s="88">
        <v>1</v>
      </c>
      <c r="B28" s="90">
        <v>0.94199999999999995</v>
      </c>
    </row>
    <row r="29" spans="1:2" x14ac:dyDescent="0.25">
      <c r="A29" s="88">
        <v>2</v>
      </c>
      <c r="B29" s="90">
        <v>0.89</v>
      </c>
    </row>
    <row r="30" spans="1:2" x14ac:dyDescent="0.25">
      <c r="A30" s="88">
        <v>3</v>
      </c>
      <c r="B30" s="90">
        <v>0.84199999999999997</v>
      </c>
    </row>
    <row r="31" spans="1:2" x14ac:dyDescent="0.25">
      <c r="A31" s="88">
        <v>4</v>
      </c>
      <c r="B31" s="90">
        <v>0.79900000000000004</v>
      </c>
    </row>
    <row r="32" spans="1:2" x14ac:dyDescent="0.25">
      <c r="A32" s="88">
        <v>5</v>
      </c>
      <c r="B32" s="90">
        <v>0.75900000000000001</v>
      </c>
    </row>
    <row r="33" spans="1:2" x14ac:dyDescent="0.25">
      <c r="A33" s="88">
        <v>6</v>
      </c>
      <c r="B33" s="90">
        <v>0.72199999999999998</v>
      </c>
    </row>
    <row r="34" spans="1:2" x14ac:dyDescent="0.25">
      <c r="A34" s="88">
        <v>7</v>
      </c>
      <c r="B34" s="90">
        <v>0.68899999999999995</v>
      </c>
    </row>
    <row r="35" spans="1:2" x14ac:dyDescent="0.25">
      <c r="A35" s="88">
        <v>8</v>
      </c>
      <c r="B35" s="90">
        <v>0.65800000000000003</v>
      </c>
    </row>
    <row r="36" spans="1:2" x14ac:dyDescent="0.25">
      <c r="A36" s="88">
        <v>9</v>
      </c>
      <c r="B36" s="90">
        <v>0.629</v>
      </c>
    </row>
    <row r="37" spans="1:2" x14ac:dyDescent="0.25">
      <c r="A37" s="88">
        <v>10</v>
      </c>
      <c r="B37" s="90">
        <v>0.60199999999999998</v>
      </c>
    </row>
    <row r="38" spans="1:2" x14ac:dyDescent="0.25">
      <c r="A38" s="88">
        <v>11</v>
      </c>
      <c r="B38" s="90">
        <v>0.57699999999999996</v>
      </c>
    </row>
    <row r="39" spans="1:2" x14ac:dyDescent="0.25">
      <c r="A39" s="88">
        <v>12</v>
      </c>
      <c r="B39" s="90">
        <v>0.55400000000000005</v>
      </c>
    </row>
    <row r="40" spans="1:2" x14ac:dyDescent="0.25">
      <c r="A40" s="88">
        <v>13</v>
      </c>
      <c r="B40" s="90">
        <v>0.53200000000000003</v>
      </c>
    </row>
    <row r="41" spans="1:2" x14ac:dyDescent="0.25">
      <c r="A41" s="88">
        <v>14</v>
      </c>
      <c r="B41" s="90">
        <v>0.51200000000000001</v>
      </c>
    </row>
    <row r="42" spans="1:2" x14ac:dyDescent="0.25">
      <c r="A42" s="88">
        <v>15</v>
      </c>
      <c r="B42" s="90">
        <v>0.49299999999999999</v>
      </c>
    </row>
    <row r="43" spans="1:2" x14ac:dyDescent="0.25">
      <c r="A43" s="88">
        <v>16</v>
      </c>
      <c r="B43" s="90">
        <v>0.47499999999999998</v>
      </c>
    </row>
    <row r="44" spans="1:2" x14ac:dyDescent="0.25">
      <c r="A44" s="88">
        <v>17</v>
      </c>
      <c r="B44" s="90">
        <v>0.45800000000000002</v>
      </c>
    </row>
    <row r="45" spans="1:2" x14ac:dyDescent="0.25">
      <c r="A45" s="88">
        <v>18</v>
      </c>
      <c r="B45" s="90">
        <v>0.442</v>
      </c>
    </row>
    <row r="46" spans="1:2" x14ac:dyDescent="0.25">
      <c r="A46" s="88">
        <v>19</v>
      </c>
      <c r="B46" s="90">
        <v>0.42699999999999999</v>
      </c>
    </row>
    <row r="47" spans="1:2" x14ac:dyDescent="0.25">
      <c r="A47" s="88">
        <v>20</v>
      </c>
      <c r="B47" s="90">
        <v>0.41299999999999998</v>
      </c>
    </row>
    <row r="48" spans="1:2" x14ac:dyDescent="0.25">
      <c r="A48" s="88">
        <v>21</v>
      </c>
      <c r="B48" s="90">
        <v>0.39900000000000002</v>
      </c>
    </row>
    <row r="49" spans="1:2" x14ac:dyDescent="0.25">
      <c r="A49" s="88">
        <v>22</v>
      </c>
      <c r="B49" s="90">
        <v>0.38700000000000001</v>
      </c>
    </row>
    <row r="50" spans="1:2" x14ac:dyDescent="0.25">
      <c r="A50" s="88">
        <v>23</v>
      </c>
      <c r="B50" s="90">
        <v>0.374</v>
      </c>
    </row>
    <row r="51" spans="1:2" x14ac:dyDescent="0.25">
      <c r="A51" s="88">
        <v>24</v>
      </c>
      <c r="B51" s="90">
        <v>0.36299999999999999</v>
      </c>
    </row>
    <row r="52" spans="1:2" x14ac:dyDescent="0.25">
      <c r="A52" s="88">
        <v>25</v>
      </c>
      <c r="B52" s="90">
        <v>0.35199999999999998</v>
      </c>
    </row>
    <row r="53" spans="1:2" x14ac:dyDescent="0.25">
      <c r="A53" s="88">
        <v>26</v>
      </c>
      <c r="B53" s="90">
        <v>0.34200000000000003</v>
      </c>
    </row>
    <row r="54" spans="1:2" x14ac:dyDescent="0.25">
      <c r="A54" s="88">
        <v>27</v>
      </c>
      <c r="B54" s="90">
        <v>0.33200000000000002</v>
      </c>
    </row>
    <row r="55" spans="1:2" x14ac:dyDescent="0.25">
      <c r="A55" s="88">
        <v>28</v>
      </c>
      <c r="B55" s="90">
        <v>0.32200000000000001</v>
      </c>
    </row>
    <row r="56" spans="1:2" x14ac:dyDescent="0.25">
      <c r="A56" s="88">
        <v>29</v>
      </c>
      <c r="B56" s="90">
        <v>0.313</v>
      </c>
    </row>
    <row r="57" spans="1:2" x14ac:dyDescent="0.25">
      <c r="A57" s="88">
        <v>30</v>
      </c>
      <c r="B57" s="90">
        <v>0.30499999999999999</v>
      </c>
    </row>
    <row r="58" spans="1:2" x14ac:dyDescent="0.25">
      <c r="A58" s="88">
        <v>31</v>
      </c>
      <c r="B58" s="90">
        <v>0.29599999999999999</v>
      </c>
    </row>
    <row r="59" spans="1:2" x14ac:dyDescent="0.25">
      <c r="A59" s="88">
        <v>32</v>
      </c>
      <c r="B59" s="90">
        <v>0.28799999999999998</v>
      </c>
    </row>
    <row r="60" spans="1:2" x14ac:dyDescent="0.25">
      <c r="A60" s="88">
        <v>33</v>
      </c>
      <c r="B60" s="90">
        <v>0.28100000000000003</v>
      </c>
    </row>
    <row r="61" spans="1:2" x14ac:dyDescent="0.25">
      <c r="A61" s="88">
        <v>34</v>
      </c>
      <c r="B61" s="90">
        <v>0.27300000000000002</v>
      </c>
    </row>
    <row r="62" spans="1:2" x14ac:dyDescent="0.25">
      <c r="A62" s="88">
        <v>35</v>
      </c>
      <c r="B62" s="90">
        <v>0.26600000000000001</v>
      </c>
    </row>
    <row r="63" spans="1:2" x14ac:dyDescent="0.25">
      <c r="A63" s="88">
        <v>36</v>
      </c>
      <c r="B63" s="90">
        <v>0.26</v>
      </c>
    </row>
    <row r="64" spans="1:2" x14ac:dyDescent="0.25">
      <c r="A64" s="88">
        <v>37</v>
      </c>
      <c r="B64" s="90">
        <v>0.253</v>
      </c>
    </row>
    <row r="65" spans="1:2" x14ac:dyDescent="0.25">
      <c r="A65" s="88">
        <v>38</v>
      </c>
      <c r="B65" s="90">
        <v>0.247</v>
      </c>
    </row>
    <row r="66" spans="1:2" x14ac:dyDescent="0.25">
      <c r="A66" s="88">
        <v>39</v>
      </c>
      <c r="B66" s="90">
        <v>0.24099999999999999</v>
      </c>
    </row>
    <row r="67" spans="1:2" x14ac:dyDescent="0.25">
      <c r="A67" s="88">
        <v>40</v>
      </c>
      <c r="B67" s="90">
        <v>0.23499999999999999</v>
      </c>
    </row>
    <row r="68" spans="1:2" x14ac:dyDescent="0.25">
      <c r="A68" s="88">
        <v>41</v>
      </c>
      <c r="B68" s="90">
        <v>0.23</v>
      </c>
    </row>
    <row r="69" spans="1:2" x14ac:dyDescent="0.25">
      <c r="A69" s="88">
        <v>42</v>
      </c>
      <c r="B69" s="90">
        <v>0.224</v>
      </c>
    </row>
    <row r="70" spans="1:2" x14ac:dyDescent="0.25">
      <c r="A70" s="88">
        <v>43</v>
      </c>
      <c r="B70" s="90">
        <v>0.219</v>
      </c>
    </row>
    <row r="71" spans="1:2" x14ac:dyDescent="0.25">
      <c r="A71" s="88">
        <v>44</v>
      </c>
      <c r="B71" s="90">
        <v>0.214</v>
      </c>
    </row>
    <row r="72" spans="1:2" x14ac:dyDescent="0.25">
      <c r="A72" s="88">
        <v>45</v>
      </c>
      <c r="B72" s="90">
        <v>0.20899999999999999</v>
      </c>
    </row>
    <row r="73" spans="1:2" x14ac:dyDescent="0.25">
      <c r="A73" s="88">
        <v>46</v>
      </c>
      <c r="B73" s="90">
        <v>0.20399999999999999</v>
      </c>
    </row>
    <row r="74" spans="1:2" x14ac:dyDescent="0.25">
      <c r="A74" s="88">
        <v>47</v>
      </c>
      <c r="B74" s="90">
        <v>0.2</v>
      </c>
    </row>
    <row r="75" spans="1:2" x14ac:dyDescent="0.25">
      <c r="A75" s="88">
        <v>48</v>
      </c>
      <c r="B75" s="90">
        <v>0.19600000000000001</v>
      </c>
    </row>
    <row r="76" spans="1:2" x14ac:dyDescent="0.25">
      <c r="A76" s="88">
        <v>49</v>
      </c>
      <c r="B76" s="90">
        <v>0.191</v>
      </c>
    </row>
  </sheetData>
  <sheetProtection algorithmName="SHA-512" hashValue="4XATYdb6vJ/+PAeXXrg6LPZGjnK5QHDAkx2ol8hhrusbM8oEi/FHB0gI2kZQBjMVk3LwLf2gkTp7mpX6clf3jw==" saltValue="lPahcNd08v1pEW99D/83UQ==" spinCount="100000" sheet="1" objects="1" scenarios="1"/>
  <conditionalFormatting sqref="A6:A16">
    <cfRule type="expression" dxfId="221" priority="31" stopIfTrue="1">
      <formula>MOD(ROW(),2)=0</formula>
    </cfRule>
    <cfRule type="expression" dxfId="220" priority="32" stopIfTrue="1">
      <formula>MOD(ROW(),2)&lt;&gt;0</formula>
    </cfRule>
  </conditionalFormatting>
  <conditionalFormatting sqref="B6:B21">
    <cfRule type="expression" dxfId="219" priority="33" stopIfTrue="1">
      <formula>MOD(ROW(),2)=0</formula>
    </cfRule>
    <cfRule type="expression" dxfId="218" priority="34" stopIfTrue="1">
      <formula>MOD(ROW(),2)&lt;&gt;0</formula>
    </cfRule>
  </conditionalFormatting>
  <conditionalFormatting sqref="A17:A20">
    <cfRule type="expression" dxfId="217" priority="27" stopIfTrue="1">
      <formula>MOD(ROW(),2)=0</formula>
    </cfRule>
    <cfRule type="expression" dxfId="216" priority="28" stopIfTrue="1">
      <formula>MOD(ROW(),2)&lt;&gt;0</formula>
    </cfRule>
  </conditionalFormatting>
  <conditionalFormatting sqref="B17:B18 B20">
    <cfRule type="expression" dxfId="215" priority="29" stopIfTrue="1">
      <formula>MOD(ROW(),2)=0</formula>
    </cfRule>
    <cfRule type="expression" dxfId="214" priority="30" stopIfTrue="1">
      <formula>MOD(ROW(),2)&lt;&gt;0</formula>
    </cfRule>
  </conditionalFormatting>
  <conditionalFormatting sqref="B12">
    <cfRule type="expression" dxfId="213" priority="25" stopIfTrue="1">
      <formula>MOD(ROW(),2)=0</formula>
    </cfRule>
    <cfRule type="expression" dxfId="212" priority="26" stopIfTrue="1">
      <formula>MOD(ROW(),2)&lt;&gt;0</formula>
    </cfRule>
  </conditionalFormatting>
  <conditionalFormatting sqref="A26:A76">
    <cfRule type="expression" dxfId="211" priority="15" stopIfTrue="1">
      <formula>MOD(ROW(),2)=0</formula>
    </cfRule>
    <cfRule type="expression" dxfId="210" priority="16" stopIfTrue="1">
      <formula>MOD(ROW(),2)&lt;&gt;0</formula>
    </cfRule>
  </conditionalFormatting>
  <conditionalFormatting sqref="B26:B76">
    <cfRule type="expression" dxfId="209" priority="17" stopIfTrue="1">
      <formula>MOD(ROW(),2)=0</formula>
    </cfRule>
    <cfRule type="expression" dxfId="208" priority="18" stopIfTrue="1">
      <formula>MOD(ROW(),2)&lt;&gt;0</formula>
    </cfRule>
  </conditionalFormatting>
  <conditionalFormatting sqref="B19">
    <cfRule type="expression" dxfId="207" priority="13" stopIfTrue="1">
      <formula>MOD(ROW(),2)=0</formula>
    </cfRule>
    <cfRule type="expression" dxfId="206" priority="14" stopIfTrue="1">
      <formula>MOD(ROW(),2)&lt;&gt;0</formula>
    </cfRule>
  </conditionalFormatting>
  <conditionalFormatting sqref="A21">
    <cfRule type="expression" dxfId="205" priority="1" stopIfTrue="1">
      <formula>MOD(ROW(),2)=0</formula>
    </cfRule>
    <cfRule type="expression" dxfId="204" priority="2" stopIfTrue="1">
      <formula>MOD(ROW(),2)&lt;&gt;0</formula>
    </cfRule>
  </conditionalFormatting>
  <conditionalFormatting sqref="B21">
    <cfRule type="expression" dxfId="203" priority="3" stopIfTrue="1">
      <formula>MOD(ROW(),2)=0</formula>
    </cfRule>
    <cfRule type="expression" dxfId="202" priority="4" stopIfTrue="1">
      <formula>MOD(ROW(),2)&lt;&gt;0</formula>
    </cfRule>
  </conditionalFormatting>
  <hyperlinks>
    <hyperlink ref="B24" location="Assumptions!A1" display="Assumptions" xr:uid="{2BC8E179-9DA0-4384-9E29-9773C4E69489}"/>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codeName="Sheet101"/>
  <dimension ref="A1:I46"/>
  <sheetViews>
    <sheetView showGridLines="0" zoomScale="85" zoomScaleNormal="85" workbookViewId="0">
      <selection activeCell="B18" sqref="B18"/>
    </sheetView>
  </sheetViews>
  <sheetFormatPr defaultColWidth="10" defaultRowHeight="12.5" x14ac:dyDescent="0.25"/>
  <cols>
    <col min="1" max="1" width="31.81640625" style="28" customWidth="1"/>
    <col min="2" max="2" width="32" style="28" customWidth="1"/>
    <col min="3" max="3" width="10.1796875" style="28" customWidth="1"/>
    <col min="4" max="4" width="10" style="28" customWidth="1"/>
    <col min="5" max="16384" width="10" style="28"/>
  </cols>
  <sheetData>
    <row r="1" spans="1:9" ht="20" x14ac:dyDescent="0.4">
      <c r="A1" s="40" t="s">
        <v>227</v>
      </c>
      <c r="B1" s="41"/>
      <c r="C1" s="41"/>
      <c r="D1" s="41"/>
      <c r="E1" s="41"/>
      <c r="F1" s="41"/>
      <c r="G1" s="41"/>
      <c r="H1" s="41"/>
      <c r="I1" s="41"/>
    </row>
    <row r="2" spans="1:9" ht="15.5" x14ac:dyDescent="0.35">
      <c r="A2" s="42" t="str">
        <f>IF(title="&gt; Enter workbook title here","Enter workbook title in Cover sheet",title)</f>
        <v>Fire Northern Ireland - Consolidated Factor Spreadsheet</v>
      </c>
      <c r="B2" s="43"/>
      <c r="C2" s="43"/>
      <c r="D2" s="43"/>
      <c r="E2" s="43"/>
      <c r="F2" s="43"/>
      <c r="G2" s="43"/>
      <c r="H2" s="43"/>
      <c r="I2" s="43"/>
    </row>
    <row r="3" spans="1:9" ht="15.5" x14ac:dyDescent="0.35">
      <c r="A3" s="44" t="str">
        <f>TABLE_FACTOR_TYPE_1&amp;" - x-"&amp;TABLE_SERIES_NUMBER_1</f>
        <v>Scheme pays AA - x-621</v>
      </c>
      <c r="B3" s="43"/>
      <c r="C3" s="43"/>
      <c r="D3" s="43"/>
      <c r="E3" s="43"/>
      <c r="F3" s="43"/>
      <c r="G3" s="43"/>
      <c r="H3" s="43"/>
      <c r="I3" s="43"/>
    </row>
    <row r="4" spans="1:9" x14ac:dyDescent="0.25">
      <c r="A4" s="45"/>
    </row>
    <row r="6" spans="1:9" ht="13" x14ac:dyDescent="0.3">
      <c r="A6" s="75" t="s">
        <v>562</v>
      </c>
      <c r="B6" s="159" t="s">
        <v>563</v>
      </c>
    </row>
    <row r="7" spans="1:9" x14ac:dyDescent="0.25">
      <c r="A7" s="77" t="s">
        <v>305</v>
      </c>
      <c r="B7" s="159" t="s">
        <v>319</v>
      </c>
    </row>
    <row r="8" spans="1:9" x14ac:dyDescent="0.25">
      <c r="A8" s="77" t="s">
        <v>306</v>
      </c>
      <c r="B8" s="159">
        <v>2015</v>
      </c>
    </row>
    <row r="9" spans="1:9" x14ac:dyDescent="0.25">
      <c r="A9" s="77" t="s">
        <v>307</v>
      </c>
      <c r="B9" s="159" t="s">
        <v>482</v>
      </c>
    </row>
    <row r="10" spans="1:9" ht="40.5" customHeight="1" x14ac:dyDescent="0.25">
      <c r="A10" s="77" t="s">
        <v>233</v>
      </c>
      <c r="B10" s="159" t="s">
        <v>526</v>
      </c>
    </row>
    <row r="11" spans="1:9" x14ac:dyDescent="0.25">
      <c r="A11" s="77" t="s">
        <v>308</v>
      </c>
      <c r="B11" s="159" t="s">
        <v>404</v>
      </c>
    </row>
    <row r="12" spans="1:9" x14ac:dyDescent="0.25">
      <c r="A12" s="77" t="s">
        <v>309</v>
      </c>
      <c r="B12" s="159" t="s">
        <v>431</v>
      </c>
    </row>
    <row r="13" spans="1:9" x14ac:dyDescent="0.25">
      <c r="A13" s="77" t="s">
        <v>570</v>
      </c>
      <c r="B13" s="159">
        <v>0</v>
      </c>
    </row>
    <row r="14" spans="1:9" x14ac:dyDescent="0.25">
      <c r="A14" s="77" t="s">
        <v>311</v>
      </c>
      <c r="B14" s="159">
        <v>621</v>
      </c>
    </row>
    <row r="15" spans="1:9" x14ac:dyDescent="0.25">
      <c r="A15" s="77" t="s">
        <v>573</v>
      </c>
      <c r="B15" s="159" t="s">
        <v>527</v>
      </c>
    </row>
    <row r="16" spans="1:9" x14ac:dyDescent="0.25">
      <c r="A16" s="77" t="s">
        <v>313</v>
      </c>
      <c r="B16" s="159" t="s">
        <v>342</v>
      </c>
    </row>
    <row r="17" spans="1:2" ht="64.5" customHeight="1" x14ac:dyDescent="0.25">
      <c r="A17" s="77" t="s">
        <v>642</v>
      </c>
      <c r="B17" s="159"/>
    </row>
    <row r="18" spans="1:2" x14ac:dyDescent="0.25">
      <c r="A18" s="77" t="s">
        <v>315</v>
      </c>
      <c r="B18" s="161">
        <v>45135</v>
      </c>
    </row>
    <row r="19" spans="1:2" x14ac:dyDescent="0.25">
      <c r="A19" s="77" t="s">
        <v>316</v>
      </c>
      <c r="B19" s="161">
        <v>45135</v>
      </c>
    </row>
    <row r="20" spans="1:2" x14ac:dyDescent="0.25">
      <c r="A20" s="77" t="s">
        <v>317</v>
      </c>
      <c r="B20" s="159" t="s">
        <v>327</v>
      </c>
    </row>
    <row r="21" spans="1:2" x14ac:dyDescent="0.25">
      <c r="A21" s="77" t="s">
        <v>318</v>
      </c>
      <c r="B21" s="159" t="s">
        <v>328</v>
      </c>
    </row>
    <row r="23" spans="1:2" x14ac:dyDescent="0.25">
      <c r="B23" s="91" t="str">
        <f>HYPERLINK("#'Factor List'!A1","Back to Factor List")</f>
        <v>Back to Factor List</v>
      </c>
    </row>
    <row r="24" spans="1:2" x14ac:dyDescent="0.25">
      <c r="B24" s="91" t="s">
        <v>240</v>
      </c>
    </row>
    <row r="25" spans="1:2" x14ac:dyDescent="0.25">
      <c r="B25" s="91"/>
    </row>
    <row r="26" spans="1:2" ht="26" x14ac:dyDescent="0.25">
      <c r="A26" s="87" t="s">
        <v>668</v>
      </c>
      <c r="B26" s="87" t="s">
        <v>695</v>
      </c>
    </row>
    <row r="27" spans="1:2" x14ac:dyDescent="0.25">
      <c r="A27" s="88">
        <v>0</v>
      </c>
      <c r="B27" s="90">
        <v>1</v>
      </c>
    </row>
    <row r="28" spans="1:2" x14ac:dyDescent="0.25">
      <c r="A28" s="88">
        <v>1</v>
      </c>
      <c r="B28" s="90">
        <v>0.94199999999999995</v>
      </c>
    </row>
    <row r="29" spans="1:2" x14ac:dyDescent="0.25">
      <c r="A29" s="88">
        <v>2</v>
      </c>
      <c r="B29" s="90">
        <v>0.89</v>
      </c>
    </row>
    <row r="30" spans="1:2" x14ac:dyDescent="0.25">
      <c r="A30" s="88">
        <v>3</v>
      </c>
      <c r="B30" s="90">
        <v>0.84199999999999997</v>
      </c>
    </row>
    <row r="31" spans="1:2" x14ac:dyDescent="0.25">
      <c r="A31" s="88">
        <v>4</v>
      </c>
      <c r="B31" s="90">
        <v>0.79900000000000004</v>
      </c>
    </row>
    <row r="32" spans="1:2" x14ac:dyDescent="0.25">
      <c r="A32" s="88">
        <v>5</v>
      </c>
      <c r="B32" s="90">
        <v>0.75900000000000001</v>
      </c>
    </row>
    <row r="33" spans="1:2" x14ac:dyDescent="0.25">
      <c r="A33" s="88">
        <v>6</v>
      </c>
      <c r="B33" s="90">
        <v>0.72199999999999998</v>
      </c>
    </row>
    <row r="34" spans="1:2" x14ac:dyDescent="0.25">
      <c r="A34" s="88">
        <v>7</v>
      </c>
      <c r="B34" s="90">
        <v>0.68899999999999995</v>
      </c>
    </row>
    <row r="35" spans="1:2" x14ac:dyDescent="0.25">
      <c r="A35" s="88">
        <v>8</v>
      </c>
      <c r="B35" s="90">
        <v>0.65800000000000003</v>
      </c>
    </row>
    <row r="36" spans="1:2" x14ac:dyDescent="0.25">
      <c r="A36" s="88">
        <v>9</v>
      </c>
      <c r="B36" s="90">
        <v>0.629</v>
      </c>
    </row>
    <row r="37" spans="1:2" x14ac:dyDescent="0.25">
      <c r="A37" s="88">
        <v>10</v>
      </c>
      <c r="B37" s="90">
        <v>0.60199999999999998</v>
      </c>
    </row>
    <row r="38" spans="1:2" x14ac:dyDescent="0.25">
      <c r="A38" s="88">
        <v>11</v>
      </c>
      <c r="B38" s="90">
        <v>0.57699999999999996</v>
      </c>
    </row>
    <row r="39" spans="1:2" x14ac:dyDescent="0.25">
      <c r="A39" s="88">
        <v>12</v>
      </c>
      <c r="B39" s="90">
        <v>0.55400000000000005</v>
      </c>
    </row>
    <row r="44" spans="1:2" ht="39.65" customHeight="1" x14ac:dyDescent="0.25"/>
    <row r="46" spans="1:2" ht="27.65" customHeight="1" x14ac:dyDescent="0.25"/>
  </sheetData>
  <sheetProtection algorithmName="SHA-512" hashValue="lkhbESuBLE0/ApE1HYtE6u1Q7HkZat7zdcb5oEhkwKV6u8Xcw06NN1HrImG/TFFMd/ypjyDK9zgvMfKK4KHkEg==" saltValue="ZP9pH+SYBPi9f/zZoBap8w==" spinCount="100000" sheet="1" objects="1" scenarios="1"/>
  <conditionalFormatting sqref="A6:A16">
    <cfRule type="expression" dxfId="201" priority="29" stopIfTrue="1">
      <formula>MOD(ROW(),2)=0</formula>
    </cfRule>
    <cfRule type="expression" dxfId="200" priority="30" stopIfTrue="1">
      <formula>MOD(ROW(),2)&lt;&gt;0</formula>
    </cfRule>
  </conditionalFormatting>
  <conditionalFormatting sqref="B6:B21">
    <cfRule type="expression" dxfId="199" priority="31" stopIfTrue="1">
      <formula>MOD(ROW(),2)=0</formula>
    </cfRule>
    <cfRule type="expression" dxfId="198" priority="32" stopIfTrue="1">
      <formula>MOD(ROW(),2)&lt;&gt;0</formula>
    </cfRule>
  </conditionalFormatting>
  <conditionalFormatting sqref="A17:A20">
    <cfRule type="expression" dxfId="197" priority="21" stopIfTrue="1">
      <formula>MOD(ROW(),2)=0</formula>
    </cfRule>
    <cfRule type="expression" dxfId="196" priority="22" stopIfTrue="1">
      <formula>MOD(ROW(),2)&lt;&gt;0</formula>
    </cfRule>
  </conditionalFormatting>
  <conditionalFormatting sqref="B17:B18 B20">
    <cfRule type="expression" dxfId="195" priority="23" stopIfTrue="1">
      <formula>MOD(ROW(),2)=0</formula>
    </cfRule>
    <cfRule type="expression" dxfId="194" priority="24" stopIfTrue="1">
      <formula>MOD(ROW(),2)&lt;&gt;0</formula>
    </cfRule>
  </conditionalFormatting>
  <conditionalFormatting sqref="A26:A39">
    <cfRule type="expression" dxfId="193" priority="15" stopIfTrue="1">
      <formula>MOD(ROW(),2)=0</formula>
    </cfRule>
    <cfRule type="expression" dxfId="192" priority="16" stopIfTrue="1">
      <formula>MOD(ROW(),2)&lt;&gt;0</formula>
    </cfRule>
  </conditionalFormatting>
  <conditionalFormatting sqref="B26:B39">
    <cfRule type="expression" dxfId="191" priority="17" stopIfTrue="1">
      <formula>MOD(ROW(),2)=0</formula>
    </cfRule>
    <cfRule type="expression" dxfId="190" priority="18" stopIfTrue="1">
      <formula>MOD(ROW(),2)&lt;&gt;0</formula>
    </cfRule>
  </conditionalFormatting>
  <conditionalFormatting sqref="B19">
    <cfRule type="expression" dxfId="189" priority="13" stopIfTrue="1">
      <formula>MOD(ROW(),2)=0</formula>
    </cfRule>
    <cfRule type="expression" dxfId="188" priority="14" stopIfTrue="1">
      <formula>MOD(ROW(),2)&lt;&gt;0</formula>
    </cfRule>
  </conditionalFormatting>
  <conditionalFormatting sqref="A21">
    <cfRule type="expression" dxfId="187" priority="1" stopIfTrue="1">
      <formula>MOD(ROW(),2)=0</formula>
    </cfRule>
    <cfRule type="expression" dxfId="186" priority="2" stopIfTrue="1">
      <formula>MOD(ROW(),2)&lt;&gt;0</formula>
    </cfRule>
  </conditionalFormatting>
  <conditionalFormatting sqref="B21">
    <cfRule type="expression" dxfId="185" priority="3" stopIfTrue="1">
      <formula>MOD(ROW(),2)=0</formula>
    </cfRule>
    <cfRule type="expression" dxfId="184" priority="4" stopIfTrue="1">
      <formula>MOD(ROW(),2)&lt;&gt;0</formula>
    </cfRule>
  </conditionalFormatting>
  <hyperlinks>
    <hyperlink ref="B24" location="Assumptions!A1" display="Assumptions" xr:uid="{0E919458-7B19-41E9-957E-8D25A4D1C7D2}"/>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300-000000000000}">
  <sheetPr codeName="Sheet102"/>
  <dimension ref="A1:I25"/>
  <sheetViews>
    <sheetView showGridLines="0" zoomScale="85" zoomScaleNormal="85" workbookViewId="0">
      <selection activeCell="B18" sqref="B18"/>
    </sheetView>
  </sheetViews>
  <sheetFormatPr defaultColWidth="10" defaultRowHeight="12.5" x14ac:dyDescent="0.25"/>
  <cols>
    <col min="1" max="1" width="31.81640625" style="28" customWidth="1"/>
    <col min="2" max="3" width="22.81640625" style="28" customWidth="1"/>
    <col min="4" max="4" width="10" style="28" customWidth="1"/>
    <col min="5" max="16384" width="10" style="28"/>
  </cols>
  <sheetData>
    <row r="1" spans="1:9" ht="20" x14ac:dyDescent="0.4">
      <c r="A1" s="40" t="s">
        <v>227</v>
      </c>
      <c r="B1" s="41"/>
      <c r="C1" s="41"/>
      <c r="D1" s="41"/>
      <c r="E1" s="41"/>
      <c r="F1" s="41"/>
      <c r="G1" s="41"/>
      <c r="H1" s="41"/>
      <c r="I1" s="41"/>
    </row>
    <row r="2" spans="1:9" ht="15.5" x14ac:dyDescent="0.35">
      <c r="A2" s="42" t="str">
        <f>IF(title="&gt; Enter workbook title here","Enter workbook title in Cover sheet",title)</f>
        <v>Fire Northern Ireland - Consolidated Factor Spreadsheet</v>
      </c>
      <c r="B2" s="43"/>
      <c r="C2" s="43"/>
      <c r="D2" s="43"/>
      <c r="E2" s="43"/>
      <c r="F2" s="43"/>
      <c r="G2" s="43"/>
      <c r="H2" s="43"/>
      <c r="I2" s="43"/>
    </row>
    <row r="3" spans="1:9" ht="15.5" x14ac:dyDescent="0.35">
      <c r="A3" s="44" t="str">
        <f>TABLE_FACTOR_TYPE_1&amp;" - x-"&amp;TABLE_SERIES_NUMBER_1</f>
        <v>Scheme pays LTA - x-622</v>
      </c>
      <c r="B3" s="43"/>
      <c r="C3" s="43"/>
      <c r="D3" s="43"/>
      <c r="E3" s="43"/>
      <c r="F3" s="43"/>
      <c r="G3" s="43"/>
      <c r="H3" s="43"/>
      <c r="I3" s="43"/>
    </row>
    <row r="4" spans="1:9" x14ac:dyDescent="0.25">
      <c r="A4" s="45"/>
    </row>
    <row r="6" spans="1:9" ht="13" x14ac:dyDescent="0.3">
      <c r="A6" s="75" t="s">
        <v>562</v>
      </c>
      <c r="B6" s="158" t="s">
        <v>563</v>
      </c>
      <c r="C6" s="76"/>
    </row>
    <row r="7" spans="1:9" x14ac:dyDescent="0.25">
      <c r="A7" s="77" t="s">
        <v>305</v>
      </c>
      <c r="B7" s="159" t="s">
        <v>319</v>
      </c>
      <c r="C7" s="78"/>
    </row>
    <row r="8" spans="1:9" x14ac:dyDescent="0.25">
      <c r="A8" s="77" t="s">
        <v>306</v>
      </c>
      <c r="B8" s="159" t="s">
        <v>320</v>
      </c>
      <c r="C8" s="78"/>
    </row>
    <row r="9" spans="1:9" x14ac:dyDescent="0.25">
      <c r="A9" s="77" t="s">
        <v>307</v>
      </c>
      <c r="B9" s="159" t="s">
        <v>528</v>
      </c>
      <c r="C9" s="78"/>
    </row>
    <row r="10" spans="1:9" x14ac:dyDescent="0.25">
      <c r="A10" s="77" t="s">
        <v>233</v>
      </c>
      <c r="B10" s="159" t="s">
        <v>529</v>
      </c>
      <c r="C10" s="78"/>
    </row>
    <row r="11" spans="1:9" x14ac:dyDescent="0.25">
      <c r="A11" s="77" t="s">
        <v>308</v>
      </c>
      <c r="B11" s="159" t="s">
        <v>484</v>
      </c>
      <c r="C11" s="78"/>
    </row>
    <row r="12" spans="1:9" x14ac:dyDescent="0.25">
      <c r="A12" s="77" t="s">
        <v>309</v>
      </c>
      <c r="B12" s="159" t="s">
        <v>530</v>
      </c>
      <c r="C12" s="78"/>
    </row>
    <row r="13" spans="1:9" x14ac:dyDescent="0.25">
      <c r="A13" s="77" t="s">
        <v>570</v>
      </c>
      <c r="B13" s="159">
        <v>2</v>
      </c>
      <c r="C13" s="78"/>
    </row>
    <row r="14" spans="1:9" x14ac:dyDescent="0.25">
      <c r="A14" s="77" t="s">
        <v>311</v>
      </c>
      <c r="B14" s="159">
        <v>622</v>
      </c>
      <c r="C14" s="78"/>
    </row>
    <row r="15" spans="1:9" x14ac:dyDescent="0.25">
      <c r="A15" s="77" t="s">
        <v>573</v>
      </c>
      <c r="B15" s="159" t="s">
        <v>531</v>
      </c>
      <c r="C15" s="78"/>
    </row>
    <row r="16" spans="1:9" x14ac:dyDescent="0.25">
      <c r="A16" s="77" t="s">
        <v>313</v>
      </c>
      <c r="B16" s="159" t="s">
        <v>433</v>
      </c>
      <c r="C16" s="78"/>
    </row>
    <row r="17" spans="1:3" x14ac:dyDescent="0.25">
      <c r="A17" s="77" t="s">
        <v>642</v>
      </c>
      <c r="B17" s="159"/>
      <c r="C17" s="78"/>
    </row>
    <row r="18" spans="1:3" x14ac:dyDescent="0.25">
      <c r="A18" s="77" t="s">
        <v>315</v>
      </c>
      <c r="B18" s="161">
        <v>45135</v>
      </c>
      <c r="C18" s="78"/>
    </row>
    <row r="19" spans="1:3" x14ac:dyDescent="0.25">
      <c r="A19" s="77" t="s">
        <v>316</v>
      </c>
      <c r="B19" s="161">
        <v>45135</v>
      </c>
      <c r="C19" s="78"/>
    </row>
    <row r="20" spans="1:3" x14ac:dyDescent="0.25">
      <c r="A20" s="77" t="s">
        <v>317</v>
      </c>
      <c r="B20" s="159" t="s">
        <v>532</v>
      </c>
      <c r="C20" s="78"/>
    </row>
    <row r="21" spans="1:3" x14ac:dyDescent="0.25">
      <c r="A21" s="77" t="s">
        <v>318</v>
      </c>
      <c r="B21" s="159" t="s">
        <v>328</v>
      </c>
      <c r="C21" s="78"/>
    </row>
    <row r="23" spans="1:3" x14ac:dyDescent="0.25">
      <c r="B23" s="91" t="str">
        <f>HYPERLINK("#'Factor List'!A1","Back to Factor List")</f>
        <v>Back to Factor List</v>
      </c>
    </row>
    <row r="24" spans="1:3" x14ac:dyDescent="0.25">
      <c r="B24" s="91" t="s">
        <v>240</v>
      </c>
    </row>
    <row r="25" spans="1:3" x14ac:dyDescent="0.25">
      <c r="B25" s="91"/>
    </row>
  </sheetData>
  <sheetProtection algorithmName="SHA-512" hashValue="VVGHMwZovH0K6QmqwNwUmXgI3VZ8TZraTTcvEJX+fcXqoeXrytZ+pCU4+14JW18gDygSGJjWM6F1z/qIvAAJJQ==" saltValue="0h7o0/39H+PNYbCR3o/4Jg==" spinCount="100000" sheet="1" objects="1" scenarios="1"/>
  <conditionalFormatting sqref="A6:A16">
    <cfRule type="expression" dxfId="183" priority="29" stopIfTrue="1">
      <formula>MOD(ROW(),2)=0</formula>
    </cfRule>
    <cfRule type="expression" dxfId="182" priority="30" stopIfTrue="1">
      <formula>MOD(ROW(),2)&lt;&gt;0</formula>
    </cfRule>
  </conditionalFormatting>
  <conditionalFormatting sqref="B6:C16 C17:C21">
    <cfRule type="expression" dxfId="181" priority="31" stopIfTrue="1">
      <formula>MOD(ROW(),2)=0</formula>
    </cfRule>
    <cfRule type="expression" dxfId="180" priority="32" stopIfTrue="1">
      <formula>MOD(ROW(),2)&lt;&gt;0</formula>
    </cfRule>
  </conditionalFormatting>
  <conditionalFormatting sqref="A17:A20">
    <cfRule type="expression" dxfId="179" priority="21" stopIfTrue="1">
      <formula>MOD(ROW(),2)=0</formula>
    </cfRule>
    <cfRule type="expression" dxfId="178" priority="22" stopIfTrue="1">
      <formula>MOD(ROW(),2)&lt;&gt;0</formula>
    </cfRule>
  </conditionalFormatting>
  <conditionalFormatting sqref="B17:B18 B20:B21">
    <cfRule type="expression" dxfId="177" priority="23" stopIfTrue="1">
      <formula>MOD(ROW(),2)=0</formula>
    </cfRule>
    <cfRule type="expression" dxfId="176" priority="24" stopIfTrue="1">
      <formula>MOD(ROW(),2)&lt;&gt;0</formula>
    </cfRule>
  </conditionalFormatting>
  <conditionalFormatting sqref="B19">
    <cfRule type="expression" dxfId="175" priority="13" stopIfTrue="1">
      <formula>MOD(ROW(),2)=0</formula>
    </cfRule>
    <cfRule type="expression" dxfId="174" priority="14" stopIfTrue="1">
      <formula>MOD(ROW(),2)&lt;&gt;0</formula>
    </cfRule>
  </conditionalFormatting>
  <conditionalFormatting sqref="A21">
    <cfRule type="expression" dxfId="173" priority="1" stopIfTrue="1">
      <formula>MOD(ROW(),2)=0</formula>
    </cfRule>
    <cfRule type="expression" dxfId="172" priority="2" stopIfTrue="1">
      <formula>MOD(ROW(),2)&lt;&gt;0</formula>
    </cfRule>
  </conditionalFormatting>
  <hyperlinks>
    <hyperlink ref="B24" location="Assumptions!A1" display="Assumptions" xr:uid="{93FB664C-B26C-426D-8944-855080A1BC9B}"/>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400-000000000000}">
  <sheetPr codeName="Sheet103"/>
  <dimension ref="A1:I25"/>
  <sheetViews>
    <sheetView showGridLines="0" zoomScale="85" zoomScaleNormal="85" workbookViewId="0">
      <selection activeCell="B18" sqref="B18"/>
    </sheetView>
  </sheetViews>
  <sheetFormatPr defaultColWidth="10" defaultRowHeight="12.5" x14ac:dyDescent="0.25"/>
  <cols>
    <col min="1" max="1" width="31.81640625" style="28" customWidth="1"/>
    <col min="2" max="3" width="22.81640625" style="28" customWidth="1"/>
    <col min="4" max="4" width="10" style="28" customWidth="1"/>
    <col min="5" max="16384" width="10" style="28"/>
  </cols>
  <sheetData>
    <row r="1" spans="1:9" ht="20" x14ac:dyDescent="0.4">
      <c r="A1" s="40" t="s">
        <v>227</v>
      </c>
      <c r="B1" s="41"/>
      <c r="C1" s="41"/>
      <c r="D1" s="41"/>
      <c r="E1" s="41"/>
      <c r="F1" s="41"/>
      <c r="G1" s="41"/>
      <c r="H1" s="41"/>
      <c r="I1" s="41"/>
    </row>
    <row r="2" spans="1:9" ht="15.5" x14ac:dyDescent="0.35">
      <c r="A2" s="42" t="str">
        <f>IF(title="&gt; Enter workbook title here","Enter workbook title in Cover sheet",title)</f>
        <v>Fire Northern Ireland - Consolidated Factor Spreadsheet</v>
      </c>
      <c r="B2" s="43"/>
      <c r="C2" s="43"/>
      <c r="D2" s="43"/>
      <c r="E2" s="43"/>
      <c r="F2" s="43"/>
      <c r="G2" s="43"/>
      <c r="H2" s="43"/>
      <c r="I2" s="43"/>
    </row>
    <row r="3" spans="1:9" ht="15.5" x14ac:dyDescent="0.35">
      <c r="A3" s="44" t="str">
        <f>TABLE_FACTOR_TYPE_1&amp;" - x-"&amp;TABLE_SERIES_NUMBER_1</f>
        <v>Scheme pays LTA - x-623</v>
      </c>
      <c r="B3" s="43"/>
      <c r="C3" s="43"/>
      <c r="D3" s="43"/>
      <c r="E3" s="43"/>
      <c r="F3" s="43"/>
      <c r="G3" s="43"/>
      <c r="H3" s="43"/>
      <c r="I3" s="43"/>
    </row>
    <row r="4" spans="1:9" x14ac:dyDescent="0.25">
      <c r="A4" s="45"/>
    </row>
    <row r="6" spans="1:9" ht="13" x14ac:dyDescent="0.3">
      <c r="A6" s="75" t="s">
        <v>562</v>
      </c>
      <c r="B6" s="158" t="s">
        <v>563</v>
      </c>
      <c r="C6" s="76"/>
    </row>
    <row r="7" spans="1:9" x14ac:dyDescent="0.25">
      <c r="A7" s="77" t="s">
        <v>305</v>
      </c>
      <c r="B7" s="159" t="s">
        <v>319</v>
      </c>
      <c r="C7" s="78"/>
    </row>
    <row r="8" spans="1:9" x14ac:dyDescent="0.25">
      <c r="A8" s="77" t="s">
        <v>306</v>
      </c>
      <c r="B8" s="159" t="s">
        <v>320</v>
      </c>
      <c r="C8" s="78"/>
    </row>
    <row r="9" spans="1:9" x14ac:dyDescent="0.25">
      <c r="A9" s="77" t="s">
        <v>307</v>
      </c>
      <c r="B9" s="159" t="s">
        <v>528</v>
      </c>
      <c r="C9" s="78"/>
    </row>
    <row r="10" spans="1:9" x14ac:dyDescent="0.25">
      <c r="A10" s="77" t="s">
        <v>233</v>
      </c>
      <c r="B10" s="159" t="s">
        <v>533</v>
      </c>
      <c r="C10" s="78"/>
    </row>
    <row r="11" spans="1:9" x14ac:dyDescent="0.25">
      <c r="A11" s="77" t="s">
        <v>308</v>
      </c>
      <c r="B11" s="159" t="s">
        <v>484</v>
      </c>
      <c r="C11" s="78"/>
    </row>
    <row r="12" spans="1:9" x14ac:dyDescent="0.25">
      <c r="A12" s="77" t="s">
        <v>309</v>
      </c>
      <c r="B12" s="159" t="s">
        <v>530</v>
      </c>
      <c r="C12" s="78"/>
    </row>
    <row r="13" spans="1:9" x14ac:dyDescent="0.25">
      <c r="A13" s="77" t="s">
        <v>570</v>
      </c>
      <c r="B13" s="159">
        <v>2</v>
      </c>
      <c r="C13" s="78"/>
    </row>
    <row r="14" spans="1:9" x14ac:dyDescent="0.25">
      <c r="A14" s="77" t="s">
        <v>311</v>
      </c>
      <c r="B14" s="159">
        <v>623</v>
      </c>
      <c r="C14" s="78"/>
    </row>
    <row r="15" spans="1:9" x14ac:dyDescent="0.25">
      <c r="A15" s="77" t="s">
        <v>573</v>
      </c>
      <c r="B15" s="159" t="s">
        <v>534</v>
      </c>
      <c r="C15" s="78"/>
    </row>
    <row r="16" spans="1:9" x14ac:dyDescent="0.25">
      <c r="A16" s="77" t="s">
        <v>313</v>
      </c>
      <c r="B16" s="159" t="s">
        <v>436</v>
      </c>
      <c r="C16" s="78"/>
    </row>
    <row r="17" spans="1:3" x14ac:dyDescent="0.25">
      <c r="A17" s="77" t="s">
        <v>642</v>
      </c>
      <c r="B17" s="159"/>
      <c r="C17" s="78"/>
    </row>
    <row r="18" spans="1:3" x14ac:dyDescent="0.25">
      <c r="A18" s="77" t="s">
        <v>315</v>
      </c>
      <c r="B18" s="161">
        <v>45135</v>
      </c>
      <c r="C18" s="78"/>
    </row>
    <row r="19" spans="1:3" x14ac:dyDescent="0.25">
      <c r="A19" s="77" t="s">
        <v>316</v>
      </c>
      <c r="B19" s="161">
        <v>45135</v>
      </c>
      <c r="C19" s="78"/>
    </row>
    <row r="20" spans="1:3" x14ac:dyDescent="0.25">
      <c r="A20" s="77" t="s">
        <v>317</v>
      </c>
      <c r="B20" s="159" t="s">
        <v>532</v>
      </c>
      <c r="C20" s="78"/>
    </row>
    <row r="21" spans="1:3" x14ac:dyDescent="0.25">
      <c r="A21" s="77" t="s">
        <v>318</v>
      </c>
      <c r="B21" s="159" t="s">
        <v>328</v>
      </c>
      <c r="C21" s="78"/>
    </row>
    <row r="23" spans="1:3" x14ac:dyDescent="0.25">
      <c r="B23" s="91" t="str">
        <f>HYPERLINK("#'Factor List'!A1","Back to Factor List")</f>
        <v>Back to Factor List</v>
      </c>
    </row>
    <row r="24" spans="1:3" x14ac:dyDescent="0.25">
      <c r="B24" s="91" t="s">
        <v>240</v>
      </c>
    </row>
    <row r="25" spans="1:3" x14ac:dyDescent="0.25">
      <c r="B25" s="91"/>
    </row>
  </sheetData>
  <sheetProtection algorithmName="SHA-512" hashValue="taA9ePGueRqoAv/zymtb50towFzU/e7etZAMI/+QB8EuIJvUTYLgen9R+oO1oqktgE3vdoupeUCOmzpDZkTMzg==" saltValue="Zs4ARFY70kRB5K4B0Bxf1g==" spinCount="100000" sheet="1" objects="1" scenarios="1"/>
  <conditionalFormatting sqref="A6:A16">
    <cfRule type="expression" dxfId="171" priority="33" stopIfTrue="1">
      <formula>MOD(ROW(),2)=0</formula>
    </cfRule>
    <cfRule type="expression" dxfId="170" priority="34" stopIfTrue="1">
      <formula>MOD(ROW(),2)&lt;&gt;0</formula>
    </cfRule>
  </conditionalFormatting>
  <conditionalFormatting sqref="B6:C16 C17:C21">
    <cfRule type="expression" dxfId="169" priority="35" stopIfTrue="1">
      <formula>MOD(ROW(),2)=0</formula>
    </cfRule>
    <cfRule type="expression" dxfId="168" priority="36" stopIfTrue="1">
      <formula>MOD(ROW(),2)&lt;&gt;0</formula>
    </cfRule>
  </conditionalFormatting>
  <conditionalFormatting sqref="A17:A20">
    <cfRule type="expression" dxfId="167" priority="25" stopIfTrue="1">
      <formula>MOD(ROW(),2)=0</formula>
    </cfRule>
    <cfRule type="expression" dxfId="166" priority="26" stopIfTrue="1">
      <formula>MOD(ROW(),2)&lt;&gt;0</formula>
    </cfRule>
  </conditionalFormatting>
  <conditionalFormatting sqref="B17:B18 B20:B21">
    <cfRule type="expression" dxfId="165" priority="27" stopIfTrue="1">
      <formula>MOD(ROW(),2)=0</formula>
    </cfRule>
    <cfRule type="expression" dxfId="164" priority="28" stopIfTrue="1">
      <formula>MOD(ROW(),2)&lt;&gt;0</formula>
    </cfRule>
  </conditionalFormatting>
  <conditionalFormatting sqref="B19">
    <cfRule type="expression" dxfId="163" priority="13" stopIfTrue="1">
      <formula>MOD(ROW(),2)=0</formula>
    </cfRule>
    <cfRule type="expression" dxfId="162" priority="14" stopIfTrue="1">
      <formula>MOD(ROW(),2)&lt;&gt;0</formula>
    </cfRule>
  </conditionalFormatting>
  <conditionalFormatting sqref="A21">
    <cfRule type="expression" dxfId="161" priority="1" stopIfTrue="1">
      <formula>MOD(ROW(),2)=0</formula>
    </cfRule>
    <cfRule type="expression" dxfId="160" priority="2" stopIfTrue="1">
      <formula>MOD(ROW(),2)&lt;&gt;0</formula>
    </cfRule>
  </conditionalFormatting>
  <hyperlinks>
    <hyperlink ref="B24" location="Assumptions!A1" display="Assumptions" xr:uid="{21A6EEBE-A074-488C-A50A-BF07FEB0095A}"/>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500-000000000000}">
  <sheetPr codeName="Sheet104"/>
  <dimension ref="A1:I25"/>
  <sheetViews>
    <sheetView showGridLines="0" zoomScale="85" zoomScaleNormal="85" workbookViewId="0">
      <selection activeCell="B18" sqref="B18"/>
    </sheetView>
  </sheetViews>
  <sheetFormatPr defaultColWidth="10" defaultRowHeight="12.5" x14ac:dyDescent="0.25"/>
  <cols>
    <col min="1" max="1" width="31.81640625" style="28" customWidth="1"/>
    <col min="2" max="3" width="22.81640625" style="28" customWidth="1"/>
    <col min="4" max="4" width="10" style="28" customWidth="1"/>
    <col min="5" max="16384" width="10" style="28"/>
  </cols>
  <sheetData>
    <row r="1" spans="1:9" ht="20" x14ac:dyDescent="0.4">
      <c r="A1" s="40" t="s">
        <v>227</v>
      </c>
      <c r="B1" s="41"/>
      <c r="C1" s="41"/>
      <c r="D1" s="41"/>
      <c r="E1" s="41"/>
      <c r="F1" s="41"/>
      <c r="G1" s="41"/>
      <c r="H1" s="41"/>
      <c r="I1" s="41"/>
    </row>
    <row r="2" spans="1:9" ht="15.5" x14ac:dyDescent="0.35">
      <c r="A2" s="42" t="str">
        <f>IF(title="&gt; Enter workbook title here","Enter workbook title in Cover sheet",title)</f>
        <v>Fire Northern Ireland - Consolidated Factor Spreadsheet</v>
      </c>
      <c r="B2" s="43"/>
      <c r="C2" s="43"/>
      <c r="D2" s="43"/>
      <c r="E2" s="43"/>
      <c r="F2" s="43"/>
      <c r="G2" s="43"/>
      <c r="H2" s="43"/>
      <c r="I2" s="43"/>
    </row>
    <row r="3" spans="1:9" ht="15.5" x14ac:dyDescent="0.35">
      <c r="A3" s="44" t="str">
        <f>TABLE_FACTOR_TYPE_1&amp;" - x-"&amp;TABLE_SERIES_NUMBER_1</f>
        <v>Scheme pays LTA - x-624</v>
      </c>
      <c r="B3" s="43"/>
      <c r="C3" s="43"/>
      <c r="D3" s="43"/>
      <c r="E3" s="43"/>
      <c r="F3" s="43"/>
      <c r="G3" s="43"/>
      <c r="H3" s="43"/>
      <c r="I3" s="43"/>
    </row>
    <row r="4" spans="1:9" x14ac:dyDescent="0.25">
      <c r="A4" s="45"/>
    </row>
    <row r="6" spans="1:9" ht="13" x14ac:dyDescent="0.3">
      <c r="A6" s="75" t="s">
        <v>562</v>
      </c>
      <c r="B6" s="158" t="s">
        <v>563</v>
      </c>
      <c r="C6" s="76"/>
    </row>
    <row r="7" spans="1:9" x14ac:dyDescent="0.25">
      <c r="A7" s="77" t="s">
        <v>305</v>
      </c>
      <c r="B7" s="159" t="s">
        <v>319</v>
      </c>
      <c r="C7" s="78"/>
    </row>
    <row r="8" spans="1:9" x14ac:dyDescent="0.25">
      <c r="A8" s="77" t="s">
        <v>306</v>
      </c>
      <c r="B8" s="159" t="s">
        <v>332</v>
      </c>
      <c r="C8" s="78"/>
    </row>
    <row r="9" spans="1:9" x14ac:dyDescent="0.25">
      <c r="A9" s="77" t="s">
        <v>307</v>
      </c>
      <c r="B9" s="159" t="s">
        <v>528</v>
      </c>
      <c r="C9" s="78"/>
    </row>
    <row r="10" spans="1:9" x14ac:dyDescent="0.25">
      <c r="A10" s="77" t="s">
        <v>233</v>
      </c>
      <c r="B10" s="159" t="s">
        <v>535</v>
      </c>
      <c r="C10" s="78"/>
    </row>
    <row r="11" spans="1:9" x14ac:dyDescent="0.25">
      <c r="A11" s="77" t="s">
        <v>308</v>
      </c>
      <c r="B11" s="159" t="s">
        <v>484</v>
      </c>
      <c r="C11" s="78"/>
    </row>
    <row r="12" spans="1:9" x14ac:dyDescent="0.25">
      <c r="A12" s="77" t="s">
        <v>309</v>
      </c>
      <c r="B12" s="159" t="s">
        <v>530</v>
      </c>
      <c r="C12" s="78"/>
    </row>
    <row r="13" spans="1:9" x14ac:dyDescent="0.25">
      <c r="A13" s="77" t="s">
        <v>570</v>
      </c>
      <c r="B13" s="159">
        <v>1</v>
      </c>
      <c r="C13" s="78"/>
    </row>
    <row r="14" spans="1:9" x14ac:dyDescent="0.25">
      <c r="A14" s="77" t="s">
        <v>311</v>
      </c>
      <c r="B14" s="159">
        <v>624</v>
      </c>
      <c r="C14" s="78"/>
    </row>
    <row r="15" spans="1:9" x14ac:dyDescent="0.25">
      <c r="A15" s="77" t="s">
        <v>573</v>
      </c>
      <c r="B15" s="159" t="s">
        <v>536</v>
      </c>
      <c r="C15" s="78"/>
    </row>
    <row r="16" spans="1:9" x14ac:dyDescent="0.25">
      <c r="A16" s="77" t="s">
        <v>313</v>
      </c>
      <c r="B16" s="159" t="s">
        <v>433</v>
      </c>
      <c r="C16" s="78"/>
    </row>
    <row r="17" spans="1:3" x14ac:dyDescent="0.25">
      <c r="A17" s="77" t="s">
        <v>642</v>
      </c>
      <c r="B17" s="159"/>
      <c r="C17" s="78"/>
    </row>
    <row r="18" spans="1:3" x14ac:dyDescent="0.25">
      <c r="A18" s="77" t="s">
        <v>315</v>
      </c>
      <c r="B18" s="161">
        <v>45135</v>
      </c>
      <c r="C18" s="78"/>
    </row>
    <row r="19" spans="1:3" x14ac:dyDescent="0.25">
      <c r="A19" s="77" t="s">
        <v>316</v>
      </c>
      <c r="B19" s="161">
        <v>45135</v>
      </c>
      <c r="C19" s="78"/>
    </row>
    <row r="20" spans="1:3" x14ac:dyDescent="0.25">
      <c r="A20" s="77" t="s">
        <v>317</v>
      </c>
      <c r="B20" s="159" t="s">
        <v>532</v>
      </c>
      <c r="C20" s="78"/>
    </row>
    <row r="21" spans="1:3" x14ac:dyDescent="0.25">
      <c r="A21" s="77" t="s">
        <v>318</v>
      </c>
      <c r="B21" s="159" t="s">
        <v>328</v>
      </c>
      <c r="C21" s="78"/>
    </row>
    <row r="23" spans="1:3" x14ac:dyDescent="0.25">
      <c r="B23" s="91" t="str">
        <f>HYPERLINK("#'Factor List'!A1","Back to Factor List")</f>
        <v>Back to Factor List</v>
      </c>
    </row>
    <row r="24" spans="1:3" x14ac:dyDescent="0.25">
      <c r="B24" s="91" t="s">
        <v>240</v>
      </c>
    </row>
    <row r="25" spans="1:3" x14ac:dyDescent="0.25">
      <c r="B25" s="91"/>
    </row>
  </sheetData>
  <sheetProtection algorithmName="SHA-512" hashValue="ncq7V8EF7bJ27G2G+iUJZ4MXewkKcSaMW3SvrLGONlgJDwiyORHWU33pcTeXPOJL27HH62sgNvpSzbpfuDEW3g==" saltValue="o7a+f0Di+bqt6RnBmeBbrw==" spinCount="100000" sheet="1" objects="1" scenarios="1"/>
  <conditionalFormatting sqref="A6:A16">
    <cfRule type="expression" dxfId="159" priority="29" stopIfTrue="1">
      <formula>MOD(ROW(),2)=0</formula>
    </cfRule>
    <cfRule type="expression" dxfId="158" priority="30" stopIfTrue="1">
      <formula>MOD(ROW(),2)&lt;&gt;0</formula>
    </cfRule>
  </conditionalFormatting>
  <conditionalFormatting sqref="B6:C16 C17:C21">
    <cfRule type="expression" dxfId="157" priority="31" stopIfTrue="1">
      <formula>MOD(ROW(),2)=0</formula>
    </cfRule>
    <cfRule type="expression" dxfId="156" priority="32" stopIfTrue="1">
      <formula>MOD(ROW(),2)&lt;&gt;0</formula>
    </cfRule>
  </conditionalFormatting>
  <conditionalFormatting sqref="A17:A20">
    <cfRule type="expression" dxfId="155" priority="21" stopIfTrue="1">
      <formula>MOD(ROW(),2)=0</formula>
    </cfRule>
    <cfRule type="expression" dxfId="154" priority="22" stopIfTrue="1">
      <formula>MOD(ROW(),2)&lt;&gt;0</formula>
    </cfRule>
  </conditionalFormatting>
  <conditionalFormatting sqref="B17:B18 B20:B21">
    <cfRule type="expression" dxfId="153" priority="23" stopIfTrue="1">
      <formula>MOD(ROW(),2)=0</formula>
    </cfRule>
    <cfRule type="expression" dxfId="152" priority="24" stopIfTrue="1">
      <formula>MOD(ROW(),2)&lt;&gt;0</formula>
    </cfRule>
  </conditionalFormatting>
  <conditionalFormatting sqref="B19">
    <cfRule type="expression" dxfId="151" priority="13" stopIfTrue="1">
      <formula>MOD(ROW(),2)=0</formula>
    </cfRule>
    <cfRule type="expression" dxfId="150" priority="14" stopIfTrue="1">
      <formula>MOD(ROW(),2)&lt;&gt;0</formula>
    </cfRule>
  </conditionalFormatting>
  <conditionalFormatting sqref="A21">
    <cfRule type="expression" dxfId="149" priority="1" stopIfTrue="1">
      <formula>MOD(ROW(),2)=0</formula>
    </cfRule>
    <cfRule type="expression" dxfId="148" priority="2" stopIfTrue="1">
      <formula>MOD(ROW(),2)&lt;&gt;0</formula>
    </cfRule>
  </conditionalFormatting>
  <hyperlinks>
    <hyperlink ref="B24" location="Assumptions!A1" display="Assumptions" xr:uid="{3D64D2CB-7814-4B9A-82A4-FE486CD85987}"/>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600-000000000000}">
  <sheetPr codeName="Sheet105"/>
  <dimension ref="A1:I25"/>
  <sheetViews>
    <sheetView showGridLines="0" zoomScale="85" zoomScaleNormal="85" workbookViewId="0">
      <selection activeCell="B18" sqref="B18"/>
    </sheetView>
  </sheetViews>
  <sheetFormatPr defaultColWidth="10" defaultRowHeight="12.5" x14ac:dyDescent="0.25"/>
  <cols>
    <col min="1" max="1" width="31.81640625" style="28" customWidth="1"/>
    <col min="2" max="3" width="22.81640625" style="28" customWidth="1"/>
    <col min="4" max="4" width="10" style="28" customWidth="1"/>
    <col min="5" max="16384" width="10" style="28"/>
  </cols>
  <sheetData>
    <row r="1" spans="1:9" ht="20" x14ac:dyDescent="0.4">
      <c r="A1" s="40" t="s">
        <v>227</v>
      </c>
      <c r="B1" s="41"/>
      <c r="C1" s="41"/>
      <c r="D1" s="41"/>
      <c r="E1" s="41"/>
      <c r="F1" s="41"/>
      <c r="G1" s="41"/>
      <c r="H1" s="41"/>
      <c r="I1" s="41"/>
    </row>
    <row r="2" spans="1:9" ht="15.5" x14ac:dyDescent="0.35">
      <c r="A2" s="42" t="str">
        <f>IF(title="&gt; Enter workbook title here","Enter workbook title in Cover sheet",title)</f>
        <v>Fire Northern Ireland - Consolidated Factor Spreadsheet</v>
      </c>
      <c r="B2" s="43"/>
      <c r="C2" s="43"/>
      <c r="D2" s="43"/>
      <c r="E2" s="43"/>
      <c r="F2" s="43"/>
      <c r="G2" s="43"/>
      <c r="H2" s="43"/>
      <c r="I2" s="43"/>
    </row>
    <row r="3" spans="1:9" ht="15.5" x14ac:dyDescent="0.35">
      <c r="A3" s="44" t="str">
        <f>TABLE_FACTOR_TYPE_1&amp;" - x-"&amp;TABLE_SERIES_NUMBER_1</f>
        <v>Scheme pays LTA - x-625</v>
      </c>
      <c r="B3" s="43"/>
      <c r="C3" s="43"/>
      <c r="D3" s="43"/>
      <c r="E3" s="43"/>
      <c r="F3" s="43"/>
      <c r="G3" s="43"/>
      <c r="H3" s="43"/>
      <c r="I3" s="43"/>
    </row>
    <row r="4" spans="1:9" x14ac:dyDescent="0.25">
      <c r="A4" s="45"/>
    </row>
    <row r="6" spans="1:9" ht="13" x14ac:dyDescent="0.3">
      <c r="A6" s="75" t="s">
        <v>562</v>
      </c>
      <c r="B6" s="158" t="s">
        <v>563</v>
      </c>
      <c r="C6" s="76"/>
    </row>
    <row r="7" spans="1:9" x14ac:dyDescent="0.25">
      <c r="A7" s="77" t="s">
        <v>305</v>
      </c>
      <c r="B7" s="159" t="s">
        <v>319</v>
      </c>
      <c r="C7" s="78"/>
    </row>
    <row r="8" spans="1:9" x14ac:dyDescent="0.25">
      <c r="A8" s="77" t="s">
        <v>306</v>
      </c>
      <c r="B8" s="159" t="s">
        <v>332</v>
      </c>
      <c r="C8" s="78"/>
    </row>
    <row r="9" spans="1:9" x14ac:dyDescent="0.25">
      <c r="A9" s="77" t="s">
        <v>307</v>
      </c>
      <c r="B9" s="159" t="s">
        <v>528</v>
      </c>
      <c r="C9" s="78"/>
    </row>
    <row r="10" spans="1:9" x14ac:dyDescent="0.25">
      <c r="A10" s="77" t="s">
        <v>233</v>
      </c>
      <c r="B10" s="159" t="s">
        <v>537</v>
      </c>
      <c r="C10" s="78"/>
    </row>
    <row r="11" spans="1:9" x14ac:dyDescent="0.25">
      <c r="A11" s="77" t="s">
        <v>308</v>
      </c>
      <c r="B11" s="159" t="s">
        <v>484</v>
      </c>
      <c r="C11" s="78"/>
    </row>
    <row r="12" spans="1:9" x14ac:dyDescent="0.25">
      <c r="A12" s="77" t="s">
        <v>309</v>
      </c>
      <c r="B12" s="159" t="s">
        <v>530</v>
      </c>
      <c r="C12" s="78"/>
    </row>
    <row r="13" spans="1:9" x14ac:dyDescent="0.25">
      <c r="A13" s="77" t="s">
        <v>570</v>
      </c>
      <c r="B13" s="159">
        <v>1</v>
      </c>
      <c r="C13" s="78"/>
    </row>
    <row r="14" spans="1:9" x14ac:dyDescent="0.25">
      <c r="A14" s="77" t="s">
        <v>311</v>
      </c>
      <c r="B14" s="159">
        <v>625</v>
      </c>
      <c r="C14" s="78"/>
    </row>
    <row r="15" spans="1:9" x14ac:dyDescent="0.25">
      <c r="A15" s="77" t="s">
        <v>573</v>
      </c>
      <c r="B15" s="159" t="s">
        <v>538</v>
      </c>
      <c r="C15" s="78"/>
    </row>
    <row r="16" spans="1:9" x14ac:dyDescent="0.25">
      <c r="A16" s="77" t="s">
        <v>313</v>
      </c>
      <c r="B16" s="159" t="s">
        <v>436</v>
      </c>
      <c r="C16" s="78"/>
    </row>
    <row r="17" spans="1:3" ht="91" customHeight="1" x14ac:dyDescent="0.25">
      <c r="A17" s="77" t="s">
        <v>642</v>
      </c>
      <c r="B17" s="159"/>
      <c r="C17" s="78"/>
    </row>
    <row r="18" spans="1:3" x14ac:dyDescent="0.25">
      <c r="A18" s="77" t="s">
        <v>315</v>
      </c>
      <c r="B18" s="161">
        <v>45135</v>
      </c>
      <c r="C18" s="78"/>
    </row>
    <row r="19" spans="1:3" x14ac:dyDescent="0.25">
      <c r="A19" s="77" t="s">
        <v>316</v>
      </c>
      <c r="B19" s="161">
        <v>45135</v>
      </c>
      <c r="C19" s="78"/>
    </row>
    <row r="20" spans="1:3" x14ac:dyDescent="0.25">
      <c r="A20" s="77" t="s">
        <v>317</v>
      </c>
      <c r="B20" s="159" t="s">
        <v>532</v>
      </c>
      <c r="C20" s="78"/>
    </row>
    <row r="21" spans="1:3" x14ac:dyDescent="0.25">
      <c r="A21" s="77" t="s">
        <v>318</v>
      </c>
      <c r="B21" s="159" t="s">
        <v>328</v>
      </c>
      <c r="C21" s="78"/>
    </row>
    <row r="23" spans="1:3" x14ac:dyDescent="0.25">
      <c r="B23" s="91" t="str">
        <f>HYPERLINK("#'Factor List'!A1","Back to Factor List")</f>
        <v>Back to Factor List</v>
      </c>
    </row>
    <row r="24" spans="1:3" x14ac:dyDescent="0.25">
      <c r="B24" s="91" t="s">
        <v>240</v>
      </c>
    </row>
    <row r="25" spans="1:3" x14ac:dyDescent="0.25">
      <c r="B25" s="91"/>
    </row>
  </sheetData>
  <sheetProtection algorithmName="SHA-512" hashValue="GYI/2opzXLN41n5pbXyp2WUl23SzS/HkAuBVN2FWKxNdDAB/2BVlH372ypc+38sXkJycpBycRCc5dmPVXyUi1A==" saltValue="kMZOQDRMShuc9kjfh33K2w==" spinCount="100000" sheet="1" objects="1" scenarios="1"/>
  <conditionalFormatting sqref="A6:A16">
    <cfRule type="expression" dxfId="147" priority="29" stopIfTrue="1">
      <formula>MOD(ROW(),2)=0</formula>
    </cfRule>
    <cfRule type="expression" dxfId="146" priority="30" stopIfTrue="1">
      <formula>MOD(ROW(),2)&lt;&gt;0</formula>
    </cfRule>
  </conditionalFormatting>
  <conditionalFormatting sqref="B6:C16 C17:C21">
    <cfRule type="expression" dxfId="145" priority="31" stopIfTrue="1">
      <formula>MOD(ROW(),2)=0</formula>
    </cfRule>
    <cfRule type="expression" dxfId="144" priority="32" stopIfTrue="1">
      <formula>MOD(ROW(),2)&lt;&gt;0</formula>
    </cfRule>
  </conditionalFormatting>
  <conditionalFormatting sqref="A17:A20">
    <cfRule type="expression" dxfId="143" priority="21" stopIfTrue="1">
      <formula>MOD(ROW(),2)=0</formula>
    </cfRule>
    <cfRule type="expression" dxfId="142" priority="22" stopIfTrue="1">
      <formula>MOD(ROW(),2)&lt;&gt;0</formula>
    </cfRule>
  </conditionalFormatting>
  <conditionalFormatting sqref="B17:B18 B20:B21">
    <cfRule type="expression" dxfId="141" priority="23" stopIfTrue="1">
      <formula>MOD(ROW(),2)=0</formula>
    </cfRule>
    <cfRule type="expression" dxfId="140" priority="24" stopIfTrue="1">
      <formula>MOD(ROW(),2)&lt;&gt;0</formula>
    </cfRule>
  </conditionalFormatting>
  <conditionalFormatting sqref="B19">
    <cfRule type="expression" dxfId="139" priority="13" stopIfTrue="1">
      <formula>MOD(ROW(),2)=0</formula>
    </cfRule>
    <cfRule type="expression" dxfId="138" priority="14" stopIfTrue="1">
      <formula>MOD(ROW(),2)&lt;&gt;0</formula>
    </cfRule>
  </conditionalFormatting>
  <conditionalFormatting sqref="A21">
    <cfRule type="expression" dxfId="137" priority="1" stopIfTrue="1">
      <formula>MOD(ROW(),2)=0</formula>
    </cfRule>
    <cfRule type="expression" dxfId="136" priority="2" stopIfTrue="1">
      <formula>MOD(ROW(),2)&lt;&gt;0</formula>
    </cfRule>
  </conditionalFormatting>
  <hyperlinks>
    <hyperlink ref="B24" location="Assumptions!A1" display="Assumptions" xr:uid="{30A979D1-5EF0-434B-9F2F-0DF337D07916}"/>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700-000000000000}">
  <sheetPr codeName="Sheet106"/>
  <dimension ref="A1:I25"/>
  <sheetViews>
    <sheetView showGridLines="0" zoomScale="85" zoomScaleNormal="85" workbookViewId="0">
      <selection activeCell="B18" sqref="B18"/>
    </sheetView>
  </sheetViews>
  <sheetFormatPr defaultColWidth="10" defaultRowHeight="12.5" x14ac:dyDescent="0.25"/>
  <cols>
    <col min="1" max="1" width="31.81640625" style="28" customWidth="1"/>
    <col min="2" max="3" width="22.81640625" style="28" customWidth="1"/>
    <col min="4" max="4" width="10" style="28" customWidth="1"/>
    <col min="5" max="16384" width="10" style="28"/>
  </cols>
  <sheetData>
    <row r="1" spans="1:9" ht="20" x14ac:dyDescent="0.4">
      <c r="A1" s="40" t="s">
        <v>227</v>
      </c>
      <c r="B1" s="41"/>
      <c r="C1" s="41"/>
      <c r="D1" s="41"/>
      <c r="E1" s="41"/>
      <c r="F1" s="41"/>
      <c r="G1" s="41"/>
      <c r="H1" s="41"/>
      <c r="I1" s="41"/>
    </row>
    <row r="2" spans="1:9" ht="15.5" x14ac:dyDescent="0.35">
      <c r="A2" s="42" t="str">
        <f>IF(title="&gt; Enter workbook title here","Enter workbook title in Cover sheet",title)</f>
        <v>Fire Northern Ireland - Consolidated Factor Spreadsheet</v>
      </c>
      <c r="B2" s="43"/>
      <c r="C2" s="43"/>
      <c r="D2" s="43"/>
      <c r="E2" s="43"/>
      <c r="F2" s="43"/>
      <c r="G2" s="43"/>
      <c r="H2" s="43"/>
      <c r="I2" s="43"/>
    </row>
    <row r="3" spans="1:9" ht="15.5" x14ac:dyDescent="0.35">
      <c r="A3" s="44" t="str">
        <f>TABLE_FACTOR_TYPE_1&amp;" - x-"&amp;TABLE_SERIES_NUMBER_1</f>
        <v>Scheme pays LTA - x-626</v>
      </c>
      <c r="B3" s="43"/>
      <c r="C3" s="43"/>
      <c r="D3" s="43"/>
      <c r="E3" s="43"/>
      <c r="F3" s="43"/>
      <c r="G3" s="43"/>
      <c r="H3" s="43"/>
      <c r="I3" s="43"/>
    </row>
    <row r="4" spans="1:9" x14ac:dyDescent="0.25">
      <c r="A4" s="45"/>
    </row>
    <row r="6" spans="1:9" ht="13" x14ac:dyDescent="0.3">
      <c r="A6" s="75" t="s">
        <v>562</v>
      </c>
      <c r="B6" s="158" t="s">
        <v>563</v>
      </c>
      <c r="C6" s="76"/>
    </row>
    <row r="7" spans="1:9" x14ac:dyDescent="0.25">
      <c r="A7" s="77" t="s">
        <v>305</v>
      </c>
      <c r="B7" s="159" t="s">
        <v>319</v>
      </c>
      <c r="C7" s="78"/>
    </row>
    <row r="8" spans="1:9" x14ac:dyDescent="0.25">
      <c r="A8" s="77" t="s">
        <v>306</v>
      </c>
      <c r="B8" s="159">
        <v>2015</v>
      </c>
      <c r="C8" s="78"/>
    </row>
    <row r="9" spans="1:9" x14ac:dyDescent="0.25">
      <c r="A9" s="77" t="s">
        <v>307</v>
      </c>
      <c r="B9" s="159" t="s">
        <v>528</v>
      </c>
      <c r="C9" s="78"/>
    </row>
    <row r="10" spans="1:9" x14ac:dyDescent="0.25">
      <c r="A10" s="77" t="s">
        <v>233</v>
      </c>
      <c r="B10" s="159" t="s">
        <v>535</v>
      </c>
      <c r="C10" s="78"/>
    </row>
    <row r="11" spans="1:9" x14ac:dyDescent="0.25">
      <c r="A11" s="77" t="s">
        <v>308</v>
      </c>
      <c r="B11" s="159" t="s">
        <v>484</v>
      </c>
      <c r="C11" s="78"/>
    </row>
    <row r="12" spans="1:9" x14ac:dyDescent="0.25">
      <c r="A12" s="77" t="s">
        <v>309</v>
      </c>
      <c r="B12" s="159" t="s">
        <v>530</v>
      </c>
      <c r="C12" s="78"/>
    </row>
    <row r="13" spans="1:9" x14ac:dyDescent="0.25">
      <c r="A13" s="77" t="s">
        <v>570</v>
      </c>
      <c r="B13" s="159">
        <v>0</v>
      </c>
      <c r="C13" s="78"/>
    </row>
    <row r="14" spans="1:9" x14ac:dyDescent="0.25">
      <c r="A14" s="77" t="s">
        <v>311</v>
      </c>
      <c r="B14" s="159">
        <v>626</v>
      </c>
      <c r="C14" s="78"/>
    </row>
    <row r="15" spans="1:9" x14ac:dyDescent="0.25">
      <c r="A15" s="77" t="s">
        <v>573</v>
      </c>
      <c r="B15" s="159" t="s">
        <v>539</v>
      </c>
      <c r="C15" s="78"/>
    </row>
    <row r="16" spans="1:9" x14ac:dyDescent="0.25">
      <c r="A16" s="77" t="s">
        <v>313</v>
      </c>
      <c r="B16" s="159" t="s">
        <v>540</v>
      </c>
      <c r="C16" s="78"/>
    </row>
    <row r="17" spans="1:3" x14ac:dyDescent="0.25">
      <c r="A17" s="77" t="s">
        <v>642</v>
      </c>
      <c r="B17" s="159"/>
      <c r="C17" s="78"/>
    </row>
    <row r="18" spans="1:3" x14ac:dyDescent="0.25">
      <c r="A18" s="77" t="s">
        <v>315</v>
      </c>
      <c r="B18" s="161">
        <v>45135</v>
      </c>
      <c r="C18" s="78"/>
    </row>
    <row r="19" spans="1:3" x14ac:dyDescent="0.25">
      <c r="A19" s="77" t="s">
        <v>316</v>
      </c>
      <c r="B19" s="161">
        <v>45135</v>
      </c>
      <c r="C19" s="78"/>
    </row>
    <row r="20" spans="1:3" x14ac:dyDescent="0.25">
      <c r="A20" s="77" t="s">
        <v>317</v>
      </c>
      <c r="B20" s="159" t="s">
        <v>532</v>
      </c>
      <c r="C20" s="78"/>
    </row>
    <row r="21" spans="1:3" x14ac:dyDescent="0.25">
      <c r="A21" s="77" t="s">
        <v>318</v>
      </c>
      <c r="B21" s="159" t="s">
        <v>328</v>
      </c>
      <c r="C21" s="78"/>
    </row>
    <row r="23" spans="1:3" x14ac:dyDescent="0.25">
      <c r="B23" s="91" t="str">
        <f>HYPERLINK("#'Factor List'!A1","Back to Factor List")</f>
        <v>Back to Factor List</v>
      </c>
    </row>
    <row r="24" spans="1:3" x14ac:dyDescent="0.25">
      <c r="B24" s="91" t="s">
        <v>240</v>
      </c>
    </row>
    <row r="25" spans="1:3" x14ac:dyDescent="0.25">
      <c r="B25" s="91"/>
    </row>
  </sheetData>
  <sheetProtection algorithmName="SHA-512" hashValue="knIW1RYzS3/OsmkRoiVCnvgZ/I8YVTLMm6NVgf3MTgzbia9D+7X9dqDLr+UHfDM3opeRg5L+7QIhQg2OwJPyXQ==" saltValue="5C/lF5YIAf5z6jvCCwPQIA==" spinCount="100000" sheet="1" objects="1" scenarios="1"/>
  <conditionalFormatting sqref="A6:A16">
    <cfRule type="expression" dxfId="135" priority="29" stopIfTrue="1">
      <formula>MOD(ROW(),2)=0</formula>
    </cfRule>
    <cfRule type="expression" dxfId="134" priority="30" stopIfTrue="1">
      <formula>MOD(ROW(),2)&lt;&gt;0</formula>
    </cfRule>
  </conditionalFormatting>
  <conditionalFormatting sqref="B6:C16 C17:C21">
    <cfRule type="expression" dxfId="133" priority="31" stopIfTrue="1">
      <formula>MOD(ROW(),2)=0</formula>
    </cfRule>
    <cfRule type="expression" dxfId="132" priority="32" stopIfTrue="1">
      <formula>MOD(ROW(),2)&lt;&gt;0</formula>
    </cfRule>
  </conditionalFormatting>
  <conditionalFormatting sqref="A17:A20">
    <cfRule type="expression" dxfId="131" priority="21" stopIfTrue="1">
      <formula>MOD(ROW(),2)=0</formula>
    </cfRule>
    <cfRule type="expression" dxfId="130" priority="22" stopIfTrue="1">
      <formula>MOD(ROW(),2)&lt;&gt;0</formula>
    </cfRule>
  </conditionalFormatting>
  <conditionalFormatting sqref="B17:B18 B20:B21">
    <cfRule type="expression" dxfId="129" priority="23" stopIfTrue="1">
      <formula>MOD(ROW(),2)=0</formula>
    </cfRule>
    <cfRule type="expression" dxfId="128" priority="24" stopIfTrue="1">
      <formula>MOD(ROW(),2)&lt;&gt;0</formula>
    </cfRule>
  </conditionalFormatting>
  <conditionalFormatting sqref="B19">
    <cfRule type="expression" dxfId="127" priority="13" stopIfTrue="1">
      <formula>MOD(ROW(),2)=0</formula>
    </cfRule>
    <cfRule type="expression" dxfId="126" priority="14" stopIfTrue="1">
      <formula>MOD(ROW(),2)&lt;&gt;0</formula>
    </cfRule>
  </conditionalFormatting>
  <conditionalFormatting sqref="A21">
    <cfRule type="expression" dxfId="125" priority="1" stopIfTrue="1">
      <formula>MOD(ROW(),2)=0</formula>
    </cfRule>
    <cfRule type="expression" dxfId="124" priority="2" stopIfTrue="1">
      <formula>MOD(ROW(),2)&lt;&gt;0</formula>
    </cfRule>
  </conditionalFormatting>
  <hyperlinks>
    <hyperlink ref="B24" location="Assumptions!A1" display="Assumptions" xr:uid="{D72F0190-2566-4D6B-A5F4-91EBC89B24E7}"/>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29"/>
  <dimension ref="A1:G68"/>
  <sheetViews>
    <sheetView showGridLines="0" zoomScale="85" zoomScaleNormal="85" workbookViewId="0">
      <selection activeCell="A3" sqref="A3"/>
    </sheetView>
  </sheetViews>
  <sheetFormatPr defaultColWidth="10" defaultRowHeight="12.5" x14ac:dyDescent="0.25"/>
  <cols>
    <col min="1" max="1" width="31.81640625" style="28" customWidth="1"/>
    <col min="2" max="4" width="22.81640625" style="28" customWidth="1"/>
    <col min="5" max="16384" width="10" style="28"/>
  </cols>
  <sheetData>
    <row r="1" spans="1:7" ht="20" x14ac:dyDescent="0.4">
      <c r="A1" s="40" t="s">
        <v>227</v>
      </c>
      <c r="B1" s="41"/>
      <c r="C1" s="41"/>
      <c r="D1" s="41"/>
      <c r="E1" s="41"/>
      <c r="F1" s="41"/>
      <c r="G1" s="41"/>
    </row>
    <row r="2" spans="1:7" ht="15.5" x14ac:dyDescent="0.35">
      <c r="A2" s="42" t="str">
        <f>IF(title="&gt; Enter workbook title here","Enter workbook title in Cover sheet",title)</f>
        <v>Fire Northern Ireland - Consolidated Factor Spreadsheet</v>
      </c>
      <c r="B2" s="43"/>
      <c r="C2" s="43"/>
      <c r="D2" s="43"/>
      <c r="E2" s="43"/>
      <c r="F2" s="43"/>
      <c r="G2" s="43"/>
    </row>
    <row r="3" spans="1:7" ht="15.5" x14ac:dyDescent="0.35">
      <c r="A3" s="44" t="str">
        <f>TABLE_FACTOR_TYPE_1&amp;" - x-"&amp;TABLE_SERIES_NUMBER_1</f>
        <v>CETV - x-201</v>
      </c>
      <c r="B3" s="43"/>
      <c r="C3" s="43"/>
      <c r="D3" s="43"/>
      <c r="E3" s="43"/>
      <c r="F3" s="43"/>
      <c r="G3" s="43"/>
    </row>
    <row r="4" spans="1:7" x14ac:dyDescent="0.25">
      <c r="A4" s="45"/>
    </row>
    <row r="6" spans="1:7" ht="13" x14ac:dyDescent="0.3">
      <c r="A6" s="155" t="s">
        <v>562</v>
      </c>
      <c r="B6" s="154" t="s">
        <v>563</v>
      </c>
      <c r="C6" s="154"/>
      <c r="D6" s="154"/>
    </row>
    <row r="7" spans="1:7" x14ac:dyDescent="0.25">
      <c r="A7" s="156" t="s">
        <v>305</v>
      </c>
      <c r="B7" s="154" t="s">
        <v>319</v>
      </c>
      <c r="C7" s="154"/>
      <c r="D7" s="154"/>
    </row>
    <row r="8" spans="1:7" x14ac:dyDescent="0.25">
      <c r="A8" s="156" t="s">
        <v>306</v>
      </c>
      <c r="B8" s="154" t="s">
        <v>320</v>
      </c>
      <c r="C8" s="154"/>
      <c r="D8" s="154"/>
    </row>
    <row r="9" spans="1:7" x14ac:dyDescent="0.25">
      <c r="A9" s="156" t="s">
        <v>307</v>
      </c>
      <c r="B9" s="154" t="s">
        <v>321</v>
      </c>
      <c r="C9" s="154"/>
      <c r="D9" s="154"/>
    </row>
    <row r="10" spans="1:7" x14ac:dyDescent="0.25">
      <c r="A10" s="156" t="s">
        <v>233</v>
      </c>
      <c r="B10" s="154" t="s">
        <v>322</v>
      </c>
      <c r="C10" s="154"/>
      <c r="D10" s="154"/>
    </row>
    <row r="11" spans="1:7" x14ac:dyDescent="0.25">
      <c r="A11" s="156" t="s">
        <v>308</v>
      </c>
      <c r="B11" s="154" t="s">
        <v>323</v>
      </c>
      <c r="C11" s="154"/>
      <c r="D11" s="154"/>
    </row>
    <row r="12" spans="1:7" x14ac:dyDescent="0.25">
      <c r="A12" s="156" t="s">
        <v>309</v>
      </c>
      <c r="B12" s="154" t="s">
        <v>324</v>
      </c>
      <c r="C12" s="154"/>
      <c r="D12" s="154"/>
    </row>
    <row r="13" spans="1:7" x14ac:dyDescent="0.25">
      <c r="A13" s="156" t="s">
        <v>570</v>
      </c>
      <c r="B13" s="154">
        <v>2</v>
      </c>
      <c r="C13" s="154"/>
      <c r="D13" s="154"/>
    </row>
    <row r="14" spans="1:7" x14ac:dyDescent="0.25">
      <c r="A14" s="156" t="s">
        <v>311</v>
      </c>
      <c r="B14" s="154">
        <v>201</v>
      </c>
      <c r="C14" s="154"/>
      <c r="D14" s="154"/>
    </row>
    <row r="15" spans="1:7" x14ac:dyDescent="0.25">
      <c r="A15" s="156" t="s">
        <v>573</v>
      </c>
      <c r="B15" s="154" t="s">
        <v>325</v>
      </c>
      <c r="C15" s="154"/>
      <c r="D15" s="154"/>
    </row>
    <row r="16" spans="1:7" x14ac:dyDescent="0.25">
      <c r="A16" s="156" t="s">
        <v>313</v>
      </c>
      <c r="B16" s="154" t="s">
        <v>326</v>
      </c>
      <c r="C16" s="154"/>
      <c r="D16" s="154"/>
    </row>
    <row r="17" spans="1:4" ht="69" customHeight="1" x14ac:dyDescent="0.25">
      <c r="A17" s="156" t="s">
        <v>642</v>
      </c>
      <c r="B17" s="154"/>
      <c r="C17" s="154"/>
      <c r="D17" s="154"/>
    </row>
    <row r="18" spans="1:4" x14ac:dyDescent="0.25">
      <c r="A18" s="156" t="s">
        <v>315</v>
      </c>
      <c r="B18" s="157">
        <v>45070</v>
      </c>
      <c r="C18" s="154"/>
      <c r="D18" s="154"/>
    </row>
    <row r="19" spans="1:4" x14ac:dyDescent="0.25">
      <c r="A19" s="156" t="s">
        <v>316</v>
      </c>
      <c r="B19" s="157">
        <v>45014</v>
      </c>
      <c r="C19" s="154"/>
      <c r="D19" s="154"/>
    </row>
    <row r="20" spans="1:4" x14ac:dyDescent="0.25">
      <c r="A20" s="156" t="s">
        <v>317</v>
      </c>
      <c r="B20" s="154" t="s">
        <v>327</v>
      </c>
      <c r="C20" s="154"/>
      <c r="D20" s="154"/>
    </row>
    <row r="21" spans="1:4" x14ac:dyDescent="0.25">
      <c r="A21" s="77" t="s">
        <v>318</v>
      </c>
      <c r="B21" s="154" t="s">
        <v>328</v>
      </c>
      <c r="C21" s="154"/>
      <c r="D21" s="154"/>
    </row>
    <row r="23" spans="1:4" x14ac:dyDescent="0.25">
      <c r="B23" s="91" t="str">
        <f>HYPERLINK("#'Factor List'!A1","Back to Factor List")</f>
        <v>Back to Factor List</v>
      </c>
    </row>
    <row r="24" spans="1:4" x14ac:dyDescent="0.25">
      <c r="B24" s="91" t="s">
        <v>240</v>
      </c>
    </row>
    <row r="25" spans="1:4" x14ac:dyDescent="0.25">
      <c r="B25" s="91"/>
    </row>
    <row r="26" spans="1:4" ht="39" x14ac:dyDescent="0.25">
      <c r="A26" s="87" t="s">
        <v>643</v>
      </c>
      <c r="B26" s="87" t="s">
        <v>644</v>
      </c>
      <c r="C26" s="87" t="s">
        <v>645</v>
      </c>
      <c r="D26" s="87" t="s">
        <v>646</v>
      </c>
    </row>
    <row r="27" spans="1:4" x14ac:dyDescent="0.25">
      <c r="A27" s="88">
        <v>18</v>
      </c>
      <c r="B27" s="89">
        <v>10.87</v>
      </c>
      <c r="C27" s="89">
        <v>2.37</v>
      </c>
      <c r="D27" s="89">
        <v>0</v>
      </c>
    </row>
    <row r="28" spans="1:4" x14ac:dyDescent="0.25">
      <c r="A28" s="88">
        <v>19</v>
      </c>
      <c r="B28" s="89">
        <v>11.02</v>
      </c>
      <c r="C28" s="89">
        <v>2.4700000000000002</v>
      </c>
      <c r="D28" s="89">
        <v>0</v>
      </c>
    </row>
    <row r="29" spans="1:4" x14ac:dyDescent="0.25">
      <c r="A29" s="88">
        <v>20</v>
      </c>
      <c r="B29" s="89">
        <v>11.18</v>
      </c>
      <c r="C29" s="89">
        <v>2.52</v>
      </c>
      <c r="D29" s="89">
        <v>0</v>
      </c>
    </row>
    <row r="30" spans="1:4" x14ac:dyDescent="0.25">
      <c r="A30" s="88">
        <v>21</v>
      </c>
      <c r="B30" s="89">
        <v>11.34</v>
      </c>
      <c r="C30" s="89">
        <v>2.56</v>
      </c>
      <c r="D30" s="89">
        <v>0</v>
      </c>
    </row>
    <row r="31" spans="1:4" x14ac:dyDescent="0.25">
      <c r="A31" s="88">
        <v>22</v>
      </c>
      <c r="B31" s="89">
        <v>11.51</v>
      </c>
      <c r="C31" s="89">
        <v>2.6</v>
      </c>
      <c r="D31" s="89">
        <v>0</v>
      </c>
    </row>
    <row r="32" spans="1:4" x14ac:dyDescent="0.25">
      <c r="A32" s="88">
        <v>23</v>
      </c>
      <c r="B32" s="89">
        <v>11.67</v>
      </c>
      <c r="C32" s="89">
        <v>2.64</v>
      </c>
      <c r="D32" s="89">
        <v>0</v>
      </c>
    </row>
    <row r="33" spans="1:4" x14ac:dyDescent="0.25">
      <c r="A33" s="88">
        <v>24</v>
      </c>
      <c r="B33" s="89">
        <v>11.84</v>
      </c>
      <c r="C33" s="89">
        <v>2.68</v>
      </c>
      <c r="D33" s="89">
        <v>0</v>
      </c>
    </row>
    <row r="34" spans="1:4" x14ac:dyDescent="0.25">
      <c r="A34" s="88">
        <v>25</v>
      </c>
      <c r="B34" s="89">
        <v>12.01</v>
      </c>
      <c r="C34" s="89">
        <v>2.73</v>
      </c>
      <c r="D34" s="89">
        <v>0</v>
      </c>
    </row>
    <row r="35" spans="1:4" x14ac:dyDescent="0.25">
      <c r="A35" s="88">
        <v>26</v>
      </c>
      <c r="B35" s="89">
        <v>12.19</v>
      </c>
      <c r="C35" s="89">
        <v>2.77</v>
      </c>
      <c r="D35" s="89">
        <v>0</v>
      </c>
    </row>
    <row r="36" spans="1:4" x14ac:dyDescent="0.25">
      <c r="A36" s="88">
        <v>27</v>
      </c>
      <c r="B36" s="89">
        <v>12.36</v>
      </c>
      <c r="C36" s="89">
        <v>2.81</v>
      </c>
      <c r="D36" s="89">
        <v>0</v>
      </c>
    </row>
    <row r="37" spans="1:4" x14ac:dyDescent="0.25">
      <c r="A37" s="88">
        <v>28</v>
      </c>
      <c r="B37" s="89">
        <v>12.54</v>
      </c>
      <c r="C37" s="89">
        <v>2.86</v>
      </c>
      <c r="D37" s="89">
        <v>0</v>
      </c>
    </row>
    <row r="38" spans="1:4" x14ac:dyDescent="0.25">
      <c r="A38" s="88">
        <v>29</v>
      </c>
      <c r="B38" s="89">
        <v>12.73</v>
      </c>
      <c r="C38" s="89">
        <v>2.9</v>
      </c>
      <c r="D38" s="89">
        <v>0</v>
      </c>
    </row>
    <row r="39" spans="1:4" x14ac:dyDescent="0.25">
      <c r="A39" s="88">
        <v>30</v>
      </c>
      <c r="B39" s="89">
        <v>12.91</v>
      </c>
      <c r="C39" s="89">
        <v>2.94</v>
      </c>
      <c r="D39" s="89">
        <v>0</v>
      </c>
    </row>
    <row r="40" spans="1:4" x14ac:dyDescent="0.25">
      <c r="A40" s="88">
        <v>31</v>
      </c>
      <c r="B40" s="89">
        <v>13.1</v>
      </c>
      <c r="C40" s="89">
        <v>2.99</v>
      </c>
      <c r="D40" s="89">
        <v>0</v>
      </c>
    </row>
    <row r="41" spans="1:4" x14ac:dyDescent="0.25">
      <c r="A41" s="88">
        <v>32</v>
      </c>
      <c r="B41" s="89">
        <v>13.3</v>
      </c>
      <c r="C41" s="89">
        <v>3.03</v>
      </c>
      <c r="D41" s="89">
        <v>0</v>
      </c>
    </row>
    <row r="42" spans="1:4" x14ac:dyDescent="0.25">
      <c r="A42" s="88">
        <v>33</v>
      </c>
      <c r="B42" s="89">
        <v>13.49</v>
      </c>
      <c r="C42" s="89">
        <v>3.07</v>
      </c>
      <c r="D42" s="89">
        <v>0</v>
      </c>
    </row>
    <row r="43" spans="1:4" x14ac:dyDescent="0.25">
      <c r="A43" s="88">
        <v>34</v>
      </c>
      <c r="B43" s="89">
        <v>13.69</v>
      </c>
      <c r="C43" s="89">
        <v>3.11</v>
      </c>
      <c r="D43" s="89">
        <v>0</v>
      </c>
    </row>
    <row r="44" spans="1:4" x14ac:dyDescent="0.25">
      <c r="A44" s="88">
        <v>35</v>
      </c>
      <c r="B44" s="89">
        <v>13.89</v>
      </c>
      <c r="C44" s="89">
        <v>3.15</v>
      </c>
      <c r="D44" s="89">
        <v>0</v>
      </c>
    </row>
    <row r="45" spans="1:4" x14ac:dyDescent="0.25">
      <c r="A45" s="88">
        <v>36</v>
      </c>
      <c r="B45" s="89">
        <v>14.1</v>
      </c>
      <c r="C45" s="89">
        <v>3.19</v>
      </c>
      <c r="D45" s="89">
        <v>0</v>
      </c>
    </row>
    <row r="46" spans="1:4" x14ac:dyDescent="0.25">
      <c r="A46" s="88">
        <v>37</v>
      </c>
      <c r="B46" s="89">
        <v>14.31</v>
      </c>
      <c r="C46" s="89">
        <v>3.23</v>
      </c>
      <c r="D46" s="89">
        <v>0</v>
      </c>
    </row>
    <row r="47" spans="1:4" x14ac:dyDescent="0.25">
      <c r="A47" s="88">
        <v>38</v>
      </c>
      <c r="B47" s="89">
        <v>14.53</v>
      </c>
      <c r="C47" s="89">
        <v>3.27</v>
      </c>
      <c r="D47" s="89">
        <v>0</v>
      </c>
    </row>
    <row r="48" spans="1:4" x14ac:dyDescent="0.25">
      <c r="A48" s="88">
        <v>39</v>
      </c>
      <c r="B48" s="89">
        <v>14.75</v>
      </c>
      <c r="C48" s="89">
        <v>3.31</v>
      </c>
      <c r="D48" s="89">
        <v>0</v>
      </c>
    </row>
    <row r="49" spans="1:4" x14ac:dyDescent="0.25">
      <c r="A49" s="88">
        <v>40</v>
      </c>
      <c r="B49" s="89">
        <v>14.97</v>
      </c>
      <c r="C49" s="89">
        <v>3.35</v>
      </c>
      <c r="D49" s="89">
        <v>0</v>
      </c>
    </row>
    <row r="50" spans="1:4" x14ac:dyDescent="0.25">
      <c r="A50" s="88">
        <v>41</v>
      </c>
      <c r="B50" s="89">
        <v>15.2</v>
      </c>
      <c r="C50" s="89">
        <v>3.39</v>
      </c>
      <c r="D50" s="89">
        <v>0</v>
      </c>
    </row>
    <row r="51" spans="1:4" x14ac:dyDescent="0.25">
      <c r="A51" s="88">
        <v>42</v>
      </c>
      <c r="B51" s="89">
        <v>15.43</v>
      </c>
      <c r="C51" s="89">
        <v>3.43</v>
      </c>
      <c r="D51" s="89">
        <v>0</v>
      </c>
    </row>
    <row r="52" spans="1:4" x14ac:dyDescent="0.25">
      <c r="A52" s="88">
        <v>43</v>
      </c>
      <c r="B52" s="89">
        <v>15.67</v>
      </c>
      <c r="C52" s="89">
        <v>3.46</v>
      </c>
      <c r="D52" s="89">
        <v>0</v>
      </c>
    </row>
    <row r="53" spans="1:4" x14ac:dyDescent="0.25">
      <c r="A53" s="88">
        <v>44</v>
      </c>
      <c r="B53" s="89">
        <v>15.91</v>
      </c>
      <c r="C53" s="89">
        <v>3.49</v>
      </c>
      <c r="D53" s="89">
        <v>0</v>
      </c>
    </row>
    <row r="54" spans="1:4" x14ac:dyDescent="0.25">
      <c r="A54" s="88">
        <v>45</v>
      </c>
      <c r="B54" s="89">
        <v>16.16</v>
      </c>
      <c r="C54" s="89">
        <v>3.53</v>
      </c>
      <c r="D54" s="89">
        <v>0</v>
      </c>
    </row>
    <row r="55" spans="1:4" x14ac:dyDescent="0.25">
      <c r="A55" s="88">
        <v>46</v>
      </c>
      <c r="B55" s="89">
        <v>16.420000000000002</v>
      </c>
      <c r="C55" s="89">
        <v>3.56</v>
      </c>
      <c r="D55" s="89">
        <v>0</v>
      </c>
    </row>
    <row r="56" spans="1:4" x14ac:dyDescent="0.25">
      <c r="A56" s="88">
        <v>47</v>
      </c>
      <c r="B56" s="89">
        <v>16.68</v>
      </c>
      <c r="C56" s="89">
        <v>3.59</v>
      </c>
      <c r="D56" s="89">
        <v>0</v>
      </c>
    </row>
    <row r="57" spans="1:4" x14ac:dyDescent="0.25">
      <c r="A57" s="88">
        <v>48</v>
      </c>
      <c r="B57" s="89">
        <v>16.940000000000001</v>
      </c>
      <c r="C57" s="89">
        <v>3.62</v>
      </c>
      <c r="D57" s="89">
        <v>0</v>
      </c>
    </row>
    <row r="58" spans="1:4" x14ac:dyDescent="0.25">
      <c r="A58" s="88">
        <v>49</v>
      </c>
      <c r="B58" s="89">
        <v>17.22</v>
      </c>
      <c r="C58" s="89">
        <v>3.64</v>
      </c>
      <c r="D58" s="89">
        <v>0</v>
      </c>
    </row>
    <row r="59" spans="1:4" x14ac:dyDescent="0.25">
      <c r="A59" s="88">
        <v>50</v>
      </c>
      <c r="B59" s="89">
        <v>17.5</v>
      </c>
      <c r="C59" s="89">
        <v>3.67</v>
      </c>
      <c r="D59" s="89">
        <v>0</v>
      </c>
    </row>
    <row r="60" spans="1:4" x14ac:dyDescent="0.25">
      <c r="A60" s="88">
        <v>51</v>
      </c>
      <c r="B60" s="89">
        <v>17.79</v>
      </c>
      <c r="C60" s="89">
        <v>3.69</v>
      </c>
      <c r="D60" s="89">
        <v>0</v>
      </c>
    </row>
    <row r="61" spans="1:4" x14ac:dyDescent="0.25">
      <c r="A61" s="88">
        <v>52</v>
      </c>
      <c r="B61" s="89">
        <v>18.09</v>
      </c>
      <c r="C61" s="89">
        <v>3.72</v>
      </c>
      <c r="D61" s="89">
        <v>0</v>
      </c>
    </row>
    <row r="62" spans="1:4" x14ac:dyDescent="0.25">
      <c r="A62" s="88">
        <v>53</v>
      </c>
      <c r="B62" s="89">
        <v>18.39</v>
      </c>
      <c r="C62" s="89">
        <v>3.74</v>
      </c>
      <c r="D62" s="89">
        <v>0</v>
      </c>
    </row>
    <row r="63" spans="1:4" x14ac:dyDescent="0.25">
      <c r="A63" s="88">
        <v>54</v>
      </c>
      <c r="B63" s="89">
        <v>18.71</v>
      </c>
      <c r="C63" s="89">
        <v>3.76</v>
      </c>
      <c r="D63" s="89">
        <v>0</v>
      </c>
    </row>
    <row r="64" spans="1:4" x14ac:dyDescent="0.25">
      <c r="A64" s="88">
        <v>55</v>
      </c>
      <c r="B64" s="89">
        <v>19.03</v>
      </c>
      <c r="C64" s="89">
        <v>3.78</v>
      </c>
      <c r="D64" s="89">
        <v>0</v>
      </c>
    </row>
    <row r="65" spans="1:4" x14ac:dyDescent="0.25">
      <c r="A65" s="88">
        <v>56</v>
      </c>
      <c r="B65" s="89">
        <v>19.36</v>
      </c>
      <c r="C65" s="89">
        <v>3.79</v>
      </c>
      <c r="D65" s="89">
        <v>0</v>
      </c>
    </row>
    <row r="66" spans="1:4" x14ac:dyDescent="0.25">
      <c r="A66" s="88">
        <v>57</v>
      </c>
      <c r="B66" s="89">
        <v>19.71</v>
      </c>
      <c r="C66" s="89">
        <v>3.81</v>
      </c>
      <c r="D66" s="89">
        <v>0</v>
      </c>
    </row>
    <row r="67" spans="1:4" x14ac:dyDescent="0.25">
      <c r="A67" s="88">
        <v>58</v>
      </c>
      <c r="B67" s="89">
        <v>20.07</v>
      </c>
      <c r="C67" s="89">
        <v>3.82</v>
      </c>
      <c r="D67" s="89">
        <v>0</v>
      </c>
    </row>
    <row r="68" spans="1:4" x14ac:dyDescent="0.25">
      <c r="A68" s="88">
        <v>59</v>
      </c>
      <c r="B68" s="89">
        <v>20.440000000000001</v>
      </c>
      <c r="C68" s="89">
        <v>3.83</v>
      </c>
      <c r="D68" s="89">
        <v>0</v>
      </c>
    </row>
  </sheetData>
  <sheetProtection algorithmName="SHA-512" hashValue="s8WJ2G3YshxBALkkJ9bDOwcEplnIfrGXib1MPYE+egnmVU3fRHxymXANpuRSmFGlvV2cxfg11bISFIuj0xp5xQ==" saltValue="QezMthH66UFQuNuPnkNz6A==" spinCount="100000" sheet="1" objects="1" scenarios="1"/>
  <conditionalFormatting sqref="B17">
    <cfRule type="expression" dxfId="1621" priority="17" stopIfTrue="1">
      <formula>MOD(ROW(),2)=0</formula>
    </cfRule>
    <cfRule type="expression" dxfId="1620" priority="18" stopIfTrue="1">
      <formula>MOD(ROW(),2)&lt;&gt;0</formula>
    </cfRule>
  </conditionalFormatting>
  <conditionalFormatting sqref="A6:A20">
    <cfRule type="expression" dxfId="1619" priority="19" stopIfTrue="1">
      <formula>MOD(ROW(),2)=0</formula>
    </cfRule>
    <cfRule type="expression" dxfId="1618" priority="20" stopIfTrue="1">
      <formula>MOD(ROW(),2)&lt;&gt;0</formula>
    </cfRule>
  </conditionalFormatting>
  <conditionalFormatting sqref="B6:D21">
    <cfRule type="expression" dxfId="1617" priority="21" stopIfTrue="1">
      <formula>MOD(ROW(),2)=0</formula>
    </cfRule>
    <cfRule type="expression" dxfId="1616" priority="22" stopIfTrue="1">
      <formula>MOD(ROW(),2)&lt;&gt;0</formula>
    </cfRule>
  </conditionalFormatting>
  <conditionalFormatting sqref="A26:A68">
    <cfRule type="expression" dxfId="1615" priority="11" stopIfTrue="1">
      <formula>MOD(ROW(),2)=0</formula>
    </cfRule>
    <cfRule type="expression" dxfId="1614" priority="12" stopIfTrue="1">
      <formula>MOD(ROW(),2)&lt;&gt;0</formula>
    </cfRule>
  </conditionalFormatting>
  <conditionalFormatting sqref="B26:D68">
    <cfRule type="expression" dxfId="1613" priority="13" stopIfTrue="1">
      <formula>MOD(ROW(),2)=0</formula>
    </cfRule>
    <cfRule type="expression" dxfId="1612" priority="14" stopIfTrue="1">
      <formula>MOD(ROW(),2)&lt;&gt;0</formula>
    </cfRule>
  </conditionalFormatting>
  <conditionalFormatting sqref="C17:D17">
    <cfRule type="expression" dxfId="1611" priority="9" stopIfTrue="1">
      <formula>MOD(ROW(),2)=0</formula>
    </cfRule>
    <cfRule type="expression" dxfId="1610" priority="10" stopIfTrue="1">
      <formula>MOD(ROW(),2)&lt;&gt;0</formula>
    </cfRule>
  </conditionalFormatting>
  <conditionalFormatting sqref="A21">
    <cfRule type="expression" dxfId="1609" priority="1" stopIfTrue="1">
      <formula>MOD(ROW(),2)=0</formula>
    </cfRule>
    <cfRule type="expression" dxfId="1608" priority="2" stopIfTrue="1">
      <formula>MOD(ROW(),2)&lt;&gt;0</formula>
    </cfRule>
  </conditionalFormatting>
  <hyperlinks>
    <hyperlink ref="B24" location="Assumptions!A1" display="Assumptions" xr:uid="{AB7230B6-4591-4BD5-8C4A-EB84CC84D555}"/>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800-000000000000}">
  <sheetPr codeName="Sheet107"/>
  <dimension ref="A1:I25"/>
  <sheetViews>
    <sheetView showGridLines="0" zoomScale="85" zoomScaleNormal="85" workbookViewId="0">
      <selection activeCell="B18" sqref="B18"/>
    </sheetView>
  </sheetViews>
  <sheetFormatPr defaultColWidth="10" defaultRowHeight="12.5" x14ac:dyDescent="0.25"/>
  <cols>
    <col min="1" max="1" width="31.81640625" style="28" customWidth="1"/>
    <col min="2" max="3" width="22.81640625" style="28" customWidth="1"/>
    <col min="4" max="4" width="10" style="28" customWidth="1"/>
    <col min="5" max="16384" width="10" style="28"/>
  </cols>
  <sheetData>
    <row r="1" spans="1:9" ht="20" x14ac:dyDescent="0.4">
      <c r="A1" s="40" t="s">
        <v>227</v>
      </c>
      <c r="B1" s="41"/>
      <c r="C1" s="41"/>
      <c r="D1" s="41"/>
      <c r="E1" s="41"/>
      <c r="F1" s="41"/>
      <c r="G1" s="41"/>
      <c r="H1" s="41"/>
      <c r="I1" s="41"/>
    </row>
    <row r="2" spans="1:9" ht="15.5" x14ac:dyDescent="0.35">
      <c r="A2" s="42" t="str">
        <f>IF(title="&gt; Enter workbook title here","Enter workbook title in Cover sheet",title)</f>
        <v>Fire Northern Ireland - Consolidated Factor Spreadsheet</v>
      </c>
      <c r="B2" s="43"/>
      <c r="C2" s="43"/>
      <c r="D2" s="43"/>
      <c r="E2" s="43"/>
      <c r="F2" s="43"/>
      <c r="G2" s="43"/>
      <c r="H2" s="43"/>
      <c r="I2" s="43"/>
    </row>
    <row r="3" spans="1:9" ht="15.5" x14ac:dyDescent="0.35">
      <c r="A3" s="44" t="str">
        <f>TABLE_FACTOR_TYPE_1&amp;" - x-"&amp;TABLE_SERIES_NUMBER_1</f>
        <v>Scheme pays LTA - x-627</v>
      </c>
      <c r="B3" s="43"/>
      <c r="C3" s="43"/>
      <c r="D3" s="43"/>
      <c r="E3" s="43"/>
      <c r="F3" s="43"/>
      <c r="G3" s="43"/>
      <c r="H3" s="43"/>
      <c r="I3" s="43"/>
    </row>
    <row r="4" spans="1:9" x14ac:dyDescent="0.25">
      <c r="A4" s="45"/>
    </row>
    <row r="6" spans="1:9" ht="13" x14ac:dyDescent="0.3">
      <c r="A6" s="75" t="s">
        <v>562</v>
      </c>
      <c r="B6" s="158" t="s">
        <v>563</v>
      </c>
      <c r="C6" s="76"/>
    </row>
    <row r="7" spans="1:9" x14ac:dyDescent="0.25">
      <c r="A7" s="77" t="s">
        <v>305</v>
      </c>
      <c r="B7" s="159" t="s">
        <v>319</v>
      </c>
      <c r="C7" s="78"/>
    </row>
    <row r="8" spans="1:9" x14ac:dyDescent="0.25">
      <c r="A8" s="77" t="s">
        <v>306</v>
      </c>
      <c r="B8" s="159">
        <v>2015</v>
      </c>
      <c r="C8" s="78"/>
    </row>
    <row r="9" spans="1:9" x14ac:dyDescent="0.25">
      <c r="A9" s="77" t="s">
        <v>307</v>
      </c>
      <c r="B9" s="159" t="s">
        <v>528</v>
      </c>
      <c r="C9" s="78"/>
    </row>
    <row r="10" spans="1:9" x14ac:dyDescent="0.25">
      <c r="A10" s="77" t="s">
        <v>233</v>
      </c>
      <c r="B10" s="159" t="s">
        <v>541</v>
      </c>
      <c r="C10" s="78"/>
    </row>
    <row r="11" spans="1:9" x14ac:dyDescent="0.25">
      <c r="A11" s="77" t="s">
        <v>308</v>
      </c>
      <c r="B11" s="159" t="s">
        <v>484</v>
      </c>
      <c r="C11" s="78"/>
    </row>
    <row r="12" spans="1:9" x14ac:dyDescent="0.25">
      <c r="A12" s="77" t="s">
        <v>309</v>
      </c>
      <c r="B12" s="159" t="s">
        <v>530</v>
      </c>
      <c r="C12" s="78"/>
    </row>
    <row r="13" spans="1:9" x14ac:dyDescent="0.25">
      <c r="A13" s="77" t="s">
        <v>570</v>
      </c>
      <c r="B13" s="159">
        <v>0</v>
      </c>
      <c r="C13" s="78"/>
    </row>
    <row r="14" spans="1:9" x14ac:dyDescent="0.25">
      <c r="A14" s="77" t="s">
        <v>311</v>
      </c>
      <c r="B14" s="159">
        <v>627</v>
      </c>
      <c r="C14" s="78"/>
    </row>
    <row r="15" spans="1:9" x14ac:dyDescent="0.25">
      <c r="A15" s="77" t="s">
        <v>573</v>
      </c>
      <c r="B15" s="159" t="s">
        <v>542</v>
      </c>
      <c r="C15" s="78"/>
    </row>
    <row r="16" spans="1:9" x14ac:dyDescent="0.25">
      <c r="A16" s="77" t="s">
        <v>313</v>
      </c>
      <c r="B16" s="159" t="s">
        <v>543</v>
      </c>
      <c r="C16" s="78"/>
    </row>
    <row r="17" spans="1:3" x14ac:dyDescent="0.25">
      <c r="A17" s="77" t="s">
        <v>642</v>
      </c>
      <c r="B17" s="159"/>
      <c r="C17" s="78"/>
    </row>
    <row r="18" spans="1:3" x14ac:dyDescent="0.25">
      <c r="A18" s="77" t="s">
        <v>315</v>
      </c>
      <c r="B18" s="161">
        <v>45135</v>
      </c>
      <c r="C18" s="78"/>
    </row>
    <row r="19" spans="1:3" x14ac:dyDescent="0.25">
      <c r="A19" s="77" t="s">
        <v>316</v>
      </c>
      <c r="B19" s="161">
        <v>45135</v>
      </c>
      <c r="C19" s="78"/>
    </row>
    <row r="20" spans="1:3" x14ac:dyDescent="0.25">
      <c r="A20" s="77" t="s">
        <v>317</v>
      </c>
      <c r="B20" s="159" t="s">
        <v>532</v>
      </c>
      <c r="C20" s="78"/>
    </row>
    <row r="21" spans="1:3" x14ac:dyDescent="0.25">
      <c r="A21" s="77" t="s">
        <v>318</v>
      </c>
      <c r="B21" s="159" t="s">
        <v>328</v>
      </c>
      <c r="C21" s="78"/>
    </row>
    <row r="23" spans="1:3" x14ac:dyDescent="0.25">
      <c r="B23" s="91" t="str">
        <f>HYPERLINK("#'Factor List'!A1","Back to Factor List")</f>
        <v>Back to Factor List</v>
      </c>
    </row>
    <row r="24" spans="1:3" x14ac:dyDescent="0.25">
      <c r="B24" s="91" t="s">
        <v>240</v>
      </c>
    </row>
    <row r="25" spans="1:3" x14ac:dyDescent="0.25">
      <c r="B25" s="91"/>
    </row>
  </sheetData>
  <sheetProtection algorithmName="SHA-512" hashValue="zGfiL9e46pq8jJ+J0LBGGAWjjKA6Jdnb3DyTTDrZgTF3Y5yuc/23xNWjGgKOO+XBIvG+X2oqu6ai9977FMMCTQ==" saltValue="fAeoNyngi25Q1NU0kOElGw==" spinCount="100000" sheet="1" objects="1" scenarios="1"/>
  <conditionalFormatting sqref="A6:A16">
    <cfRule type="expression" dxfId="123" priority="29" stopIfTrue="1">
      <formula>MOD(ROW(),2)=0</formula>
    </cfRule>
    <cfRule type="expression" dxfId="122" priority="30" stopIfTrue="1">
      <formula>MOD(ROW(),2)&lt;&gt;0</formula>
    </cfRule>
  </conditionalFormatting>
  <conditionalFormatting sqref="B6:C16 C17:C21">
    <cfRule type="expression" dxfId="121" priority="31" stopIfTrue="1">
      <formula>MOD(ROW(),2)=0</formula>
    </cfRule>
    <cfRule type="expression" dxfId="120" priority="32" stopIfTrue="1">
      <formula>MOD(ROW(),2)&lt;&gt;0</formula>
    </cfRule>
  </conditionalFormatting>
  <conditionalFormatting sqref="A17:A20">
    <cfRule type="expression" dxfId="119" priority="21" stopIfTrue="1">
      <formula>MOD(ROW(),2)=0</formula>
    </cfRule>
    <cfRule type="expression" dxfId="118" priority="22" stopIfTrue="1">
      <formula>MOD(ROW(),2)&lt;&gt;0</formula>
    </cfRule>
  </conditionalFormatting>
  <conditionalFormatting sqref="B17:B18 B20:B21">
    <cfRule type="expression" dxfId="117" priority="23" stopIfTrue="1">
      <formula>MOD(ROW(),2)=0</formula>
    </cfRule>
    <cfRule type="expression" dxfId="116" priority="24" stopIfTrue="1">
      <formula>MOD(ROW(),2)&lt;&gt;0</formula>
    </cfRule>
  </conditionalFormatting>
  <conditionalFormatting sqref="B19">
    <cfRule type="expression" dxfId="115" priority="13" stopIfTrue="1">
      <formula>MOD(ROW(),2)=0</formula>
    </cfRule>
    <cfRule type="expression" dxfId="114" priority="14" stopIfTrue="1">
      <formula>MOD(ROW(),2)&lt;&gt;0</formula>
    </cfRule>
  </conditionalFormatting>
  <conditionalFormatting sqref="A21">
    <cfRule type="expression" dxfId="113" priority="1" stopIfTrue="1">
      <formula>MOD(ROW(),2)=0</formula>
    </cfRule>
    <cfRule type="expression" dxfId="112" priority="2" stopIfTrue="1">
      <formula>MOD(ROW(),2)&lt;&gt;0</formula>
    </cfRule>
  </conditionalFormatting>
  <hyperlinks>
    <hyperlink ref="B24" location="Assumptions!A1" display="Assumptions" xr:uid="{8F0E1669-91D8-4E03-8C72-46A70E000A58}"/>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900-000000000000}">
  <sheetPr codeName="Sheet108"/>
  <dimension ref="A1:I63"/>
  <sheetViews>
    <sheetView showGridLines="0" topLeftCell="A3" zoomScale="85" zoomScaleNormal="85" workbookViewId="0">
      <selection activeCell="F17" sqref="F17"/>
    </sheetView>
  </sheetViews>
  <sheetFormatPr defaultColWidth="10" defaultRowHeight="12.5" x14ac:dyDescent="0.25"/>
  <cols>
    <col min="1" max="1" width="31.81640625" style="28" customWidth="1"/>
    <col min="2" max="2" width="27.453125" style="28" customWidth="1"/>
    <col min="3" max="3" width="10.1796875" style="28" customWidth="1"/>
    <col min="4" max="4" width="10" style="28" customWidth="1"/>
    <col min="5" max="5" width="30.1796875" style="28" customWidth="1"/>
    <col min="6" max="6" width="23.1796875" style="28" customWidth="1"/>
    <col min="7" max="16384" width="10" style="28"/>
  </cols>
  <sheetData>
    <row r="1" spans="1:9" ht="20" x14ac:dyDescent="0.4">
      <c r="A1" s="40" t="s">
        <v>227</v>
      </c>
      <c r="B1" s="41"/>
      <c r="C1" s="41"/>
      <c r="D1" s="41"/>
      <c r="E1" s="41"/>
      <c r="F1" s="41"/>
      <c r="G1" s="41"/>
      <c r="H1" s="41"/>
      <c r="I1" s="41"/>
    </row>
    <row r="2" spans="1:9" ht="15.5" x14ac:dyDescent="0.35">
      <c r="A2" s="42" t="str">
        <f>IF(title="&gt; Enter workbook title here","Enter workbook title in Cover sheet",title)</f>
        <v>Fire Northern Ireland - Consolidated Factor Spreadsheet</v>
      </c>
      <c r="B2" s="43"/>
      <c r="C2" s="43"/>
      <c r="D2" s="43"/>
      <c r="E2" s="43"/>
      <c r="F2" s="43"/>
      <c r="G2" s="43"/>
      <c r="H2" s="43"/>
      <c r="I2" s="43"/>
    </row>
    <row r="3" spans="1:9" ht="15.5" x14ac:dyDescent="0.35">
      <c r="A3" s="44" t="str">
        <f>TABLE_FACTOR_TYPE_1&amp;" - x-"&amp;TABLE_SERIES_NUMBER_1</f>
        <v>Added pension - x-701A</v>
      </c>
      <c r="B3" s="43"/>
      <c r="C3" s="43"/>
      <c r="D3" s="43"/>
      <c r="E3" s="43"/>
      <c r="F3" s="43"/>
      <c r="G3" s="43"/>
      <c r="H3" s="43"/>
      <c r="I3" s="43"/>
    </row>
    <row r="4" spans="1:9" x14ac:dyDescent="0.25">
      <c r="A4" s="45"/>
    </row>
    <row r="6" spans="1:9" ht="13" x14ac:dyDescent="0.3">
      <c r="A6" s="75" t="s">
        <v>562</v>
      </c>
      <c r="B6" s="159" t="s">
        <v>563</v>
      </c>
      <c r="E6" s="75" t="s">
        <v>562</v>
      </c>
      <c r="F6" s="159" t="s">
        <v>563</v>
      </c>
    </row>
    <row r="7" spans="1:9" x14ac:dyDescent="0.25">
      <c r="A7" s="77" t="s">
        <v>305</v>
      </c>
      <c r="B7" s="159" t="s">
        <v>319</v>
      </c>
      <c r="E7" s="77" t="s">
        <v>305</v>
      </c>
      <c r="F7" s="159" t="s">
        <v>319</v>
      </c>
    </row>
    <row r="8" spans="1:9" x14ac:dyDescent="0.25">
      <c r="A8" s="77" t="s">
        <v>306</v>
      </c>
      <c r="B8" s="159">
        <v>2015</v>
      </c>
      <c r="E8" s="77" t="s">
        <v>306</v>
      </c>
      <c r="F8" s="159">
        <v>2015</v>
      </c>
    </row>
    <row r="9" spans="1:9" x14ac:dyDescent="0.25">
      <c r="A9" s="77" t="s">
        <v>307</v>
      </c>
      <c r="B9" s="159" t="s">
        <v>544</v>
      </c>
      <c r="E9" s="77" t="s">
        <v>307</v>
      </c>
      <c r="F9" s="159" t="s">
        <v>544</v>
      </c>
    </row>
    <row r="10" spans="1:9" x14ac:dyDescent="0.25">
      <c r="A10" s="77" t="s">
        <v>233</v>
      </c>
      <c r="B10" s="159" t="s">
        <v>545</v>
      </c>
      <c r="E10" s="77" t="s">
        <v>233</v>
      </c>
      <c r="F10" s="159" t="s">
        <v>545</v>
      </c>
    </row>
    <row r="11" spans="1:9" x14ac:dyDescent="0.25">
      <c r="A11" s="77" t="s">
        <v>308</v>
      </c>
      <c r="B11" s="159" t="s">
        <v>404</v>
      </c>
      <c r="E11" s="77" t="s">
        <v>308</v>
      </c>
      <c r="F11" s="159" t="s">
        <v>404</v>
      </c>
    </row>
    <row r="12" spans="1:9" x14ac:dyDescent="0.25">
      <c r="A12" s="77" t="s">
        <v>309</v>
      </c>
      <c r="B12" s="159" t="s">
        <v>546</v>
      </c>
      <c r="E12" s="77" t="s">
        <v>309</v>
      </c>
      <c r="F12" s="159" t="s">
        <v>546</v>
      </c>
    </row>
    <row r="13" spans="1:9" x14ac:dyDescent="0.25">
      <c r="A13" s="77" t="s">
        <v>570</v>
      </c>
      <c r="B13" s="159">
        <v>0</v>
      </c>
      <c r="E13" s="77" t="s">
        <v>570</v>
      </c>
      <c r="F13" s="159">
        <v>0</v>
      </c>
    </row>
    <row r="14" spans="1:9" x14ac:dyDescent="0.25">
      <c r="A14" s="77" t="s">
        <v>311</v>
      </c>
      <c r="B14" s="159" t="s">
        <v>547</v>
      </c>
      <c r="E14" s="77" t="s">
        <v>311</v>
      </c>
      <c r="F14" s="159" t="s">
        <v>549</v>
      </c>
    </row>
    <row r="15" spans="1:9" x14ac:dyDescent="0.25">
      <c r="A15" s="77" t="s">
        <v>573</v>
      </c>
      <c r="B15" s="159" t="s">
        <v>548</v>
      </c>
      <c r="E15" s="77" t="s">
        <v>573</v>
      </c>
      <c r="F15" s="159" t="s">
        <v>550</v>
      </c>
    </row>
    <row r="16" spans="1:9" x14ac:dyDescent="0.25">
      <c r="A16" s="77" t="s">
        <v>313</v>
      </c>
      <c r="B16" s="159" t="s">
        <v>466</v>
      </c>
      <c r="E16" s="77" t="s">
        <v>313</v>
      </c>
      <c r="F16" s="159" t="s">
        <v>466</v>
      </c>
    </row>
    <row r="17" spans="1:6" ht="68.150000000000006" customHeight="1" x14ac:dyDescent="0.25">
      <c r="A17" s="77" t="s">
        <v>642</v>
      </c>
      <c r="B17" s="159"/>
      <c r="E17" s="77" t="s">
        <v>642</v>
      </c>
      <c r="F17" s="159"/>
    </row>
    <row r="18" spans="1:6" x14ac:dyDescent="0.25">
      <c r="A18" s="77" t="s">
        <v>315</v>
      </c>
      <c r="B18" s="161">
        <v>45196</v>
      </c>
      <c r="E18" s="77" t="s">
        <v>315</v>
      </c>
      <c r="F18" s="161">
        <v>45196</v>
      </c>
    </row>
    <row r="19" spans="1:6" ht="25" x14ac:dyDescent="0.25">
      <c r="A19" s="77" t="s">
        <v>316</v>
      </c>
      <c r="B19" s="161">
        <v>45196</v>
      </c>
      <c r="E19" s="77" t="s">
        <v>316</v>
      </c>
      <c r="F19" s="161">
        <v>45196</v>
      </c>
    </row>
    <row r="20" spans="1:6" x14ac:dyDescent="0.25">
      <c r="A20" s="77" t="s">
        <v>317</v>
      </c>
      <c r="B20" s="159" t="s">
        <v>327</v>
      </c>
      <c r="E20" s="77" t="s">
        <v>317</v>
      </c>
      <c r="F20" s="159" t="s">
        <v>327</v>
      </c>
    </row>
    <row r="21" spans="1:6" x14ac:dyDescent="0.25">
      <c r="A21" s="77" t="s">
        <v>318</v>
      </c>
      <c r="B21" s="159" t="s">
        <v>328</v>
      </c>
      <c r="E21" s="77" t="s">
        <v>318</v>
      </c>
      <c r="F21" s="159" t="s">
        <v>328</v>
      </c>
    </row>
    <row r="23" spans="1:6" x14ac:dyDescent="0.25">
      <c r="B23" s="92" t="str">
        <f>HYPERLINK("#'Factor List'!A1","Back to Factor List")</f>
        <v>Back to Factor List</v>
      </c>
    </row>
    <row r="24" spans="1:6" x14ac:dyDescent="0.25">
      <c r="B24" s="91" t="s">
        <v>240</v>
      </c>
    </row>
    <row r="26" spans="1:6" ht="13" x14ac:dyDescent="0.3">
      <c r="A26" s="80" t="s">
        <v>643</v>
      </c>
      <c r="B26" s="80" t="s">
        <v>696</v>
      </c>
      <c r="E26" s="117" t="s">
        <v>680</v>
      </c>
      <c r="F26" s="152" t="s">
        <v>681</v>
      </c>
    </row>
    <row r="27" spans="1:6" ht="14.15" customHeight="1" x14ac:dyDescent="0.25">
      <c r="A27" s="81">
        <v>18</v>
      </c>
      <c r="B27" s="82">
        <v>7.53</v>
      </c>
      <c r="E27" s="84" t="s">
        <v>697</v>
      </c>
      <c r="F27" s="114">
        <v>1.02</v>
      </c>
    </row>
    <row r="28" spans="1:6" x14ac:dyDescent="0.25">
      <c r="A28" s="81">
        <v>19</v>
      </c>
      <c r="B28" s="82">
        <v>7.82</v>
      </c>
    </row>
    <row r="29" spans="1:6" x14ac:dyDescent="0.25">
      <c r="A29" s="81">
        <v>20</v>
      </c>
      <c r="B29" s="82">
        <v>8.1</v>
      </c>
    </row>
    <row r="30" spans="1:6" x14ac:dyDescent="0.25">
      <c r="A30" s="81">
        <v>21</v>
      </c>
      <c r="B30" s="82">
        <v>8.3800000000000008</v>
      </c>
    </row>
    <row r="31" spans="1:6" x14ac:dyDescent="0.25">
      <c r="A31" s="81">
        <v>22</v>
      </c>
      <c r="B31" s="82">
        <v>8.68</v>
      </c>
    </row>
    <row r="32" spans="1:6" x14ac:dyDescent="0.25">
      <c r="A32" s="81">
        <v>23</v>
      </c>
      <c r="B32" s="82">
        <v>8.98</v>
      </c>
    </row>
    <row r="33" spans="1:2" x14ac:dyDescent="0.25">
      <c r="A33" s="81">
        <v>24</v>
      </c>
      <c r="B33" s="82">
        <v>9.3000000000000007</v>
      </c>
    </row>
    <row r="34" spans="1:2" x14ac:dyDescent="0.25">
      <c r="A34" s="81">
        <v>25</v>
      </c>
      <c r="B34" s="82">
        <v>9.6199999999999992</v>
      </c>
    </row>
    <row r="35" spans="1:2" x14ac:dyDescent="0.25">
      <c r="A35" s="81">
        <v>26</v>
      </c>
      <c r="B35" s="82">
        <v>9.9600000000000009</v>
      </c>
    </row>
    <row r="36" spans="1:2" x14ac:dyDescent="0.25">
      <c r="A36" s="81">
        <v>27</v>
      </c>
      <c r="B36" s="82">
        <v>10.31</v>
      </c>
    </row>
    <row r="37" spans="1:2" x14ac:dyDescent="0.25">
      <c r="A37" s="81">
        <v>28</v>
      </c>
      <c r="B37" s="82">
        <v>10.67</v>
      </c>
    </row>
    <row r="38" spans="1:2" x14ac:dyDescent="0.25">
      <c r="A38" s="81">
        <v>29</v>
      </c>
      <c r="B38" s="82">
        <v>11.04</v>
      </c>
    </row>
    <row r="39" spans="1:2" x14ac:dyDescent="0.25">
      <c r="A39" s="81">
        <v>30</v>
      </c>
      <c r="B39" s="82">
        <v>11.42</v>
      </c>
    </row>
    <row r="40" spans="1:2" x14ac:dyDescent="0.25">
      <c r="A40" s="81">
        <v>31</v>
      </c>
      <c r="B40" s="82">
        <v>11.81</v>
      </c>
    </row>
    <row r="41" spans="1:2" x14ac:dyDescent="0.25">
      <c r="A41" s="81">
        <v>32</v>
      </c>
      <c r="B41" s="82">
        <v>12.22</v>
      </c>
    </row>
    <row r="42" spans="1:2" x14ac:dyDescent="0.25">
      <c r="A42" s="81">
        <v>33</v>
      </c>
      <c r="B42" s="82">
        <v>12.64</v>
      </c>
    </row>
    <row r="43" spans="1:2" x14ac:dyDescent="0.25">
      <c r="A43" s="81">
        <v>34</v>
      </c>
      <c r="B43" s="82">
        <v>13.07</v>
      </c>
    </row>
    <row r="44" spans="1:2" x14ac:dyDescent="0.25">
      <c r="A44" s="81">
        <v>35</v>
      </c>
      <c r="B44" s="82">
        <v>13.52</v>
      </c>
    </row>
    <row r="45" spans="1:2" x14ac:dyDescent="0.25">
      <c r="A45" s="81">
        <v>36</v>
      </c>
      <c r="B45" s="82">
        <v>13.98</v>
      </c>
    </row>
    <row r="46" spans="1:2" x14ac:dyDescent="0.25">
      <c r="A46" s="81">
        <v>37</v>
      </c>
      <c r="B46" s="82">
        <v>14.45</v>
      </c>
    </row>
    <row r="47" spans="1:2" x14ac:dyDescent="0.25">
      <c r="A47" s="81">
        <v>38</v>
      </c>
      <c r="B47" s="82">
        <v>14.94</v>
      </c>
    </row>
    <row r="48" spans="1:2" x14ac:dyDescent="0.25">
      <c r="A48" s="81">
        <v>39</v>
      </c>
      <c r="B48" s="82">
        <v>15.44</v>
      </c>
    </row>
    <row r="49" spans="1:2" x14ac:dyDescent="0.25">
      <c r="A49" s="81">
        <v>40</v>
      </c>
      <c r="B49" s="82">
        <v>15.95</v>
      </c>
    </row>
    <row r="50" spans="1:2" x14ac:dyDescent="0.25">
      <c r="A50" s="81">
        <v>41</v>
      </c>
      <c r="B50" s="82">
        <v>16.48</v>
      </c>
    </row>
    <row r="51" spans="1:2" x14ac:dyDescent="0.25">
      <c r="A51" s="81">
        <v>42</v>
      </c>
      <c r="B51" s="82">
        <v>17.03</v>
      </c>
    </row>
    <row r="52" spans="1:2" x14ac:dyDescent="0.25">
      <c r="A52" s="81">
        <v>43</v>
      </c>
      <c r="B52" s="82">
        <v>17.59</v>
      </c>
    </row>
    <row r="53" spans="1:2" x14ac:dyDescent="0.25">
      <c r="A53" s="81">
        <v>44</v>
      </c>
      <c r="B53" s="82">
        <v>18.170000000000002</v>
      </c>
    </row>
    <row r="54" spans="1:2" x14ac:dyDescent="0.25">
      <c r="A54" s="81">
        <v>45</v>
      </c>
      <c r="B54" s="82">
        <v>18.77</v>
      </c>
    </row>
    <row r="55" spans="1:2" x14ac:dyDescent="0.25">
      <c r="A55" s="81">
        <v>46</v>
      </c>
      <c r="B55" s="82">
        <v>19.38</v>
      </c>
    </row>
    <row r="56" spans="1:2" x14ac:dyDescent="0.25">
      <c r="A56" s="81">
        <v>47</v>
      </c>
      <c r="B56" s="82">
        <v>20.010000000000002</v>
      </c>
    </row>
    <row r="57" spans="1:2" x14ac:dyDescent="0.25">
      <c r="A57" s="81">
        <v>48</v>
      </c>
      <c r="B57" s="82">
        <v>20.67</v>
      </c>
    </row>
    <row r="58" spans="1:2" x14ac:dyDescent="0.25">
      <c r="A58" s="81">
        <v>49</v>
      </c>
      <c r="B58" s="82">
        <v>21.34</v>
      </c>
    </row>
    <row r="59" spans="1:2" x14ac:dyDescent="0.25">
      <c r="A59" s="81">
        <v>50</v>
      </c>
      <c r="B59" s="82">
        <v>22.05</v>
      </c>
    </row>
    <row r="60" spans="1:2" x14ac:dyDescent="0.25">
      <c r="A60" s="81">
        <v>51</v>
      </c>
      <c r="B60" s="82">
        <v>22.78</v>
      </c>
    </row>
    <row r="61" spans="1:2" x14ac:dyDescent="0.25">
      <c r="A61" s="81">
        <v>52</v>
      </c>
      <c r="B61" s="82">
        <v>23.54</v>
      </c>
    </row>
    <row r="62" spans="1:2" x14ac:dyDescent="0.25">
      <c r="A62" s="81">
        <v>53</v>
      </c>
      <c r="B62" s="82">
        <v>24.34</v>
      </c>
    </row>
    <row r="63" spans="1:2" x14ac:dyDescent="0.25">
      <c r="A63" s="81">
        <v>54</v>
      </c>
      <c r="B63" s="82">
        <v>25.2</v>
      </c>
    </row>
  </sheetData>
  <sheetProtection algorithmName="SHA-512" hashValue="+1pn4/yvlJESqYW0t/0pqGeMNr5016OwW9P7/SjKppzyYCwiotHrhrUe83eUn/KcrW6oxeQCWWOUzj6F/2/qYA==" saltValue="jeSGUnCqVXqQRp7U0bTSLg==" spinCount="100000" sheet="1" objects="1" scenarios="1"/>
  <conditionalFormatting sqref="A26:A63">
    <cfRule type="expression" dxfId="111" priority="29" stopIfTrue="1">
      <formula>MOD(ROW(),2)=0</formula>
    </cfRule>
    <cfRule type="expression" dxfId="110" priority="30" stopIfTrue="1">
      <formula>MOD(ROW(),2)&lt;&gt;0</formula>
    </cfRule>
  </conditionalFormatting>
  <conditionalFormatting sqref="B26:B63 B23">
    <cfRule type="expression" dxfId="109" priority="31" stopIfTrue="1">
      <formula>MOD(ROW(),2)=0</formula>
    </cfRule>
    <cfRule type="expression" dxfId="108" priority="32" stopIfTrue="1">
      <formula>MOD(ROW(),2)&lt;&gt;0</formula>
    </cfRule>
  </conditionalFormatting>
  <conditionalFormatting sqref="A6:A16">
    <cfRule type="expression" dxfId="107" priority="33" stopIfTrue="1">
      <formula>MOD(ROW(),2)=0</formula>
    </cfRule>
    <cfRule type="expression" dxfId="106" priority="34" stopIfTrue="1">
      <formula>MOD(ROW(),2)&lt;&gt;0</formula>
    </cfRule>
  </conditionalFormatting>
  <conditionalFormatting sqref="B6:B21">
    <cfRule type="expression" dxfId="105" priority="35" stopIfTrue="1">
      <formula>MOD(ROW(),2)=0</formula>
    </cfRule>
    <cfRule type="expression" dxfId="104" priority="36" stopIfTrue="1">
      <formula>MOD(ROW(),2)&lt;&gt;0</formula>
    </cfRule>
  </conditionalFormatting>
  <conditionalFormatting sqref="A17:A21">
    <cfRule type="expression" dxfId="103" priority="25" stopIfTrue="1">
      <formula>MOD(ROW(),2)=0</formula>
    </cfRule>
    <cfRule type="expression" dxfId="102" priority="26" stopIfTrue="1">
      <formula>MOD(ROW(),2)&lt;&gt;0</formula>
    </cfRule>
  </conditionalFormatting>
  <conditionalFormatting sqref="B17:B18 B20:B21">
    <cfRule type="expression" dxfId="101" priority="27" stopIfTrue="1">
      <formula>MOD(ROW(),2)=0</formula>
    </cfRule>
    <cfRule type="expression" dxfId="100" priority="28" stopIfTrue="1">
      <formula>MOD(ROW(),2)&lt;&gt;0</formula>
    </cfRule>
  </conditionalFormatting>
  <conditionalFormatting sqref="B19">
    <cfRule type="expression" dxfId="99" priority="15" stopIfTrue="1">
      <formula>MOD(ROW(),2)=0</formula>
    </cfRule>
    <cfRule type="expression" dxfId="98" priority="16" stopIfTrue="1">
      <formula>MOD(ROW(),2)&lt;&gt;0</formula>
    </cfRule>
  </conditionalFormatting>
  <conditionalFormatting sqref="E26:E27">
    <cfRule type="expression" dxfId="97" priority="13" stopIfTrue="1">
      <formula>MOD(ROW(),2)=0</formula>
    </cfRule>
    <cfRule type="expression" dxfId="96" priority="14" stopIfTrue="1">
      <formula>MOD(ROW(),2)&lt;&gt;0</formula>
    </cfRule>
  </conditionalFormatting>
  <conditionalFormatting sqref="F26:F27">
    <cfRule type="expression" dxfId="95" priority="11" stopIfTrue="1">
      <formula>MOD(ROW(),2)=0</formula>
    </cfRule>
    <cfRule type="expression" dxfId="94" priority="12" stopIfTrue="1">
      <formula>MOD(ROW(),2)&lt;&gt;0</formula>
    </cfRule>
  </conditionalFormatting>
  <conditionalFormatting sqref="E6:E16">
    <cfRule type="expression" dxfId="93" priority="7" stopIfTrue="1">
      <formula>MOD(ROW(),2)=0</formula>
    </cfRule>
    <cfRule type="expression" dxfId="92" priority="8" stopIfTrue="1">
      <formula>MOD(ROW(),2)&lt;&gt;0</formula>
    </cfRule>
  </conditionalFormatting>
  <conditionalFormatting sqref="F6:F21">
    <cfRule type="expression" dxfId="91" priority="9" stopIfTrue="1">
      <formula>MOD(ROW(),2)=0</formula>
    </cfRule>
    <cfRule type="expression" dxfId="90" priority="10" stopIfTrue="1">
      <formula>MOD(ROW(),2)&lt;&gt;0</formula>
    </cfRule>
  </conditionalFormatting>
  <conditionalFormatting sqref="E17:E21">
    <cfRule type="expression" dxfId="89" priority="3" stopIfTrue="1">
      <formula>MOD(ROW(),2)=0</formula>
    </cfRule>
    <cfRule type="expression" dxfId="88" priority="4" stopIfTrue="1">
      <formula>MOD(ROW(),2)&lt;&gt;0</formula>
    </cfRule>
  </conditionalFormatting>
  <conditionalFormatting sqref="F17:F18 F20:F21">
    <cfRule type="expression" dxfId="87" priority="5" stopIfTrue="1">
      <formula>MOD(ROW(),2)=0</formula>
    </cfRule>
    <cfRule type="expression" dxfId="86" priority="6" stopIfTrue="1">
      <formula>MOD(ROW(),2)&lt;&gt;0</formula>
    </cfRule>
  </conditionalFormatting>
  <conditionalFormatting sqref="F19">
    <cfRule type="expression" dxfId="85" priority="1" stopIfTrue="1">
      <formula>MOD(ROW(),2)=0</formula>
    </cfRule>
    <cfRule type="expression" dxfId="84" priority="2" stopIfTrue="1">
      <formula>MOD(ROW(),2)&lt;&gt;0</formula>
    </cfRule>
  </conditionalFormatting>
  <hyperlinks>
    <hyperlink ref="B24" location="Assumptions!A1" display="Assumptions" xr:uid="{9F9AF2D0-835A-436B-B7AD-B25EBC591455}"/>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sheetPr codeName="Sheet109"/>
  <dimension ref="A1:I67"/>
  <sheetViews>
    <sheetView showGridLines="0" zoomScale="85" zoomScaleNormal="85" workbookViewId="0">
      <selection activeCell="B18" sqref="B18"/>
    </sheetView>
  </sheetViews>
  <sheetFormatPr defaultColWidth="10" defaultRowHeight="12.5" x14ac:dyDescent="0.25"/>
  <cols>
    <col min="1" max="1" width="31.81640625" style="28" customWidth="1"/>
    <col min="2" max="2" width="27.453125" style="28" customWidth="1"/>
    <col min="3" max="3" width="10.1796875" style="28" customWidth="1"/>
    <col min="4" max="4" width="10" style="28" customWidth="1"/>
    <col min="5" max="16384" width="10" style="28"/>
  </cols>
  <sheetData>
    <row r="1" spans="1:9" ht="20" x14ac:dyDescent="0.4">
      <c r="A1" s="40" t="s">
        <v>227</v>
      </c>
      <c r="B1" s="41"/>
      <c r="C1" s="41"/>
      <c r="D1" s="41"/>
      <c r="E1" s="41"/>
      <c r="F1" s="41"/>
      <c r="G1" s="41"/>
      <c r="H1" s="41"/>
      <c r="I1" s="41"/>
    </row>
    <row r="2" spans="1:9" ht="15.5" x14ac:dyDescent="0.35">
      <c r="A2" s="42" t="str">
        <f>IF(title="&gt; Enter workbook title here","Enter workbook title in Cover sheet",title)</f>
        <v>Fire Northern Ireland - Consolidated Factor Spreadsheet</v>
      </c>
      <c r="B2" s="43"/>
      <c r="C2" s="43"/>
      <c r="D2" s="43"/>
      <c r="E2" s="43"/>
      <c r="F2" s="43"/>
      <c r="G2" s="43"/>
      <c r="H2" s="43"/>
      <c r="I2" s="43"/>
    </row>
    <row r="3" spans="1:9" ht="15.5" x14ac:dyDescent="0.35">
      <c r="A3" s="44" t="str">
        <f>TABLE_FACTOR_TYPE_1&amp;" - x-"&amp;TABLE_SERIES_NUMBER_1</f>
        <v>Added pension - x-702</v>
      </c>
      <c r="B3" s="43"/>
      <c r="C3" s="43"/>
      <c r="D3" s="43"/>
      <c r="E3" s="43"/>
      <c r="F3" s="43"/>
      <c r="G3" s="43"/>
      <c r="H3" s="43"/>
      <c r="I3" s="43"/>
    </row>
    <row r="4" spans="1:9" x14ac:dyDescent="0.25">
      <c r="A4" s="45"/>
    </row>
    <row r="6" spans="1:9" ht="13" x14ac:dyDescent="0.3">
      <c r="A6" s="75" t="s">
        <v>562</v>
      </c>
      <c r="B6" s="159" t="s">
        <v>563</v>
      </c>
    </row>
    <row r="7" spans="1:9" x14ac:dyDescent="0.25">
      <c r="A7" s="77" t="s">
        <v>305</v>
      </c>
      <c r="B7" s="159" t="s">
        <v>319</v>
      </c>
    </row>
    <row r="8" spans="1:9" x14ac:dyDescent="0.25">
      <c r="A8" s="77" t="s">
        <v>306</v>
      </c>
      <c r="B8" s="159">
        <v>2015</v>
      </c>
    </row>
    <row r="9" spans="1:9" x14ac:dyDescent="0.25">
      <c r="A9" s="77" t="s">
        <v>307</v>
      </c>
      <c r="B9" s="159" t="s">
        <v>544</v>
      </c>
    </row>
    <row r="10" spans="1:9" x14ac:dyDescent="0.25">
      <c r="A10" s="77" t="s">
        <v>233</v>
      </c>
      <c r="B10" s="159" t="s">
        <v>551</v>
      </c>
    </row>
    <row r="11" spans="1:9" x14ac:dyDescent="0.25">
      <c r="A11" s="77" t="s">
        <v>308</v>
      </c>
      <c r="B11" s="159" t="s">
        <v>404</v>
      </c>
    </row>
    <row r="12" spans="1:9" x14ac:dyDescent="0.25">
      <c r="A12" s="77" t="s">
        <v>309</v>
      </c>
      <c r="B12" s="159" t="s">
        <v>552</v>
      </c>
    </row>
    <row r="13" spans="1:9" x14ac:dyDescent="0.25">
      <c r="A13" s="77" t="s">
        <v>570</v>
      </c>
      <c r="B13" s="159">
        <v>0</v>
      </c>
    </row>
    <row r="14" spans="1:9" x14ac:dyDescent="0.25">
      <c r="A14" s="77" t="s">
        <v>311</v>
      </c>
      <c r="B14" s="159">
        <v>702</v>
      </c>
    </row>
    <row r="15" spans="1:9" x14ac:dyDescent="0.25">
      <c r="A15" s="77" t="s">
        <v>573</v>
      </c>
      <c r="B15" s="159" t="s">
        <v>553</v>
      </c>
    </row>
    <row r="16" spans="1:9" x14ac:dyDescent="0.25">
      <c r="A16" s="77" t="s">
        <v>313</v>
      </c>
      <c r="B16" s="159" t="s">
        <v>469</v>
      </c>
    </row>
    <row r="17" spans="1:2" ht="71.150000000000006" customHeight="1" x14ac:dyDescent="0.25">
      <c r="A17" s="77" t="s">
        <v>642</v>
      </c>
      <c r="B17" s="159"/>
    </row>
    <row r="18" spans="1:2" x14ac:dyDescent="0.25">
      <c r="A18" s="77" t="s">
        <v>315</v>
      </c>
      <c r="B18" s="161">
        <v>45196</v>
      </c>
    </row>
    <row r="19" spans="1:2" x14ac:dyDescent="0.25">
      <c r="A19" s="77" t="s">
        <v>316</v>
      </c>
      <c r="B19" s="161">
        <v>45196</v>
      </c>
    </row>
    <row r="20" spans="1:2" x14ac:dyDescent="0.25">
      <c r="A20" s="77" t="s">
        <v>317</v>
      </c>
      <c r="B20" s="159" t="s">
        <v>327</v>
      </c>
    </row>
    <row r="21" spans="1:2" x14ac:dyDescent="0.25">
      <c r="A21" s="77" t="s">
        <v>318</v>
      </c>
      <c r="B21" s="159" t="s">
        <v>328</v>
      </c>
    </row>
    <row r="23" spans="1:2" x14ac:dyDescent="0.25">
      <c r="B23" s="91" t="str">
        <f>HYPERLINK("#'Factor List'!A1","Back to Factor List")</f>
        <v>Back to Factor List</v>
      </c>
    </row>
    <row r="24" spans="1:2" x14ac:dyDescent="0.25">
      <c r="B24" s="91" t="s">
        <v>240</v>
      </c>
    </row>
    <row r="26" spans="1:2" ht="26" x14ac:dyDescent="0.25">
      <c r="A26" s="80" t="s">
        <v>552</v>
      </c>
      <c r="B26" s="80" t="s">
        <v>698</v>
      </c>
    </row>
    <row r="27" spans="1:2" x14ac:dyDescent="0.25">
      <c r="A27" s="81">
        <v>0</v>
      </c>
      <c r="B27" s="82">
        <v>1</v>
      </c>
    </row>
    <row r="28" spans="1:2" x14ac:dyDescent="0.25">
      <c r="A28" s="81">
        <v>1</v>
      </c>
      <c r="B28" s="82">
        <v>1.02</v>
      </c>
    </row>
    <row r="29" spans="1:2" x14ac:dyDescent="0.25">
      <c r="A29" s="81">
        <v>2</v>
      </c>
      <c r="B29" s="82">
        <v>1.04</v>
      </c>
    </row>
    <row r="30" spans="1:2" x14ac:dyDescent="0.25">
      <c r="A30" s="81">
        <v>3</v>
      </c>
      <c r="B30" s="82">
        <v>1.06</v>
      </c>
    </row>
    <row r="31" spans="1:2" x14ac:dyDescent="0.25">
      <c r="A31" s="81">
        <v>4</v>
      </c>
      <c r="B31" s="82">
        <v>1.08</v>
      </c>
    </row>
    <row r="32" spans="1:2" x14ac:dyDescent="0.25">
      <c r="A32" s="81">
        <v>5</v>
      </c>
      <c r="B32" s="82">
        <v>1.1000000000000001</v>
      </c>
    </row>
    <row r="33" spans="1:2" x14ac:dyDescent="0.25">
      <c r="A33" s="81">
        <v>6</v>
      </c>
      <c r="B33" s="82">
        <v>1.1299999999999999</v>
      </c>
    </row>
    <row r="34" spans="1:2" x14ac:dyDescent="0.25">
      <c r="A34" s="81">
        <v>7</v>
      </c>
      <c r="B34" s="82">
        <v>1.1499999999999999</v>
      </c>
    </row>
    <row r="35" spans="1:2" x14ac:dyDescent="0.25">
      <c r="A35" s="81">
        <v>8</v>
      </c>
      <c r="B35" s="82">
        <v>1.17</v>
      </c>
    </row>
    <row r="36" spans="1:2" x14ac:dyDescent="0.25">
      <c r="A36" s="81">
        <v>9</v>
      </c>
      <c r="B36" s="82">
        <v>1.2</v>
      </c>
    </row>
    <row r="37" spans="1:2" x14ac:dyDescent="0.25">
      <c r="A37" s="81">
        <v>10</v>
      </c>
      <c r="B37" s="82">
        <v>1.22</v>
      </c>
    </row>
    <row r="38" spans="1:2" x14ac:dyDescent="0.25">
      <c r="A38" s="81">
        <v>11</v>
      </c>
      <c r="B38" s="82">
        <v>1.24</v>
      </c>
    </row>
    <row r="39" spans="1:2" x14ac:dyDescent="0.25">
      <c r="A39" s="81">
        <v>12</v>
      </c>
      <c r="B39" s="82">
        <v>1.27</v>
      </c>
    </row>
    <row r="40" spans="1:2" x14ac:dyDescent="0.25">
      <c r="A40" s="81">
        <v>13</v>
      </c>
      <c r="B40" s="82">
        <v>1.29</v>
      </c>
    </row>
    <row r="41" spans="1:2" x14ac:dyDescent="0.25">
      <c r="A41" s="81">
        <v>14</v>
      </c>
      <c r="B41" s="82">
        <v>1.32</v>
      </c>
    </row>
    <row r="42" spans="1:2" x14ac:dyDescent="0.25">
      <c r="A42" s="81">
        <v>15</v>
      </c>
      <c r="B42" s="82">
        <v>1.35</v>
      </c>
    </row>
    <row r="43" spans="1:2" x14ac:dyDescent="0.25">
      <c r="A43" s="81">
        <v>16</v>
      </c>
      <c r="B43" s="82">
        <v>1.37</v>
      </c>
    </row>
    <row r="44" spans="1:2" x14ac:dyDescent="0.25">
      <c r="A44" s="81">
        <v>17</v>
      </c>
      <c r="B44" s="82">
        <v>1.4</v>
      </c>
    </row>
    <row r="45" spans="1:2" x14ac:dyDescent="0.25">
      <c r="A45" s="81">
        <v>18</v>
      </c>
      <c r="B45" s="82">
        <v>1.43</v>
      </c>
    </row>
    <row r="46" spans="1:2" x14ac:dyDescent="0.25">
      <c r="A46" s="81">
        <v>19</v>
      </c>
      <c r="B46" s="82">
        <v>1.46</v>
      </c>
    </row>
    <row r="47" spans="1:2" x14ac:dyDescent="0.25">
      <c r="A47" s="81">
        <v>20</v>
      </c>
      <c r="B47" s="82">
        <v>1.49</v>
      </c>
    </row>
    <row r="48" spans="1:2" x14ac:dyDescent="0.25">
      <c r="A48" s="81">
        <v>21</v>
      </c>
      <c r="B48" s="82">
        <v>1.52</v>
      </c>
    </row>
    <row r="49" spans="1:2" x14ac:dyDescent="0.25">
      <c r="A49" s="81">
        <v>22</v>
      </c>
      <c r="B49" s="82">
        <v>1.55</v>
      </c>
    </row>
    <row r="50" spans="1:2" x14ac:dyDescent="0.25">
      <c r="A50" s="81">
        <v>23</v>
      </c>
      <c r="B50" s="82">
        <v>1.58</v>
      </c>
    </row>
    <row r="51" spans="1:2" x14ac:dyDescent="0.25">
      <c r="A51" s="81">
        <v>24</v>
      </c>
      <c r="B51" s="82">
        <v>1.61</v>
      </c>
    </row>
    <row r="52" spans="1:2" x14ac:dyDescent="0.25">
      <c r="A52" s="81">
        <v>25</v>
      </c>
      <c r="B52" s="82">
        <v>1.64</v>
      </c>
    </row>
    <row r="53" spans="1:2" x14ac:dyDescent="0.25">
      <c r="A53" s="81">
        <v>26</v>
      </c>
      <c r="B53" s="82">
        <v>1.67</v>
      </c>
    </row>
    <row r="54" spans="1:2" x14ac:dyDescent="0.25">
      <c r="A54" s="81">
        <v>27</v>
      </c>
      <c r="B54" s="82">
        <v>1.71</v>
      </c>
    </row>
    <row r="55" spans="1:2" x14ac:dyDescent="0.25">
      <c r="A55" s="81">
        <v>28</v>
      </c>
      <c r="B55" s="82">
        <v>1.74</v>
      </c>
    </row>
    <row r="56" spans="1:2" x14ac:dyDescent="0.25">
      <c r="A56" s="81">
        <v>29</v>
      </c>
      <c r="B56" s="82">
        <v>1.78</v>
      </c>
    </row>
    <row r="57" spans="1:2" x14ac:dyDescent="0.25">
      <c r="A57" s="81">
        <v>30</v>
      </c>
      <c r="B57" s="82">
        <v>1.81</v>
      </c>
    </row>
    <row r="58" spans="1:2" x14ac:dyDescent="0.25">
      <c r="A58" s="81">
        <v>31</v>
      </c>
      <c r="B58" s="82">
        <v>1.85</v>
      </c>
    </row>
    <row r="59" spans="1:2" x14ac:dyDescent="0.25">
      <c r="A59" s="81">
        <v>32</v>
      </c>
      <c r="B59" s="82">
        <v>1.88</v>
      </c>
    </row>
    <row r="60" spans="1:2" x14ac:dyDescent="0.25">
      <c r="A60" s="81">
        <v>33</v>
      </c>
      <c r="B60" s="82">
        <v>1.92</v>
      </c>
    </row>
    <row r="61" spans="1:2" x14ac:dyDescent="0.25">
      <c r="A61" s="81">
        <v>34</v>
      </c>
      <c r="B61" s="82">
        <v>1.96</v>
      </c>
    </row>
    <row r="62" spans="1:2" x14ac:dyDescent="0.25">
      <c r="A62" s="81">
        <v>35</v>
      </c>
      <c r="B62" s="82">
        <v>2</v>
      </c>
    </row>
    <row r="63" spans="1:2" x14ac:dyDescent="0.25">
      <c r="A63" s="81">
        <v>36</v>
      </c>
      <c r="B63" s="82">
        <v>2.04</v>
      </c>
    </row>
    <row r="64" spans="1:2" x14ac:dyDescent="0.25">
      <c r="A64" s="81">
        <v>37</v>
      </c>
      <c r="B64" s="82">
        <v>2.08</v>
      </c>
    </row>
    <row r="65" spans="1:2" x14ac:dyDescent="0.25">
      <c r="A65" s="81">
        <v>38</v>
      </c>
      <c r="B65" s="82">
        <v>2.12</v>
      </c>
    </row>
    <row r="66" spans="1:2" x14ac:dyDescent="0.25">
      <c r="A66" s="81">
        <v>39</v>
      </c>
      <c r="B66" s="82">
        <v>2.16</v>
      </c>
    </row>
    <row r="67" spans="1:2" x14ac:dyDescent="0.25">
      <c r="A67" s="81">
        <v>40</v>
      </c>
      <c r="B67" s="82">
        <v>2.21</v>
      </c>
    </row>
  </sheetData>
  <sheetProtection algorithmName="SHA-512" hashValue="qQ8uR+XB6f4jg5PSdmBhbWx1LR87zyw8XnGLLP/c5n0XFuTEQ29Xm/jvBig19i6rHdEhTcVqYgTHn2sKp5R2hg==" saltValue="wek6xabOQ6VD9NXvlTh56A==" spinCount="100000" sheet="1" objects="1" scenarios="1"/>
  <conditionalFormatting sqref="A6:A16">
    <cfRule type="expression" dxfId="83" priority="15" stopIfTrue="1">
      <formula>MOD(ROW(),2)=0</formula>
    </cfRule>
    <cfRule type="expression" dxfId="82" priority="16" stopIfTrue="1">
      <formula>MOD(ROW(),2)&lt;&gt;0</formula>
    </cfRule>
  </conditionalFormatting>
  <conditionalFormatting sqref="B6:B21">
    <cfRule type="expression" dxfId="81" priority="17" stopIfTrue="1">
      <formula>MOD(ROW(),2)=0</formula>
    </cfRule>
    <cfRule type="expression" dxfId="80" priority="18" stopIfTrue="1">
      <formula>MOD(ROW(),2)&lt;&gt;0</formula>
    </cfRule>
  </conditionalFormatting>
  <conditionalFormatting sqref="A26:A67">
    <cfRule type="expression" dxfId="79" priority="11" stopIfTrue="1">
      <formula>MOD(ROW(),2)=0</formula>
    </cfRule>
    <cfRule type="expression" dxfId="78" priority="12" stopIfTrue="1">
      <formula>MOD(ROW(),2)&lt;&gt;0</formula>
    </cfRule>
  </conditionalFormatting>
  <conditionalFormatting sqref="B26:B67">
    <cfRule type="expression" dxfId="77" priority="13" stopIfTrue="1">
      <formula>MOD(ROW(),2)=0</formula>
    </cfRule>
    <cfRule type="expression" dxfId="76" priority="14" stopIfTrue="1">
      <formula>MOD(ROW(),2)&lt;&gt;0</formula>
    </cfRule>
  </conditionalFormatting>
  <conditionalFormatting sqref="A17:A21">
    <cfRule type="expression" dxfId="75" priority="7" stopIfTrue="1">
      <formula>MOD(ROW(),2)=0</formula>
    </cfRule>
    <cfRule type="expression" dxfId="74" priority="8" stopIfTrue="1">
      <formula>MOD(ROW(),2)&lt;&gt;0</formula>
    </cfRule>
  </conditionalFormatting>
  <conditionalFormatting sqref="B18 B20:B21">
    <cfRule type="expression" dxfId="73" priority="9" stopIfTrue="1">
      <formula>MOD(ROW(),2)=0</formula>
    </cfRule>
    <cfRule type="expression" dxfId="72" priority="10" stopIfTrue="1">
      <formula>MOD(ROW(),2)&lt;&gt;0</formula>
    </cfRule>
  </conditionalFormatting>
  <conditionalFormatting sqref="B17">
    <cfRule type="expression" dxfId="71" priority="5" stopIfTrue="1">
      <formula>MOD(ROW(),2)=0</formula>
    </cfRule>
    <cfRule type="expression" dxfId="70" priority="6" stopIfTrue="1">
      <formula>MOD(ROW(),2)&lt;&gt;0</formula>
    </cfRule>
  </conditionalFormatting>
  <conditionalFormatting sqref="B19">
    <cfRule type="expression" dxfId="69" priority="1" stopIfTrue="1">
      <formula>MOD(ROW(),2)=0</formula>
    </cfRule>
    <cfRule type="expression" dxfId="68" priority="2" stopIfTrue="1">
      <formula>MOD(ROW(),2)&lt;&gt;0</formula>
    </cfRule>
  </conditionalFormatting>
  <hyperlinks>
    <hyperlink ref="B24" location="Assumptions!A1" display="Assumptions" xr:uid="{D95722B6-0C4D-4DFB-BE35-D4B254AE141C}"/>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E4D8C-0762-49AE-9285-89F246D3952E}">
  <sheetPr codeName="Sheet110"/>
  <dimension ref="A1:K36"/>
  <sheetViews>
    <sheetView showGridLines="0" zoomScale="84" zoomScaleNormal="84" workbookViewId="0">
      <selection activeCell="B23" sqref="B23"/>
    </sheetView>
  </sheetViews>
  <sheetFormatPr defaultColWidth="10" defaultRowHeight="12.5" x14ac:dyDescent="0.25"/>
  <cols>
    <col min="1" max="1" width="31.54296875" style="28" customWidth="1"/>
    <col min="2" max="2" width="27.453125" style="28" customWidth="1"/>
    <col min="3" max="3" width="23.54296875" style="28" customWidth="1"/>
    <col min="4" max="5" width="10" style="28" customWidth="1"/>
    <col min="6" max="6" width="24.54296875" style="28" customWidth="1"/>
    <col min="7" max="7" width="27.1796875" style="28" customWidth="1"/>
    <col min="8" max="9" width="10" style="28"/>
    <col min="10" max="10" width="26.1796875" style="28" customWidth="1"/>
    <col min="11" max="11" width="26.453125" style="28" customWidth="1"/>
    <col min="12" max="16384" width="10" style="28"/>
  </cols>
  <sheetData>
    <row r="1" spans="1:11" ht="20" x14ac:dyDescent="0.4">
      <c r="A1" s="40" t="s">
        <v>227</v>
      </c>
      <c r="B1" s="41"/>
      <c r="C1" s="41"/>
      <c r="D1" s="41"/>
      <c r="E1" s="41"/>
      <c r="F1" s="41"/>
      <c r="G1" s="41"/>
      <c r="H1" s="41"/>
      <c r="I1" s="41"/>
      <c r="J1" s="41"/>
      <c r="K1" s="41"/>
    </row>
    <row r="2" spans="1:11" ht="15.5" x14ac:dyDescent="0.35">
      <c r="A2" s="42" t="str">
        <f>IF(tn="&gt; Enter workbook title here","Enter workbook title in Cover sheet",tn)</f>
        <v>Fire Northern Ireland - Consolidated Factor Spreadsheet</v>
      </c>
      <c r="B2" s="43"/>
      <c r="C2" s="43"/>
      <c r="D2" s="43"/>
      <c r="E2" s="43"/>
      <c r="F2" s="43"/>
      <c r="G2" s="43"/>
      <c r="H2" s="43"/>
      <c r="I2" s="43"/>
      <c r="J2" s="43"/>
      <c r="K2" s="43"/>
    </row>
    <row r="3" spans="1:11" ht="15.5" x14ac:dyDescent="0.35">
      <c r="A3" s="44" t="str">
        <f>TABLE_FACTOR_TYPE_1&amp;" - x-"&amp;TABLE_SERIES_NUMBER_1</f>
        <v>Conversion Factors - x-802</v>
      </c>
      <c r="B3" s="43"/>
      <c r="C3" s="43"/>
      <c r="D3" s="43"/>
      <c r="E3" s="43"/>
      <c r="F3" s="43"/>
      <c r="G3" s="43"/>
      <c r="H3" s="43"/>
      <c r="I3" s="43"/>
      <c r="J3" s="43"/>
      <c r="K3" s="43"/>
    </row>
    <row r="4" spans="1:11" x14ac:dyDescent="0.25">
      <c r="A4" s="45"/>
    </row>
    <row r="6" spans="1:11" ht="13" x14ac:dyDescent="0.3">
      <c r="A6" s="75" t="s">
        <v>562</v>
      </c>
      <c r="B6" s="159" t="s">
        <v>563</v>
      </c>
      <c r="C6" s="159"/>
      <c r="F6" s="75" t="s">
        <v>562</v>
      </c>
      <c r="G6" s="159" t="s">
        <v>563</v>
      </c>
      <c r="J6" s="75" t="s">
        <v>562</v>
      </c>
      <c r="K6" s="159" t="s">
        <v>563</v>
      </c>
    </row>
    <row r="7" spans="1:11" x14ac:dyDescent="0.25">
      <c r="A7" s="77" t="s">
        <v>305</v>
      </c>
      <c r="B7" s="159" t="s">
        <v>319</v>
      </c>
      <c r="C7" s="159"/>
      <c r="F7" s="77" t="s">
        <v>305</v>
      </c>
      <c r="G7" s="159" t="s">
        <v>319</v>
      </c>
      <c r="J7" s="77" t="s">
        <v>305</v>
      </c>
      <c r="K7" s="159" t="s">
        <v>319</v>
      </c>
    </row>
    <row r="8" spans="1:11" x14ac:dyDescent="0.25">
      <c r="A8" s="77" t="s">
        <v>306</v>
      </c>
      <c r="B8" s="159">
        <v>2007</v>
      </c>
      <c r="C8" s="159"/>
      <c r="F8" s="77" t="s">
        <v>306</v>
      </c>
      <c r="G8" s="159">
        <v>2007</v>
      </c>
      <c r="J8" s="77" t="s">
        <v>306</v>
      </c>
      <c r="K8" s="159">
        <v>2007</v>
      </c>
    </row>
    <row r="9" spans="1:11" x14ac:dyDescent="0.25">
      <c r="A9" s="77" t="s">
        <v>307</v>
      </c>
      <c r="B9" s="159" t="s">
        <v>554</v>
      </c>
      <c r="C9" s="159"/>
      <c r="F9" s="77" t="s">
        <v>307</v>
      </c>
      <c r="G9" s="159" t="s">
        <v>554</v>
      </c>
      <c r="J9" s="77" t="s">
        <v>307</v>
      </c>
      <c r="K9" s="159" t="s">
        <v>554</v>
      </c>
    </row>
    <row r="10" spans="1:11" x14ac:dyDescent="0.25">
      <c r="A10" s="77" t="s">
        <v>233</v>
      </c>
      <c r="B10" s="159" t="s">
        <v>555</v>
      </c>
      <c r="C10" s="159"/>
      <c r="F10" s="77" t="s">
        <v>233</v>
      </c>
      <c r="G10" s="159" t="s">
        <v>558</v>
      </c>
      <c r="J10" s="77" t="s">
        <v>233</v>
      </c>
      <c r="K10" s="159" t="s">
        <v>560</v>
      </c>
    </row>
    <row r="11" spans="1:11" x14ac:dyDescent="0.25">
      <c r="A11" s="77" t="s">
        <v>308</v>
      </c>
      <c r="B11" s="159" t="s">
        <v>404</v>
      </c>
      <c r="C11" s="159"/>
      <c r="F11" s="77" t="s">
        <v>308</v>
      </c>
      <c r="G11" s="159" t="s">
        <v>404</v>
      </c>
      <c r="J11" s="77" t="s">
        <v>308</v>
      </c>
      <c r="K11" s="159" t="s">
        <v>404</v>
      </c>
    </row>
    <row r="12" spans="1:11" x14ac:dyDescent="0.25">
      <c r="A12" s="77" t="s">
        <v>309</v>
      </c>
      <c r="B12" s="159" t="s">
        <v>530</v>
      </c>
      <c r="C12" s="159"/>
      <c r="F12" s="77" t="s">
        <v>309</v>
      </c>
      <c r="G12" s="159" t="s">
        <v>530</v>
      </c>
      <c r="J12" s="77" t="s">
        <v>309</v>
      </c>
      <c r="K12" s="159" t="s">
        <v>530</v>
      </c>
    </row>
    <row r="13" spans="1:11" x14ac:dyDescent="0.25">
      <c r="A13" s="77" t="s">
        <v>570</v>
      </c>
      <c r="B13" s="159">
        <v>0</v>
      </c>
      <c r="C13" s="159"/>
      <c r="F13" s="77" t="s">
        <v>570</v>
      </c>
      <c r="G13" s="159">
        <v>0</v>
      </c>
      <c r="J13" s="77" t="s">
        <v>570</v>
      </c>
      <c r="K13" s="159">
        <v>0</v>
      </c>
    </row>
    <row r="14" spans="1:11" x14ac:dyDescent="0.25">
      <c r="A14" s="77" t="s">
        <v>311</v>
      </c>
      <c r="B14" s="159">
        <v>802</v>
      </c>
      <c r="C14" s="159"/>
      <c r="F14" s="77" t="s">
        <v>311</v>
      </c>
      <c r="G14" s="159">
        <v>802</v>
      </c>
      <c r="J14" s="77" t="s">
        <v>311</v>
      </c>
      <c r="K14" s="159">
        <v>802</v>
      </c>
    </row>
    <row r="15" spans="1:11" x14ac:dyDescent="0.25">
      <c r="A15" s="77" t="s">
        <v>573</v>
      </c>
      <c r="B15" s="159" t="s">
        <v>556</v>
      </c>
      <c r="C15" s="159"/>
      <c r="F15" s="77" t="s">
        <v>573</v>
      </c>
      <c r="G15" s="159" t="s">
        <v>559</v>
      </c>
      <c r="J15" s="77" t="s">
        <v>573</v>
      </c>
      <c r="K15" s="159" t="s">
        <v>561</v>
      </c>
    </row>
    <row r="16" spans="1:11" x14ac:dyDescent="0.25">
      <c r="A16" s="77" t="s">
        <v>313</v>
      </c>
      <c r="B16" s="159" t="s">
        <v>540</v>
      </c>
      <c r="C16" s="159"/>
      <c r="F16" s="77" t="s">
        <v>313</v>
      </c>
      <c r="G16" s="159" t="s">
        <v>543</v>
      </c>
      <c r="J16" s="77" t="s">
        <v>313</v>
      </c>
      <c r="K16" s="159" t="s">
        <v>507</v>
      </c>
    </row>
    <row r="17" spans="1:11" ht="65.5" customHeight="1" x14ac:dyDescent="0.25">
      <c r="A17" s="77" t="s">
        <v>642</v>
      </c>
      <c r="B17" s="159"/>
      <c r="C17" s="159"/>
      <c r="F17" s="77" t="s">
        <v>642</v>
      </c>
      <c r="G17" s="159"/>
      <c r="J17" s="77" t="s">
        <v>642</v>
      </c>
      <c r="K17" s="159"/>
    </row>
    <row r="18" spans="1:11" ht="25" x14ac:dyDescent="0.25">
      <c r="A18" s="77" t="s">
        <v>315</v>
      </c>
      <c r="B18" s="161"/>
      <c r="C18" s="159"/>
      <c r="F18" s="77" t="s">
        <v>315</v>
      </c>
      <c r="G18" s="161"/>
      <c r="J18" s="77" t="s">
        <v>315</v>
      </c>
      <c r="K18" s="161"/>
    </row>
    <row r="19" spans="1:11" ht="25" x14ac:dyDescent="0.25">
      <c r="A19" s="77" t="s">
        <v>316</v>
      </c>
      <c r="B19" s="161"/>
      <c r="C19" s="159"/>
      <c r="F19" s="77" t="s">
        <v>316</v>
      </c>
      <c r="G19" s="161"/>
      <c r="J19" s="77" t="s">
        <v>316</v>
      </c>
      <c r="K19" s="161"/>
    </row>
    <row r="20" spans="1:11" x14ac:dyDescent="0.25">
      <c r="A20" s="77" t="s">
        <v>317</v>
      </c>
      <c r="B20" s="159" t="s">
        <v>557</v>
      </c>
      <c r="C20" s="159"/>
      <c r="F20" s="77" t="s">
        <v>317</v>
      </c>
      <c r="G20" s="159" t="s">
        <v>557</v>
      </c>
      <c r="J20" s="77" t="s">
        <v>317</v>
      </c>
      <c r="K20" s="159" t="s">
        <v>557</v>
      </c>
    </row>
    <row r="21" spans="1:11" x14ac:dyDescent="0.25">
      <c r="A21" s="77" t="s">
        <v>318</v>
      </c>
      <c r="B21" s="159"/>
      <c r="C21" s="159"/>
      <c r="F21" s="77" t="s">
        <v>318</v>
      </c>
      <c r="G21" s="159"/>
      <c r="J21" s="77" t="s">
        <v>318</v>
      </c>
      <c r="K21" s="159"/>
    </row>
    <row r="23" spans="1:11" x14ac:dyDescent="0.25">
      <c r="B23" s="91" t="str">
        <f>HYPERLINK("#'Factor List'!A1","Back to Factor List")</f>
        <v>Back to Factor List</v>
      </c>
      <c r="C23" s="91"/>
      <c r="G23" s="91" t="str">
        <f>HYPERLINK("#'Factor List'!A1","Back to Factor List")</f>
        <v>Back to Factor List</v>
      </c>
      <c r="K23" s="91" t="str">
        <f>HYPERLINK("#'Factor List'!A1","Back to Factor List")</f>
        <v>Back to Factor List</v>
      </c>
    </row>
    <row r="24" spans="1:11" x14ac:dyDescent="0.25">
      <c r="B24" s="91" t="s">
        <v>240</v>
      </c>
      <c r="C24" s="91"/>
      <c r="G24" s="91" t="s">
        <v>240</v>
      </c>
      <c r="K24" s="91" t="s">
        <v>240</v>
      </c>
    </row>
    <row r="25" spans="1:11" x14ac:dyDescent="0.25">
      <c r="B25" s="91"/>
      <c r="C25" s="91"/>
      <c r="G25" s="91"/>
      <c r="K25" s="91"/>
    </row>
    <row r="26" spans="1:11" ht="26" x14ac:dyDescent="0.25">
      <c r="A26" s="80" t="s">
        <v>324</v>
      </c>
      <c r="B26" s="80" t="s">
        <v>699</v>
      </c>
      <c r="C26" s="80" t="s">
        <v>700</v>
      </c>
      <c r="F26" s="80" t="s">
        <v>324</v>
      </c>
      <c r="G26" s="80" t="s">
        <v>554</v>
      </c>
      <c r="J26" s="80" t="s">
        <v>324</v>
      </c>
      <c r="K26" s="80" t="s">
        <v>699</v>
      </c>
    </row>
    <row r="27" spans="1:11" x14ac:dyDescent="0.25">
      <c r="A27" s="85" t="s">
        <v>701</v>
      </c>
      <c r="B27" s="151"/>
      <c r="C27" s="151"/>
      <c r="F27" s="85" t="s">
        <v>702</v>
      </c>
      <c r="G27" s="151"/>
      <c r="J27" s="85" t="s">
        <v>701</v>
      </c>
      <c r="K27" s="151"/>
    </row>
    <row r="28" spans="1:11" x14ac:dyDescent="0.25">
      <c r="A28" s="81">
        <v>56</v>
      </c>
      <c r="B28" s="151"/>
      <c r="C28" s="151"/>
      <c r="F28" s="85">
        <v>36</v>
      </c>
      <c r="G28" s="151"/>
      <c r="J28" s="81">
        <v>56</v>
      </c>
      <c r="K28" s="151"/>
    </row>
    <row r="29" spans="1:11" x14ac:dyDescent="0.25">
      <c r="A29" s="81">
        <v>57</v>
      </c>
      <c r="B29" s="151"/>
      <c r="C29" s="151"/>
      <c r="F29" s="85">
        <v>37</v>
      </c>
      <c r="G29" s="151"/>
      <c r="J29" s="81">
        <v>57</v>
      </c>
      <c r="K29" s="151"/>
    </row>
    <row r="30" spans="1:11" x14ac:dyDescent="0.25">
      <c r="A30" s="81">
        <v>58</v>
      </c>
      <c r="B30" s="151"/>
      <c r="C30" s="151"/>
      <c r="F30" s="85">
        <v>38</v>
      </c>
      <c r="G30" s="151"/>
      <c r="J30" s="81">
        <v>58</v>
      </c>
      <c r="K30" s="151"/>
    </row>
    <row r="31" spans="1:11" x14ac:dyDescent="0.25">
      <c r="A31" s="81">
        <v>59</v>
      </c>
      <c r="B31" s="151"/>
      <c r="C31" s="151"/>
      <c r="F31" s="85">
        <v>39</v>
      </c>
      <c r="G31" s="151"/>
      <c r="J31" s="81">
        <v>59</v>
      </c>
      <c r="K31" s="151"/>
    </row>
    <row r="32" spans="1:11" x14ac:dyDescent="0.25">
      <c r="F32" s="85" t="s">
        <v>703</v>
      </c>
      <c r="G32" s="151"/>
    </row>
    <row r="33" spans="6:7" x14ac:dyDescent="0.25">
      <c r="F33" s="85">
        <v>56</v>
      </c>
      <c r="G33" s="151"/>
    </row>
    <row r="34" spans="6:7" x14ac:dyDescent="0.25">
      <c r="F34" s="85">
        <v>57</v>
      </c>
      <c r="G34" s="151"/>
    </row>
    <row r="35" spans="6:7" x14ac:dyDescent="0.25">
      <c r="F35" s="85">
        <v>58</v>
      </c>
      <c r="G35" s="151"/>
    </row>
    <row r="36" spans="6:7" x14ac:dyDescent="0.25">
      <c r="F36" s="85">
        <v>59</v>
      </c>
      <c r="G36" s="151"/>
    </row>
  </sheetData>
  <sheetProtection algorithmName="SHA-512" hashValue="wnZBcoOMRDjkodTQAKGe+wtavG5tep+4OuNIkuuy0WMiXNZfcBxjHB1Tbhnxrnct115blmHvQDznDv+hephmMg==" saltValue="Fh8LIGv8KO+gz64LB8yFDg==" spinCount="100000" sheet="1" objects="1" scenarios="1"/>
  <conditionalFormatting sqref="A6:A16">
    <cfRule type="expression" dxfId="67" priority="71" stopIfTrue="1">
      <formula>MOD(ROW(),2)=0</formula>
    </cfRule>
    <cfRule type="expression" dxfId="66" priority="72" stopIfTrue="1">
      <formula>MOD(ROW(),2)&lt;&gt;0</formula>
    </cfRule>
  </conditionalFormatting>
  <conditionalFormatting sqref="B6:C21">
    <cfRule type="expression" dxfId="65" priority="73" stopIfTrue="1">
      <formula>MOD(ROW(),2)=0</formula>
    </cfRule>
    <cfRule type="expression" dxfId="64" priority="74" stopIfTrue="1">
      <formula>MOD(ROW(),2)&lt;&gt;0</formula>
    </cfRule>
  </conditionalFormatting>
  <conditionalFormatting sqref="A26:A31">
    <cfRule type="expression" dxfId="63" priority="67" stopIfTrue="1">
      <formula>MOD(ROW(),2)=0</formula>
    </cfRule>
    <cfRule type="expression" dxfId="62" priority="68" stopIfTrue="1">
      <formula>MOD(ROW(),2)&lt;&gt;0</formula>
    </cfRule>
  </conditionalFormatting>
  <conditionalFormatting sqref="B26:C31">
    <cfRule type="expression" dxfId="61" priority="69" stopIfTrue="1">
      <formula>MOD(ROW(),2)=0</formula>
    </cfRule>
    <cfRule type="expression" dxfId="60" priority="70" stopIfTrue="1">
      <formula>MOD(ROW(),2)&lt;&gt;0</formula>
    </cfRule>
  </conditionalFormatting>
  <conditionalFormatting sqref="A17:A20">
    <cfRule type="expression" dxfId="59" priority="63" stopIfTrue="1">
      <formula>MOD(ROW(),2)=0</formula>
    </cfRule>
    <cfRule type="expression" dxfId="58" priority="64" stopIfTrue="1">
      <formula>MOD(ROW(),2)&lt;&gt;0</formula>
    </cfRule>
  </conditionalFormatting>
  <conditionalFormatting sqref="B17:C17">
    <cfRule type="expression" dxfId="57" priority="65" stopIfTrue="1">
      <formula>MOD(ROW(),2)=0</formula>
    </cfRule>
    <cfRule type="expression" dxfId="56" priority="66" stopIfTrue="1">
      <formula>MOD(ROW(),2)&lt;&gt;0</formula>
    </cfRule>
  </conditionalFormatting>
  <conditionalFormatting sqref="B18:C18 B20:C20">
    <cfRule type="expression" dxfId="55" priority="61" stopIfTrue="1">
      <formula>MOD(ROW(),2)=0</formula>
    </cfRule>
    <cfRule type="expression" dxfId="54" priority="62" stopIfTrue="1">
      <formula>MOD(ROW(),2)&lt;&gt;0</formula>
    </cfRule>
  </conditionalFormatting>
  <conditionalFormatting sqref="B19:C19">
    <cfRule type="expression" dxfId="53" priority="59" stopIfTrue="1">
      <formula>MOD(ROW(),2)=0</formula>
    </cfRule>
    <cfRule type="expression" dxfId="52" priority="60" stopIfTrue="1">
      <formula>MOD(ROW(),2)&lt;&gt;0</formula>
    </cfRule>
  </conditionalFormatting>
  <conditionalFormatting sqref="A21">
    <cfRule type="expression" dxfId="51" priority="57" stopIfTrue="1">
      <formula>MOD(ROW(),2)=0</formula>
    </cfRule>
    <cfRule type="expression" dxfId="50" priority="58" stopIfTrue="1">
      <formula>MOD(ROW(),2)&lt;&gt;0</formula>
    </cfRule>
  </conditionalFormatting>
  <conditionalFormatting sqref="B12:C12">
    <cfRule type="expression" dxfId="49" priority="55" stopIfTrue="1">
      <formula>MOD(ROW(),2)=0</formula>
    </cfRule>
    <cfRule type="expression" dxfId="48" priority="56" stopIfTrue="1">
      <formula>MOD(ROW(),2)&lt;&gt;0</formula>
    </cfRule>
  </conditionalFormatting>
  <conditionalFormatting sqref="F6:F16">
    <cfRule type="expression" dxfId="47" priority="51" stopIfTrue="1">
      <formula>MOD(ROW(),2)=0</formula>
    </cfRule>
    <cfRule type="expression" dxfId="46" priority="52" stopIfTrue="1">
      <formula>MOD(ROW(),2)&lt;&gt;0</formula>
    </cfRule>
  </conditionalFormatting>
  <conditionalFormatting sqref="G6 G21 G13:G16 G9:G11">
    <cfRule type="expression" dxfId="45" priority="53" stopIfTrue="1">
      <formula>MOD(ROW(),2)=0</formula>
    </cfRule>
    <cfRule type="expression" dxfId="44" priority="54" stopIfTrue="1">
      <formula>MOD(ROW(),2)&lt;&gt;0</formula>
    </cfRule>
  </conditionalFormatting>
  <conditionalFormatting sqref="F26:F36">
    <cfRule type="expression" dxfId="43" priority="47" stopIfTrue="1">
      <formula>MOD(ROW(),2)=0</formula>
    </cfRule>
    <cfRule type="expression" dxfId="42" priority="48" stopIfTrue="1">
      <formula>MOD(ROW(),2)&lt;&gt;0</formula>
    </cfRule>
  </conditionalFormatting>
  <conditionalFormatting sqref="G26:G36">
    <cfRule type="expression" dxfId="41" priority="49" stopIfTrue="1">
      <formula>MOD(ROW(),2)=0</formula>
    </cfRule>
    <cfRule type="expression" dxfId="40" priority="50" stopIfTrue="1">
      <formula>MOD(ROW(),2)&lt;&gt;0</formula>
    </cfRule>
  </conditionalFormatting>
  <conditionalFormatting sqref="F17:F20">
    <cfRule type="expression" dxfId="39" priority="43" stopIfTrue="1">
      <formula>MOD(ROW(),2)=0</formula>
    </cfRule>
    <cfRule type="expression" dxfId="38" priority="44" stopIfTrue="1">
      <formula>MOD(ROW(),2)&lt;&gt;0</formula>
    </cfRule>
  </conditionalFormatting>
  <conditionalFormatting sqref="G18 G20">
    <cfRule type="expression" dxfId="37" priority="41" stopIfTrue="1">
      <formula>MOD(ROW(),2)=0</formula>
    </cfRule>
    <cfRule type="expression" dxfId="36" priority="42" stopIfTrue="1">
      <formula>MOD(ROW(),2)&lt;&gt;0</formula>
    </cfRule>
  </conditionalFormatting>
  <conditionalFormatting sqref="G19">
    <cfRule type="expression" dxfId="35" priority="39" stopIfTrue="1">
      <formula>MOD(ROW(),2)=0</formula>
    </cfRule>
    <cfRule type="expression" dxfId="34" priority="40" stopIfTrue="1">
      <formula>MOD(ROW(),2)&lt;&gt;0</formula>
    </cfRule>
  </conditionalFormatting>
  <conditionalFormatting sqref="F21">
    <cfRule type="expression" dxfId="33" priority="37" stopIfTrue="1">
      <formula>MOD(ROW(),2)=0</formula>
    </cfRule>
    <cfRule type="expression" dxfId="32" priority="38" stopIfTrue="1">
      <formula>MOD(ROW(),2)&lt;&gt;0</formula>
    </cfRule>
  </conditionalFormatting>
  <conditionalFormatting sqref="G12">
    <cfRule type="expression" dxfId="31" priority="35" stopIfTrue="1">
      <formula>MOD(ROW(),2)=0</formula>
    </cfRule>
    <cfRule type="expression" dxfId="30" priority="36" stopIfTrue="1">
      <formula>MOD(ROW(),2)&lt;&gt;0</formula>
    </cfRule>
  </conditionalFormatting>
  <conditionalFormatting sqref="J6:J16">
    <cfRule type="expression" dxfId="29" priority="31" stopIfTrue="1">
      <formula>MOD(ROW(),2)=0</formula>
    </cfRule>
    <cfRule type="expression" dxfId="28" priority="32" stopIfTrue="1">
      <formula>MOD(ROW(),2)&lt;&gt;0</formula>
    </cfRule>
  </conditionalFormatting>
  <conditionalFormatting sqref="K6 K21 K13:K16 K9:K11">
    <cfRule type="expression" dxfId="27" priority="33" stopIfTrue="1">
      <formula>MOD(ROW(),2)=0</formula>
    </cfRule>
    <cfRule type="expression" dxfId="26" priority="34" stopIfTrue="1">
      <formula>MOD(ROW(),2)&lt;&gt;0</formula>
    </cfRule>
  </conditionalFormatting>
  <conditionalFormatting sqref="J26:J31">
    <cfRule type="expression" dxfId="25" priority="27" stopIfTrue="1">
      <formula>MOD(ROW(),2)=0</formula>
    </cfRule>
    <cfRule type="expression" dxfId="24" priority="28" stopIfTrue="1">
      <formula>MOD(ROW(),2)&lt;&gt;0</formula>
    </cfRule>
  </conditionalFormatting>
  <conditionalFormatting sqref="K26:K31">
    <cfRule type="expression" dxfId="23" priority="29" stopIfTrue="1">
      <formula>MOD(ROW(),2)=0</formula>
    </cfRule>
    <cfRule type="expression" dxfId="22" priority="30" stopIfTrue="1">
      <formula>MOD(ROW(),2)&lt;&gt;0</formula>
    </cfRule>
  </conditionalFormatting>
  <conditionalFormatting sqref="J17:J20">
    <cfRule type="expression" dxfId="21" priority="23" stopIfTrue="1">
      <formula>MOD(ROW(),2)=0</formula>
    </cfRule>
    <cfRule type="expression" dxfId="20" priority="24" stopIfTrue="1">
      <formula>MOD(ROW(),2)&lt;&gt;0</formula>
    </cfRule>
  </conditionalFormatting>
  <conditionalFormatting sqref="K18 K20">
    <cfRule type="expression" dxfId="19" priority="21" stopIfTrue="1">
      <formula>MOD(ROW(),2)=0</formula>
    </cfRule>
    <cfRule type="expression" dxfId="18" priority="22" stopIfTrue="1">
      <formula>MOD(ROW(),2)&lt;&gt;0</formula>
    </cfRule>
  </conditionalFormatting>
  <conditionalFormatting sqref="K19">
    <cfRule type="expression" dxfId="17" priority="19" stopIfTrue="1">
      <formula>MOD(ROW(),2)=0</formula>
    </cfRule>
    <cfRule type="expression" dxfId="16" priority="20" stopIfTrue="1">
      <formula>MOD(ROW(),2)&lt;&gt;0</formula>
    </cfRule>
  </conditionalFormatting>
  <conditionalFormatting sqref="J21">
    <cfRule type="expression" dxfId="15" priority="17" stopIfTrue="1">
      <formula>MOD(ROW(),2)=0</formula>
    </cfRule>
    <cfRule type="expression" dxfId="14" priority="18" stopIfTrue="1">
      <formula>MOD(ROW(),2)&lt;&gt;0</formula>
    </cfRule>
  </conditionalFormatting>
  <conditionalFormatting sqref="K12">
    <cfRule type="expression" dxfId="13" priority="15" stopIfTrue="1">
      <formula>MOD(ROW(),2)=0</formula>
    </cfRule>
    <cfRule type="expression" dxfId="12" priority="16" stopIfTrue="1">
      <formula>MOD(ROW(),2)&lt;&gt;0</formula>
    </cfRule>
  </conditionalFormatting>
  <conditionalFormatting sqref="G6:G21">
    <cfRule type="expression" dxfId="11" priority="13" stopIfTrue="1">
      <formula>MOD(ROW(),2)=0</formula>
    </cfRule>
    <cfRule type="expression" dxfId="10" priority="14" stopIfTrue="1">
      <formula>MOD(ROW(),2)&lt;&gt;0</formula>
    </cfRule>
  </conditionalFormatting>
  <conditionalFormatting sqref="K6:K21">
    <cfRule type="expression" dxfId="9" priority="11" stopIfTrue="1">
      <formula>MOD(ROW(),2)=0</formula>
    </cfRule>
    <cfRule type="expression" dxfId="8" priority="12" stopIfTrue="1">
      <formula>MOD(ROW(),2)&lt;&gt;0</formula>
    </cfRule>
  </conditionalFormatting>
  <conditionalFormatting sqref="G8">
    <cfRule type="expression" dxfId="7" priority="9" stopIfTrue="1">
      <formula>MOD(ROW(),2)=0</formula>
    </cfRule>
    <cfRule type="expression" dxfId="6" priority="10" stopIfTrue="1">
      <formula>MOD(ROW(),2)&lt;&gt;0</formula>
    </cfRule>
  </conditionalFormatting>
  <conditionalFormatting sqref="K8">
    <cfRule type="expression" dxfId="5" priority="5" stopIfTrue="1">
      <formula>MOD(ROW(),2)=0</formula>
    </cfRule>
    <cfRule type="expression" dxfId="4" priority="6" stopIfTrue="1">
      <formula>MOD(ROW(),2)&lt;&gt;0</formula>
    </cfRule>
  </conditionalFormatting>
  <conditionalFormatting sqref="G17">
    <cfRule type="expression" dxfId="3" priority="3" stopIfTrue="1">
      <formula>MOD(ROW(),2)=0</formula>
    </cfRule>
    <cfRule type="expression" dxfId="2" priority="4" stopIfTrue="1">
      <formula>MOD(ROW(),2)&lt;&gt;0</formula>
    </cfRule>
  </conditionalFormatting>
  <conditionalFormatting sqref="K17">
    <cfRule type="expression" dxfId="1" priority="1" stopIfTrue="1">
      <formula>MOD(ROW(),2)=0</formula>
    </cfRule>
    <cfRule type="expression" dxfId="0" priority="2" stopIfTrue="1">
      <formula>MOD(ROW(),2)&lt;&gt;0</formula>
    </cfRule>
  </conditionalFormatting>
  <hyperlinks>
    <hyperlink ref="B24" location="Assumptions!A1" display="Assumptions" xr:uid="{6BC1C5EE-6F02-4CFD-BA20-5AC3426F4E1C}"/>
    <hyperlink ref="G24" location="Assumptions!A1" display="Assumptions" xr:uid="{43DD9531-B36B-40B5-9B14-2CFB617ECA89}"/>
    <hyperlink ref="K24" location="Assumptions!A1" display="Assumptions" xr:uid="{368163A3-F9C1-415B-AEC0-07029A47E8E2}"/>
  </hyperlinks>
  <pageMargins left="0.74803149606299213" right="0.74803149606299213" top="0.98425196850393704" bottom="0.98425196850393704" header="0.51181102362204722" footer="0.51181102362204722"/>
  <pageSetup paperSize="9"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GAD Spreadsheet" ma:contentTypeID="0x01010012B3620EAB1DF74A810920FA00BB7CA7" ma:contentTypeVersion="5" ma:contentTypeDescription="Create a new spreadsheet." ma:contentTypeScope="" ma:versionID="0cf13d754c3f473c215d54c601c9c550">
  <xsd:schema xmlns:xsd="http://www.w3.org/2001/XMLSchema" xmlns:xs="http://www.w3.org/2001/XMLSchema" xmlns:p="http://schemas.microsoft.com/office/2006/metadata/properties" xmlns:ns2="f69fd3ce-e1df-49de-b78d-1d800e75d0a3" xmlns:ns3="62c7038d-3aec-4dd4-8afa-8b92667eb25d" targetNamespace="http://schemas.microsoft.com/office/2006/metadata/properties" ma:root="true" ma:fieldsID="af880295782e551f8a70a17292480657" ns2:_="" ns3:_="">
    <xsd:import namespace="f69fd3ce-e1df-49de-b78d-1d800e75d0a3"/>
    <xsd:import namespace="62c7038d-3aec-4dd4-8afa-8b92667eb25d"/>
    <xsd:element name="properties">
      <xsd:complexType>
        <xsd:sequence>
          <xsd:element name="documentManagement">
            <xsd:complexType>
              <xsd:all>
                <xsd:element ref="ns2:_dlc_DocId" minOccurs="0"/>
                <xsd:element ref="ns2:_dlc_DocIdUrl" minOccurs="0"/>
                <xsd:element ref="ns2:_dlc_DocIdPersistId" minOccurs="0"/>
                <xsd:element ref="ns3: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69fd3ce-e1df-49de-b78d-1d800e75d0a3"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62c7038d-3aec-4dd4-8afa-8b92667eb25d" elementFormDefault="qualified">
    <xsd:import namespace="http://schemas.microsoft.com/office/2006/documentManagement/types"/>
    <xsd:import namespace="http://schemas.microsoft.com/office/infopath/2007/PartnerControls"/>
    <xsd:element name="lcf76f155ced4ddcb4097134ff3c332f" ma:index="11" nillable="true" ma:displayName="Image Tags_0" ma:hidden="true" ma:internalName="lcf76f155ced4ddcb4097134ff3c332f">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62c7038d-3aec-4dd4-8afa-8b92667eb25d" xsi:nil="true"/>
    <_dlc_DocId xmlns="f69fd3ce-e1df-49de-b78d-1d800e75d0a3">GADWRKGRPACTUA-1580777631-136367</_dlc_DocId>
    <_dlc_DocIdUrl xmlns="f69fd3ce-e1df-49de-b78d-1d800e75d0a3">
      <Url>https://tris42.sharepoint.com/sites/gad_wrkgrp_actuarial/_layouts/15/DocIdRedir.aspx?ID=GADWRKGRPACTUA-1580777631-136367</Url>
      <Description>GADWRKGRPACTUA-1580777631-136367</Description>
    </_dlc_DocIdUrl>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7E53FDD1-9BA2-4FC6-BE25-5A5DF0A1CD7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69fd3ce-e1df-49de-b78d-1d800e75d0a3"/>
    <ds:schemaRef ds:uri="62c7038d-3aec-4dd4-8afa-8b92667eb25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3B0D7CA-3C07-4472-BCEE-8DDCF74107A4}">
  <ds:schemaRefs>
    <ds:schemaRef ds:uri="http://schemas.microsoft.com/sharepoint/v3/contenttype/forms"/>
  </ds:schemaRefs>
</ds:datastoreItem>
</file>

<file path=customXml/itemProps3.xml><?xml version="1.0" encoding="utf-8"?>
<ds:datastoreItem xmlns:ds="http://schemas.openxmlformats.org/officeDocument/2006/customXml" ds:itemID="{2A8B7711-7CE1-4EC5-B32D-A1E4E12AD349}">
  <ds:schemaRefs>
    <ds:schemaRef ds:uri="http://schemas.microsoft.com/office/infopath/2007/PartnerControls"/>
    <ds:schemaRef ds:uri="http://purl.org/dc/elements/1.1/"/>
    <ds:schemaRef ds:uri="http://schemas.microsoft.com/office/2006/documentManagement/types"/>
    <ds:schemaRef ds:uri="http://schemas.openxmlformats.org/package/2006/metadata/core-properties"/>
    <ds:schemaRef ds:uri="http://purl.org/dc/terms/"/>
    <ds:schemaRef ds:uri="f69fd3ce-e1df-49de-b78d-1d800e75d0a3"/>
    <ds:schemaRef ds:uri="http://purl.org/dc/dcmitype/"/>
    <ds:schemaRef ds:uri="62c7038d-3aec-4dd4-8afa-8b92667eb25d"/>
    <ds:schemaRef ds:uri="http://schemas.microsoft.com/office/2006/metadata/properties"/>
    <ds:schemaRef ds:uri="http://www.w3.org/XML/1998/namespace"/>
  </ds:schemaRefs>
</ds:datastoreItem>
</file>

<file path=customXml/itemProps4.xml><?xml version="1.0" encoding="utf-8"?>
<ds:datastoreItem xmlns:ds="http://schemas.openxmlformats.org/officeDocument/2006/customXml" ds:itemID="{55E29354-0432-4942-B248-5C439BD54DD3}">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93</vt:i4>
      </vt:variant>
      <vt:variant>
        <vt:lpstr>Named Ranges</vt:lpstr>
      </vt:variant>
      <vt:variant>
        <vt:i4>1614</vt:i4>
      </vt:variant>
    </vt:vector>
  </HeadingPairs>
  <TitlesOfParts>
    <vt:vector size="1707" baseType="lpstr">
      <vt:lpstr>AnnGenHiddenLists</vt:lpstr>
      <vt:lpstr>Cover</vt:lpstr>
      <vt:lpstr>Purpose of spreadsheet</vt:lpstr>
      <vt:lpstr>Version Control</vt:lpstr>
      <vt:lpstr>Summary - Fire_E</vt:lpstr>
      <vt:lpstr>Factor List</vt:lpstr>
      <vt:lpstr>x-Series Number</vt:lpstr>
      <vt:lpstr>Assumptions</vt:lpstr>
      <vt:lpstr>x-201</vt:lpstr>
      <vt:lpstr>x-202</vt:lpstr>
      <vt:lpstr>x-203</vt:lpstr>
      <vt:lpstr>x-204</vt:lpstr>
      <vt:lpstr>x-205</vt:lpstr>
      <vt:lpstr>x-206</vt:lpstr>
      <vt:lpstr>x-207</vt:lpstr>
      <vt:lpstr>x-208</vt:lpstr>
      <vt:lpstr>x-209</vt:lpstr>
      <vt:lpstr>x-210</vt:lpstr>
      <vt:lpstr>x-211</vt:lpstr>
      <vt:lpstr>x-212</vt:lpstr>
      <vt:lpstr>x-213</vt:lpstr>
      <vt:lpstr>x-214</vt:lpstr>
      <vt:lpstr>x-215</vt:lpstr>
      <vt:lpstr>x-220</vt:lpstr>
      <vt:lpstr>x-221</vt:lpstr>
      <vt:lpstr>x-301</vt:lpstr>
      <vt:lpstr>x-302</vt:lpstr>
      <vt:lpstr>x-303</vt:lpstr>
      <vt:lpstr>x-304</vt:lpstr>
      <vt:lpstr>x-305</vt:lpstr>
      <vt:lpstr>x-306</vt:lpstr>
      <vt:lpstr>x-307</vt:lpstr>
      <vt:lpstr>x-308</vt:lpstr>
      <vt:lpstr>x-309</vt:lpstr>
      <vt:lpstr>x-310</vt:lpstr>
      <vt:lpstr>x-311</vt:lpstr>
      <vt:lpstr>x-312</vt:lpstr>
      <vt:lpstr>x-313</vt:lpstr>
      <vt:lpstr>x-314</vt:lpstr>
      <vt:lpstr>x-315</vt:lpstr>
      <vt:lpstr>x-316</vt:lpstr>
      <vt:lpstr>x-317</vt:lpstr>
      <vt:lpstr>x-318</vt:lpstr>
      <vt:lpstr>x-319</vt:lpstr>
      <vt:lpstr>x-320</vt:lpstr>
      <vt:lpstr>x-321</vt:lpstr>
      <vt:lpstr>x-322</vt:lpstr>
      <vt:lpstr>x-323</vt:lpstr>
      <vt:lpstr>x-324</vt:lpstr>
      <vt:lpstr>x-325</vt:lpstr>
      <vt:lpstr>x-326</vt:lpstr>
      <vt:lpstr>x-327</vt:lpstr>
      <vt:lpstr>x-328</vt:lpstr>
      <vt:lpstr>x-401</vt:lpstr>
      <vt:lpstr>x-403</vt:lpstr>
      <vt:lpstr>x-404</vt:lpstr>
      <vt:lpstr>x-405</vt:lpstr>
      <vt:lpstr>x-406</vt:lpstr>
      <vt:lpstr>x-407</vt:lpstr>
      <vt:lpstr>x-501</vt:lpstr>
      <vt:lpstr>x-502</vt:lpstr>
      <vt:lpstr>x-503</vt:lpstr>
      <vt:lpstr>x-504</vt:lpstr>
      <vt:lpstr>x-505</vt:lpstr>
      <vt:lpstr>x-506</vt:lpstr>
      <vt:lpstr>x-603</vt:lpstr>
      <vt:lpstr>x-604</vt:lpstr>
      <vt:lpstr>x-605</vt:lpstr>
      <vt:lpstr>x-606</vt:lpstr>
      <vt:lpstr>x-607</vt:lpstr>
      <vt:lpstr>x-608</vt:lpstr>
      <vt:lpstr>x-609</vt:lpstr>
      <vt:lpstr>x-610</vt:lpstr>
      <vt:lpstr>x-611</vt:lpstr>
      <vt:lpstr>x-612</vt:lpstr>
      <vt:lpstr>x-613</vt:lpstr>
      <vt:lpstr>x-614</vt:lpstr>
      <vt:lpstr>x-615</vt:lpstr>
      <vt:lpstr>x-616</vt:lpstr>
      <vt:lpstr>x-617</vt:lpstr>
      <vt:lpstr>x-618</vt:lpstr>
      <vt:lpstr>x-619</vt:lpstr>
      <vt:lpstr>x-620</vt:lpstr>
      <vt:lpstr>x-621</vt:lpstr>
      <vt:lpstr>x-622</vt:lpstr>
      <vt:lpstr>x-623</vt:lpstr>
      <vt:lpstr>x-624</vt:lpstr>
      <vt:lpstr>x-625</vt:lpstr>
      <vt:lpstr>x-626</vt:lpstr>
      <vt:lpstr>x-627</vt:lpstr>
      <vt:lpstr>x-701</vt:lpstr>
      <vt:lpstr>x-702</vt:lpstr>
      <vt:lpstr>x-802</vt:lpstr>
      <vt:lpstr>BaseTablesList</vt:lpstr>
      <vt:lpstr>DATE_MODIFIED</vt:lpstr>
      <vt:lpstr>FACTOR_LIST_AGE_DEF</vt:lpstr>
      <vt:lpstr>FACTOR_LIST_CLIENT</vt:lpstr>
      <vt:lpstr>FACTOR_LIST_DATE_IMPLEMENTED</vt:lpstr>
      <vt:lpstr>FACTOR_LIST_DATE_ISSUED</vt:lpstr>
      <vt:lpstr>FACTOR_LIST_DESCRIPTION</vt:lpstr>
      <vt:lpstr>FACTOR_LIST_FACTOR_STATUS</vt:lpstr>
      <vt:lpstr>FACTOR_LIST_FACTOR_TYPE</vt:lpstr>
      <vt:lpstr>FACTOR_LIST_GENDER</vt:lpstr>
      <vt:lpstr>FACTOR_LIST_HEADINGS</vt:lpstr>
      <vt:lpstr>FACTOR_LIST_REFERENCE</vt:lpstr>
      <vt:lpstr>FACTOR_LIST_REFERENCE_GUIDANCE</vt:lpstr>
      <vt:lpstr>FACTOR_LIST_RELATED</vt:lpstr>
      <vt:lpstr>FACTOR_LIST_SECTION</vt:lpstr>
      <vt:lpstr>FACTOR_LIST_SECTION_NUMBER</vt:lpstr>
      <vt:lpstr>FACTOR_LIST_SERIES_NUMBER</vt:lpstr>
      <vt:lpstr>FACTOR_LIST_TABLE_ID</vt:lpstr>
      <vt:lpstr>ImprovementsList</vt:lpstr>
      <vt:lpstr>'Summary - Fire_E'!Print_Area</vt:lpstr>
      <vt:lpstr>'x-201'!Print_Area</vt:lpstr>
      <vt:lpstr>'x-202'!Print_Area</vt:lpstr>
      <vt:lpstr>'x-203'!Print_Area</vt:lpstr>
      <vt:lpstr>'x-204'!Print_Area</vt:lpstr>
      <vt:lpstr>'x-205'!Print_Area</vt:lpstr>
      <vt:lpstr>'x-206'!Print_Area</vt:lpstr>
      <vt:lpstr>'x-207'!Print_Area</vt:lpstr>
      <vt:lpstr>'x-208'!Print_Area</vt:lpstr>
      <vt:lpstr>'x-209'!Print_Area</vt:lpstr>
      <vt:lpstr>'x-210'!Print_Area</vt:lpstr>
      <vt:lpstr>'x-211'!Print_Area</vt:lpstr>
      <vt:lpstr>'x-212'!Print_Area</vt:lpstr>
      <vt:lpstr>'x-213'!Print_Area</vt:lpstr>
      <vt:lpstr>'x-214'!Print_Area</vt:lpstr>
      <vt:lpstr>'x-215'!Print_Area</vt:lpstr>
      <vt:lpstr>'x-220'!Print_Area</vt:lpstr>
      <vt:lpstr>'x-221'!Print_Area</vt:lpstr>
      <vt:lpstr>'x-301'!Print_Area</vt:lpstr>
      <vt:lpstr>'x-302'!Print_Area</vt:lpstr>
      <vt:lpstr>'x-303'!Print_Area</vt:lpstr>
      <vt:lpstr>'x-304'!Print_Area</vt:lpstr>
      <vt:lpstr>'x-305'!Print_Area</vt:lpstr>
      <vt:lpstr>'x-306'!Print_Area</vt:lpstr>
      <vt:lpstr>'x-307'!Print_Area</vt:lpstr>
      <vt:lpstr>'x-308'!Print_Area</vt:lpstr>
      <vt:lpstr>'x-309'!Print_Area</vt:lpstr>
      <vt:lpstr>'x-310'!Print_Area</vt:lpstr>
      <vt:lpstr>'x-311'!Print_Area</vt:lpstr>
      <vt:lpstr>'x-312'!Print_Area</vt:lpstr>
      <vt:lpstr>'x-313'!Print_Area</vt:lpstr>
      <vt:lpstr>'x-314'!Print_Area</vt:lpstr>
      <vt:lpstr>'x-315'!Print_Area</vt:lpstr>
      <vt:lpstr>'x-316'!Print_Area</vt:lpstr>
      <vt:lpstr>'x-317'!Print_Area</vt:lpstr>
      <vt:lpstr>'x-318'!Print_Area</vt:lpstr>
      <vt:lpstr>'x-319'!Print_Area</vt:lpstr>
      <vt:lpstr>'x-320'!Print_Area</vt:lpstr>
      <vt:lpstr>'x-321'!Print_Area</vt:lpstr>
      <vt:lpstr>'x-322'!Print_Area</vt:lpstr>
      <vt:lpstr>'x-323'!Print_Area</vt:lpstr>
      <vt:lpstr>'x-324'!Print_Area</vt:lpstr>
      <vt:lpstr>'x-325'!Print_Area</vt:lpstr>
      <vt:lpstr>'x-326'!Print_Area</vt:lpstr>
      <vt:lpstr>'x-327'!Print_Area</vt:lpstr>
      <vt:lpstr>'x-328'!Print_Area</vt:lpstr>
      <vt:lpstr>'x-401'!Print_Area</vt:lpstr>
      <vt:lpstr>'x-403'!Print_Area</vt:lpstr>
      <vt:lpstr>'x-404'!Print_Area</vt:lpstr>
      <vt:lpstr>'x-405'!Print_Area</vt:lpstr>
      <vt:lpstr>'x-406'!Print_Area</vt:lpstr>
      <vt:lpstr>'x-407'!Print_Area</vt:lpstr>
      <vt:lpstr>'x-501'!Print_Area</vt:lpstr>
      <vt:lpstr>'x-502'!Print_Area</vt:lpstr>
      <vt:lpstr>'x-503'!Print_Area</vt:lpstr>
      <vt:lpstr>'x-504'!Print_Area</vt:lpstr>
      <vt:lpstr>'x-505'!Print_Area</vt:lpstr>
      <vt:lpstr>'x-603'!Print_Area</vt:lpstr>
      <vt:lpstr>'x-604'!Print_Area</vt:lpstr>
      <vt:lpstr>'x-605'!Print_Area</vt:lpstr>
      <vt:lpstr>'x-606'!Print_Area</vt:lpstr>
      <vt:lpstr>'x-607'!Print_Area</vt:lpstr>
      <vt:lpstr>'x-608'!Print_Area</vt:lpstr>
      <vt:lpstr>'x-609'!Print_Area</vt:lpstr>
      <vt:lpstr>'x-610'!Print_Area</vt:lpstr>
      <vt:lpstr>'x-611'!Print_Area</vt:lpstr>
      <vt:lpstr>'x-612'!Print_Area</vt:lpstr>
      <vt:lpstr>'x-613'!Print_Area</vt:lpstr>
      <vt:lpstr>'x-614'!Print_Area</vt:lpstr>
      <vt:lpstr>'x-615'!Print_Area</vt:lpstr>
      <vt:lpstr>'x-616'!Print_Area</vt:lpstr>
      <vt:lpstr>'x-617'!Print_Area</vt:lpstr>
      <vt:lpstr>'x-618'!Print_Area</vt:lpstr>
      <vt:lpstr>'x-619'!Print_Area</vt:lpstr>
      <vt:lpstr>'x-620'!Print_Area</vt:lpstr>
      <vt:lpstr>'x-621'!Print_Area</vt:lpstr>
      <vt:lpstr>'x-622'!Print_Area</vt:lpstr>
      <vt:lpstr>'x-623'!Print_Area</vt:lpstr>
      <vt:lpstr>'x-624'!Print_Area</vt:lpstr>
      <vt:lpstr>'x-625'!Print_Area</vt:lpstr>
      <vt:lpstr>'x-626'!Print_Area</vt:lpstr>
      <vt:lpstr>'x-627'!Print_Area</vt:lpstr>
      <vt:lpstr>'x-701'!Print_Area</vt:lpstr>
      <vt:lpstr>'x-702'!Print_Area</vt:lpstr>
      <vt:lpstr>'x-802'!Print_Area</vt:lpstr>
      <vt:lpstr>'x-Series Number'!Print_Area</vt:lpstr>
      <vt:lpstr>TABLE_AGE_DEF</vt:lpstr>
      <vt:lpstr>'x-201'!TABLE_AGE_DEF_1</vt:lpstr>
      <vt:lpstr>'x-202'!TABLE_AGE_DEF_1</vt:lpstr>
      <vt:lpstr>'x-203'!TABLE_AGE_DEF_1</vt:lpstr>
      <vt:lpstr>'x-204'!TABLE_AGE_DEF_1</vt:lpstr>
      <vt:lpstr>'x-205'!TABLE_AGE_DEF_1</vt:lpstr>
      <vt:lpstr>'x-206'!TABLE_AGE_DEF_1</vt:lpstr>
      <vt:lpstr>'x-207'!TABLE_AGE_DEF_1</vt:lpstr>
      <vt:lpstr>'x-208'!TABLE_AGE_DEF_1</vt:lpstr>
      <vt:lpstr>'x-209'!TABLE_AGE_DEF_1</vt:lpstr>
      <vt:lpstr>'x-210'!TABLE_AGE_DEF_1</vt:lpstr>
      <vt:lpstr>'x-211'!TABLE_AGE_DEF_1</vt:lpstr>
      <vt:lpstr>'x-212'!TABLE_AGE_DEF_1</vt:lpstr>
      <vt:lpstr>'x-213'!TABLE_AGE_DEF_1</vt:lpstr>
      <vt:lpstr>'x-214'!TABLE_AGE_DEF_1</vt:lpstr>
      <vt:lpstr>'x-215'!TABLE_AGE_DEF_1</vt:lpstr>
      <vt:lpstr>'x-220'!TABLE_AGE_DEF_1</vt:lpstr>
      <vt:lpstr>'x-221'!TABLE_AGE_DEF_1</vt:lpstr>
      <vt:lpstr>'x-301'!TABLE_AGE_DEF_1</vt:lpstr>
      <vt:lpstr>'x-302'!TABLE_AGE_DEF_1</vt:lpstr>
      <vt:lpstr>'x-303'!TABLE_AGE_DEF_1</vt:lpstr>
      <vt:lpstr>'x-304'!TABLE_AGE_DEF_1</vt:lpstr>
      <vt:lpstr>'x-305'!TABLE_AGE_DEF_1</vt:lpstr>
      <vt:lpstr>'x-306'!TABLE_AGE_DEF_1</vt:lpstr>
      <vt:lpstr>'x-307'!TABLE_AGE_DEF_1</vt:lpstr>
      <vt:lpstr>'x-308'!TABLE_AGE_DEF_1</vt:lpstr>
      <vt:lpstr>'x-309'!TABLE_AGE_DEF_1</vt:lpstr>
      <vt:lpstr>'x-310'!TABLE_AGE_DEF_1</vt:lpstr>
      <vt:lpstr>'x-311'!TABLE_AGE_DEF_1</vt:lpstr>
      <vt:lpstr>'x-312'!TABLE_AGE_DEF_1</vt:lpstr>
      <vt:lpstr>'x-313'!TABLE_AGE_DEF_1</vt:lpstr>
      <vt:lpstr>'x-314'!TABLE_AGE_DEF_1</vt:lpstr>
      <vt:lpstr>'x-315'!TABLE_AGE_DEF_1</vt:lpstr>
      <vt:lpstr>'x-316'!TABLE_AGE_DEF_1</vt:lpstr>
      <vt:lpstr>'x-317'!TABLE_AGE_DEF_1</vt:lpstr>
      <vt:lpstr>'x-318'!TABLE_AGE_DEF_1</vt:lpstr>
      <vt:lpstr>'x-319'!TABLE_AGE_DEF_1</vt:lpstr>
      <vt:lpstr>'x-320'!TABLE_AGE_DEF_1</vt:lpstr>
      <vt:lpstr>'x-321'!TABLE_AGE_DEF_1</vt:lpstr>
      <vt:lpstr>'x-322'!TABLE_AGE_DEF_1</vt:lpstr>
      <vt:lpstr>'x-323'!TABLE_AGE_DEF_1</vt:lpstr>
      <vt:lpstr>'x-324'!TABLE_AGE_DEF_1</vt:lpstr>
      <vt:lpstr>'x-325'!TABLE_AGE_DEF_1</vt:lpstr>
      <vt:lpstr>'x-326'!TABLE_AGE_DEF_1</vt:lpstr>
      <vt:lpstr>'x-327'!TABLE_AGE_DEF_1</vt:lpstr>
      <vt:lpstr>'x-328'!TABLE_AGE_DEF_1</vt:lpstr>
      <vt:lpstr>'x-401'!TABLE_AGE_DEF_1</vt:lpstr>
      <vt:lpstr>'x-403'!TABLE_AGE_DEF_1</vt:lpstr>
      <vt:lpstr>'x-404'!TABLE_AGE_DEF_1</vt:lpstr>
      <vt:lpstr>'x-405'!TABLE_AGE_DEF_1</vt:lpstr>
      <vt:lpstr>'x-406'!TABLE_AGE_DEF_1</vt:lpstr>
      <vt:lpstr>'x-407'!TABLE_AGE_DEF_1</vt:lpstr>
      <vt:lpstr>'x-501'!TABLE_AGE_DEF_1</vt:lpstr>
      <vt:lpstr>'x-502'!TABLE_AGE_DEF_1</vt:lpstr>
      <vt:lpstr>'x-503'!TABLE_AGE_DEF_1</vt:lpstr>
      <vt:lpstr>'x-504'!TABLE_AGE_DEF_1</vt:lpstr>
      <vt:lpstr>'x-505'!TABLE_AGE_DEF_1</vt:lpstr>
      <vt:lpstr>'x-506'!TABLE_AGE_DEF_1</vt:lpstr>
      <vt:lpstr>'x-603'!TABLE_AGE_DEF_1</vt:lpstr>
      <vt:lpstr>'x-604'!TABLE_AGE_DEF_1</vt:lpstr>
      <vt:lpstr>'x-605'!TABLE_AGE_DEF_1</vt:lpstr>
      <vt:lpstr>'x-606'!TABLE_AGE_DEF_1</vt:lpstr>
      <vt:lpstr>'x-607'!TABLE_AGE_DEF_1</vt:lpstr>
      <vt:lpstr>'x-608'!TABLE_AGE_DEF_1</vt:lpstr>
      <vt:lpstr>'x-609'!TABLE_AGE_DEF_1</vt:lpstr>
      <vt:lpstr>'x-610'!TABLE_AGE_DEF_1</vt:lpstr>
      <vt:lpstr>'x-611'!TABLE_AGE_DEF_1</vt:lpstr>
      <vt:lpstr>'x-612'!TABLE_AGE_DEF_1</vt:lpstr>
      <vt:lpstr>'x-613'!TABLE_AGE_DEF_1</vt:lpstr>
      <vt:lpstr>'x-614'!TABLE_AGE_DEF_1</vt:lpstr>
      <vt:lpstr>'x-615'!TABLE_AGE_DEF_1</vt:lpstr>
      <vt:lpstr>'x-616'!TABLE_AGE_DEF_1</vt:lpstr>
      <vt:lpstr>'x-617'!TABLE_AGE_DEF_1</vt:lpstr>
      <vt:lpstr>'x-618'!TABLE_AGE_DEF_1</vt:lpstr>
      <vt:lpstr>'x-619'!TABLE_AGE_DEF_1</vt:lpstr>
      <vt:lpstr>'x-620'!TABLE_AGE_DEF_1</vt:lpstr>
      <vt:lpstr>'x-621'!TABLE_AGE_DEF_1</vt:lpstr>
      <vt:lpstr>'x-622'!TABLE_AGE_DEF_1</vt:lpstr>
      <vt:lpstr>'x-623'!TABLE_AGE_DEF_1</vt:lpstr>
      <vt:lpstr>'x-624'!TABLE_AGE_DEF_1</vt:lpstr>
      <vt:lpstr>'x-625'!TABLE_AGE_DEF_1</vt:lpstr>
      <vt:lpstr>'x-626'!TABLE_AGE_DEF_1</vt:lpstr>
      <vt:lpstr>'x-627'!TABLE_AGE_DEF_1</vt:lpstr>
      <vt:lpstr>'x-701'!TABLE_AGE_DEF_1</vt:lpstr>
      <vt:lpstr>'x-702'!TABLE_AGE_DEF_1</vt:lpstr>
      <vt:lpstr>'x-802'!TABLE_AGE_DEF_1</vt:lpstr>
      <vt:lpstr>'x-701'!TABLE_AGE_DEF_2</vt:lpstr>
      <vt:lpstr>'x-802'!TABLE_AGE_DEF_2</vt:lpstr>
      <vt:lpstr>'x-802'!TABLE_AGE_DEF_3</vt:lpstr>
      <vt:lpstr>TABLE_AREA</vt:lpstr>
      <vt:lpstr>'x-201'!TABLE_AREA_1</vt:lpstr>
      <vt:lpstr>'x-202'!TABLE_AREA_1</vt:lpstr>
      <vt:lpstr>'x-203'!TABLE_AREA_1</vt:lpstr>
      <vt:lpstr>'x-204'!TABLE_AREA_1</vt:lpstr>
      <vt:lpstr>'x-205'!TABLE_AREA_1</vt:lpstr>
      <vt:lpstr>'x-206'!TABLE_AREA_1</vt:lpstr>
      <vt:lpstr>'x-207'!TABLE_AREA_1</vt:lpstr>
      <vt:lpstr>'x-208'!TABLE_AREA_1</vt:lpstr>
      <vt:lpstr>'x-209'!TABLE_AREA_1</vt:lpstr>
      <vt:lpstr>'x-210'!TABLE_AREA_1</vt:lpstr>
      <vt:lpstr>'x-211'!TABLE_AREA_1</vt:lpstr>
      <vt:lpstr>'x-212'!TABLE_AREA_1</vt:lpstr>
      <vt:lpstr>'x-213'!TABLE_AREA_1</vt:lpstr>
      <vt:lpstr>'x-214'!TABLE_AREA_1</vt:lpstr>
      <vt:lpstr>'x-215'!TABLE_AREA_1</vt:lpstr>
      <vt:lpstr>'x-220'!TABLE_AREA_1</vt:lpstr>
      <vt:lpstr>'x-221'!TABLE_AREA_1</vt:lpstr>
      <vt:lpstr>'x-301'!TABLE_AREA_1</vt:lpstr>
      <vt:lpstr>'x-302'!TABLE_AREA_1</vt:lpstr>
      <vt:lpstr>'x-303'!TABLE_AREA_1</vt:lpstr>
      <vt:lpstr>'x-304'!TABLE_AREA_1</vt:lpstr>
      <vt:lpstr>'x-305'!TABLE_AREA_1</vt:lpstr>
      <vt:lpstr>'x-306'!TABLE_AREA_1</vt:lpstr>
      <vt:lpstr>'x-307'!TABLE_AREA_1</vt:lpstr>
      <vt:lpstr>'x-308'!TABLE_AREA_1</vt:lpstr>
      <vt:lpstr>'x-309'!TABLE_AREA_1</vt:lpstr>
      <vt:lpstr>'x-310'!TABLE_AREA_1</vt:lpstr>
      <vt:lpstr>'x-311'!TABLE_AREA_1</vt:lpstr>
      <vt:lpstr>'x-312'!TABLE_AREA_1</vt:lpstr>
      <vt:lpstr>'x-313'!TABLE_AREA_1</vt:lpstr>
      <vt:lpstr>'x-314'!TABLE_AREA_1</vt:lpstr>
      <vt:lpstr>'x-315'!TABLE_AREA_1</vt:lpstr>
      <vt:lpstr>'x-316'!TABLE_AREA_1</vt:lpstr>
      <vt:lpstr>'x-317'!TABLE_AREA_1</vt:lpstr>
      <vt:lpstr>'x-318'!TABLE_AREA_1</vt:lpstr>
      <vt:lpstr>'x-319'!TABLE_AREA_1</vt:lpstr>
      <vt:lpstr>'x-320'!TABLE_AREA_1</vt:lpstr>
      <vt:lpstr>'x-321'!TABLE_AREA_1</vt:lpstr>
      <vt:lpstr>'x-322'!TABLE_AREA_1</vt:lpstr>
      <vt:lpstr>'x-323'!TABLE_AREA_1</vt:lpstr>
      <vt:lpstr>'x-324'!TABLE_AREA_1</vt:lpstr>
      <vt:lpstr>'x-325'!TABLE_AREA_1</vt:lpstr>
      <vt:lpstr>'x-326'!TABLE_AREA_1</vt:lpstr>
      <vt:lpstr>'x-327'!TABLE_AREA_1</vt:lpstr>
      <vt:lpstr>'x-328'!TABLE_AREA_1</vt:lpstr>
      <vt:lpstr>'x-401'!TABLE_AREA_1</vt:lpstr>
      <vt:lpstr>'x-403'!TABLE_AREA_1</vt:lpstr>
      <vt:lpstr>'x-404'!TABLE_AREA_1</vt:lpstr>
      <vt:lpstr>'x-405'!TABLE_AREA_1</vt:lpstr>
      <vt:lpstr>'x-406'!TABLE_AREA_1</vt:lpstr>
      <vt:lpstr>'x-407'!TABLE_AREA_1</vt:lpstr>
      <vt:lpstr>'x-501'!TABLE_AREA_1</vt:lpstr>
      <vt:lpstr>'x-502'!TABLE_AREA_1</vt:lpstr>
      <vt:lpstr>'x-503'!TABLE_AREA_1</vt:lpstr>
      <vt:lpstr>'x-504'!TABLE_AREA_1</vt:lpstr>
      <vt:lpstr>'x-505'!TABLE_AREA_1</vt:lpstr>
      <vt:lpstr>'x-506'!TABLE_AREA_1</vt:lpstr>
      <vt:lpstr>'x-603'!TABLE_AREA_1</vt:lpstr>
      <vt:lpstr>'x-604'!TABLE_AREA_1</vt:lpstr>
      <vt:lpstr>'x-605'!TABLE_AREA_1</vt:lpstr>
      <vt:lpstr>'x-606'!TABLE_AREA_1</vt:lpstr>
      <vt:lpstr>'x-607'!TABLE_AREA_1</vt:lpstr>
      <vt:lpstr>'x-608'!TABLE_AREA_1</vt:lpstr>
      <vt:lpstr>'x-609'!TABLE_AREA_1</vt:lpstr>
      <vt:lpstr>'x-610'!TABLE_AREA_1</vt:lpstr>
      <vt:lpstr>'x-611'!TABLE_AREA_1</vt:lpstr>
      <vt:lpstr>'x-612'!TABLE_AREA_1</vt:lpstr>
      <vt:lpstr>'x-613'!TABLE_AREA_1</vt:lpstr>
      <vt:lpstr>'x-614'!TABLE_AREA_1</vt:lpstr>
      <vt:lpstr>'x-615'!TABLE_AREA_1</vt:lpstr>
      <vt:lpstr>'x-616'!TABLE_AREA_1</vt:lpstr>
      <vt:lpstr>'x-617'!TABLE_AREA_1</vt:lpstr>
      <vt:lpstr>'x-618'!TABLE_AREA_1</vt:lpstr>
      <vt:lpstr>'x-619'!TABLE_AREA_1</vt:lpstr>
      <vt:lpstr>'x-620'!TABLE_AREA_1</vt:lpstr>
      <vt:lpstr>'x-621'!TABLE_AREA_1</vt:lpstr>
      <vt:lpstr>'x-701'!TABLE_AREA_1</vt:lpstr>
      <vt:lpstr>'x-702'!TABLE_AREA_1</vt:lpstr>
      <vt:lpstr>'x-802'!TABLE_AREA_1</vt:lpstr>
      <vt:lpstr>'x-701'!TABLE_AREA_2</vt:lpstr>
      <vt:lpstr>'x-802'!TABLE_AREA_2</vt:lpstr>
      <vt:lpstr>'x-802'!TABLE_AREA_3</vt:lpstr>
      <vt:lpstr>'x-201'!TABLE_ASSUMPTION_SET_1</vt:lpstr>
      <vt:lpstr>'x-202'!TABLE_ASSUMPTION_SET_1</vt:lpstr>
      <vt:lpstr>'x-203'!TABLE_ASSUMPTION_SET_1</vt:lpstr>
      <vt:lpstr>'x-204'!TABLE_ASSUMPTION_SET_1</vt:lpstr>
      <vt:lpstr>'x-205'!TABLE_ASSUMPTION_SET_1</vt:lpstr>
      <vt:lpstr>'x-206'!TABLE_ASSUMPTION_SET_1</vt:lpstr>
      <vt:lpstr>'x-207'!TABLE_ASSUMPTION_SET_1</vt:lpstr>
      <vt:lpstr>'x-208'!TABLE_ASSUMPTION_SET_1</vt:lpstr>
      <vt:lpstr>'x-209'!TABLE_ASSUMPTION_SET_1</vt:lpstr>
      <vt:lpstr>'x-210'!TABLE_ASSUMPTION_SET_1</vt:lpstr>
      <vt:lpstr>'x-211'!TABLE_ASSUMPTION_SET_1</vt:lpstr>
      <vt:lpstr>'x-212'!TABLE_ASSUMPTION_SET_1</vt:lpstr>
      <vt:lpstr>'x-213'!TABLE_ASSUMPTION_SET_1</vt:lpstr>
      <vt:lpstr>'x-214'!TABLE_ASSUMPTION_SET_1</vt:lpstr>
      <vt:lpstr>'x-215'!TABLE_ASSUMPTION_SET_1</vt:lpstr>
      <vt:lpstr>'x-220'!TABLE_ASSUMPTION_SET_1</vt:lpstr>
      <vt:lpstr>'x-221'!TABLE_ASSUMPTION_SET_1</vt:lpstr>
      <vt:lpstr>'x-301'!TABLE_ASSUMPTION_SET_1</vt:lpstr>
      <vt:lpstr>'x-302'!TABLE_ASSUMPTION_SET_1</vt:lpstr>
      <vt:lpstr>'x-303'!TABLE_ASSUMPTION_SET_1</vt:lpstr>
      <vt:lpstr>'x-304'!TABLE_ASSUMPTION_SET_1</vt:lpstr>
      <vt:lpstr>'x-305'!TABLE_ASSUMPTION_SET_1</vt:lpstr>
      <vt:lpstr>'x-306'!TABLE_ASSUMPTION_SET_1</vt:lpstr>
      <vt:lpstr>'x-307'!TABLE_ASSUMPTION_SET_1</vt:lpstr>
      <vt:lpstr>'x-308'!TABLE_ASSUMPTION_SET_1</vt:lpstr>
      <vt:lpstr>'x-309'!TABLE_ASSUMPTION_SET_1</vt:lpstr>
      <vt:lpstr>'x-310'!TABLE_ASSUMPTION_SET_1</vt:lpstr>
      <vt:lpstr>'x-311'!TABLE_ASSUMPTION_SET_1</vt:lpstr>
      <vt:lpstr>'x-312'!TABLE_ASSUMPTION_SET_1</vt:lpstr>
      <vt:lpstr>'x-313'!TABLE_ASSUMPTION_SET_1</vt:lpstr>
      <vt:lpstr>'x-314'!TABLE_ASSUMPTION_SET_1</vt:lpstr>
      <vt:lpstr>'x-315'!TABLE_ASSUMPTION_SET_1</vt:lpstr>
      <vt:lpstr>'x-316'!TABLE_ASSUMPTION_SET_1</vt:lpstr>
      <vt:lpstr>'x-317'!TABLE_ASSUMPTION_SET_1</vt:lpstr>
      <vt:lpstr>'x-318'!TABLE_ASSUMPTION_SET_1</vt:lpstr>
      <vt:lpstr>'x-319'!TABLE_ASSUMPTION_SET_1</vt:lpstr>
      <vt:lpstr>'x-320'!TABLE_ASSUMPTION_SET_1</vt:lpstr>
      <vt:lpstr>'x-321'!TABLE_ASSUMPTION_SET_1</vt:lpstr>
      <vt:lpstr>'x-322'!TABLE_ASSUMPTION_SET_1</vt:lpstr>
      <vt:lpstr>'x-323'!TABLE_ASSUMPTION_SET_1</vt:lpstr>
      <vt:lpstr>'x-324'!TABLE_ASSUMPTION_SET_1</vt:lpstr>
      <vt:lpstr>'x-325'!TABLE_ASSUMPTION_SET_1</vt:lpstr>
      <vt:lpstr>'x-326'!TABLE_ASSUMPTION_SET_1</vt:lpstr>
      <vt:lpstr>'x-327'!TABLE_ASSUMPTION_SET_1</vt:lpstr>
      <vt:lpstr>'x-328'!TABLE_ASSUMPTION_SET_1</vt:lpstr>
      <vt:lpstr>'x-401'!TABLE_ASSUMPTION_SET_1</vt:lpstr>
      <vt:lpstr>'x-403'!TABLE_ASSUMPTION_SET_1</vt:lpstr>
      <vt:lpstr>'x-404'!TABLE_ASSUMPTION_SET_1</vt:lpstr>
      <vt:lpstr>'x-405'!TABLE_ASSUMPTION_SET_1</vt:lpstr>
      <vt:lpstr>'x-406'!TABLE_ASSUMPTION_SET_1</vt:lpstr>
      <vt:lpstr>'x-407'!TABLE_ASSUMPTION_SET_1</vt:lpstr>
      <vt:lpstr>'x-501'!TABLE_ASSUMPTION_SET_1</vt:lpstr>
      <vt:lpstr>'x-502'!TABLE_ASSUMPTION_SET_1</vt:lpstr>
      <vt:lpstr>'x-503'!TABLE_ASSUMPTION_SET_1</vt:lpstr>
      <vt:lpstr>'x-504'!TABLE_ASSUMPTION_SET_1</vt:lpstr>
      <vt:lpstr>'x-505'!TABLE_ASSUMPTION_SET_1</vt:lpstr>
      <vt:lpstr>'x-506'!TABLE_ASSUMPTION_SET_1</vt:lpstr>
      <vt:lpstr>'x-603'!TABLE_ASSUMPTION_SET_1</vt:lpstr>
      <vt:lpstr>'x-604'!TABLE_ASSUMPTION_SET_1</vt:lpstr>
      <vt:lpstr>'x-605'!TABLE_ASSUMPTION_SET_1</vt:lpstr>
      <vt:lpstr>'x-606'!TABLE_ASSUMPTION_SET_1</vt:lpstr>
      <vt:lpstr>'x-607'!TABLE_ASSUMPTION_SET_1</vt:lpstr>
      <vt:lpstr>'x-608'!TABLE_ASSUMPTION_SET_1</vt:lpstr>
      <vt:lpstr>'x-609'!TABLE_ASSUMPTION_SET_1</vt:lpstr>
      <vt:lpstr>'x-610'!TABLE_ASSUMPTION_SET_1</vt:lpstr>
      <vt:lpstr>'x-611'!TABLE_ASSUMPTION_SET_1</vt:lpstr>
      <vt:lpstr>'x-612'!TABLE_ASSUMPTION_SET_1</vt:lpstr>
      <vt:lpstr>'x-613'!TABLE_ASSUMPTION_SET_1</vt:lpstr>
      <vt:lpstr>'x-614'!TABLE_ASSUMPTION_SET_1</vt:lpstr>
      <vt:lpstr>'x-615'!TABLE_ASSUMPTION_SET_1</vt:lpstr>
      <vt:lpstr>'x-616'!TABLE_ASSUMPTION_SET_1</vt:lpstr>
      <vt:lpstr>'x-617'!TABLE_ASSUMPTION_SET_1</vt:lpstr>
      <vt:lpstr>'x-618'!TABLE_ASSUMPTION_SET_1</vt:lpstr>
      <vt:lpstr>'x-619'!TABLE_ASSUMPTION_SET_1</vt:lpstr>
      <vt:lpstr>'x-620'!TABLE_ASSUMPTION_SET_1</vt:lpstr>
      <vt:lpstr>'x-621'!TABLE_ASSUMPTION_SET_1</vt:lpstr>
      <vt:lpstr>'x-622'!TABLE_ASSUMPTION_SET_1</vt:lpstr>
      <vt:lpstr>'x-623'!TABLE_ASSUMPTION_SET_1</vt:lpstr>
      <vt:lpstr>'x-624'!TABLE_ASSUMPTION_SET_1</vt:lpstr>
      <vt:lpstr>'x-625'!TABLE_ASSUMPTION_SET_1</vt:lpstr>
      <vt:lpstr>'x-626'!TABLE_ASSUMPTION_SET_1</vt:lpstr>
      <vt:lpstr>'x-627'!TABLE_ASSUMPTION_SET_1</vt:lpstr>
      <vt:lpstr>'x-701'!TABLE_ASSUMPTION_SET_1</vt:lpstr>
      <vt:lpstr>'x-702'!TABLE_ASSUMPTION_SET_1</vt:lpstr>
      <vt:lpstr>'x-802'!TABLE_ASSUMPTION_SET_1</vt:lpstr>
      <vt:lpstr>'x-701'!TABLE_ASSUMPTION_SET_2</vt:lpstr>
      <vt:lpstr>'x-802'!TABLE_ASSUMPTION_SET_2</vt:lpstr>
      <vt:lpstr>'x-802'!TABLE_ASSUMPTION_SET_3</vt:lpstr>
      <vt:lpstr>TABLE_CLIENT</vt:lpstr>
      <vt:lpstr>'x-201'!TABLE_CLIENT_1</vt:lpstr>
      <vt:lpstr>'x-202'!TABLE_CLIENT_1</vt:lpstr>
      <vt:lpstr>'x-203'!TABLE_CLIENT_1</vt:lpstr>
      <vt:lpstr>'x-204'!TABLE_CLIENT_1</vt:lpstr>
      <vt:lpstr>'x-205'!TABLE_CLIENT_1</vt:lpstr>
      <vt:lpstr>'x-206'!TABLE_CLIENT_1</vt:lpstr>
      <vt:lpstr>'x-207'!TABLE_CLIENT_1</vt:lpstr>
      <vt:lpstr>'x-208'!TABLE_CLIENT_1</vt:lpstr>
      <vt:lpstr>'x-209'!TABLE_CLIENT_1</vt:lpstr>
      <vt:lpstr>'x-210'!TABLE_CLIENT_1</vt:lpstr>
      <vt:lpstr>'x-211'!TABLE_CLIENT_1</vt:lpstr>
      <vt:lpstr>'x-212'!TABLE_CLIENT_1</vt:lpstr>
      <vt:lpstr>'x-213'!TABLE_CLIENT_1</vt:lpstr>
      <vt:lpstr>'x-214'!TABLE_CLIENT_1</vt:lpstr>
      <vt:lpstr>'x-215'!TABLE_CLIENT_1</vt:lpstr>
      <vt:lpstr>'x-220'!TABLE_CLIENT_1</vt:lpstr>
      <vt:lpstr>'x-221'!TABLE_CLIENT_1</vt:lpstr>
      <vt:lpstr>'x-301'!TABLE_CLIENT_1</vt:lpstr>
      <vt:lpstr>'x-302'!TABLE_CLIENT_1</vt:lpstr>
      <vt:lpstr>'x-303'!TABLE_CLIENT_1</vt:lpstr>
      <vt:lpstr>'x-304'!TABLE_CLIENT_1</vt:lpstr>
      <vt:lpstr>'x-305'!TABLE_CLIENT_1</vt:lpstr>
      <vt:lpstr>'x-306'!TABLE_CLIENT_1</vt:lpstr>
      <vt:lpstr>'x-307'!TABLE_CLIENT_1</vt:lpstr>
      <vt:lpstr>'x-308'!TABLE_CLIENT_1</vt:lpstr>
      <vt:lpstr>'x-309'!TABLE_CLIENT_1</vt:lpstr>
      <vt:lpstr>'x-310'!TABLE_CLIENT_1</vt:lpstr>
      <vt:lpstr>'x-311'!TABLE_CLIENT_1</vt:lpstr>
      <vt:lpstr>'x-312'!TABLE_CLIENT_1</vt:lpstr>
      <vt:lpstr>'x-313'!TABLE_CLIENT_1</vt:lpstr>
      <vt:lpstr>'x-314'!TABLE_CLIENT_1</vt:lpstr>
      <vt:lpstr>'x-315'!TABLE_CLIENT_1</vt:lpstr>
      <vt:lpstr>'x-316'!TABLE_CLIENT_1</vt:lpstr>
      <vt:lpstr>'x-317'!TABLE_CLIENT_1</vt:lpstr>
      <vt:lpstr>'x-318'!TABLE_CLIENT_1</vt:lpstr>
      <vt:lpstr>'x-319'!TABLE_CLIENT_1</vt:lpstr>
      <vt:lpstr>'x-320'!TABLE_CLIENT_1</vt:lpstr>
      <vt:lpstr>'x-321'!TABLE_CLIENT_1</vt:lpstr>
      <vt:lpstr>'x-322'!TABLE_CLIENT_1</vt:lpstr>
      <vt:lpstr>'x-323'!TABLE_CLIENT_1</vt:lpstr>
      <vt:lpstr>'x-324'!TABLE_CLIENT_1</vt:lpstr>
      <vt:lpstr>'x-325'!TABLE_CLIENT_1</vt:lpstr>
      <vt:lpstr>'x-326'!TABLE_CLIENT_1</vt:lpstr>
      <vt:lpstr>'x-327'!TABLE_CLIENT_1</vt:lpstr>
      <vt:lpstr>'x-328'!TABLE_CLIENT_1</vt:lpstr>
      <vt:lpstr>'x-401'!TABLE_CLIENT_1</vt:lpstr>
      <vt:lpstr>'x-403'!TABLE_CLIENT_1</vt:lpstr>
      <vt:lpstr>'x-404'!TABLE_CLIENT_1</vt:lpstr>
      <vt:lpstr>'x-405'!TABLE_CLIENT_1</vt:lpstr>
      <vt:lpstr>'x-406'!TABLE_CLIENT_1</vt:lpstr>
      <vt:lpstr>'x-407'!TABLE_CLIENT_1</vt:lpstr>
      <vt:lpstr>'x-501'!TABLE_CLIENT_1</vt:lpstr>
      <vt:lpstr>'x-502'!TABLE_CLIENT_1</vt:lpstr>
      <vt:lpstr>'x-503'!TABLE_CLIENT_1</vt:lpstr>
      <vt:lpstr>'x-504'!TABLE_CLIENT_1</vt:lpstr>
      <vt:lpstr>'x-505'!TABLE_CLIENT_1</vt:lpstr>
      <vt:lpstr>'x-506'!TABLE_CLIENT_1</vt:lpstr>
      <vt:lpstr>'x-603'!TABLE_CLIENT_1</vt:lpstr>
      <vt:lpstr>'x-604'!TABLE_CLIENT_1</vt:lpstr>
      <vt:lpstr>'x-605'!TABLE_CLIENT_1</vt:lpstr>
      <vt:lpstr>'x-606'!TABLE_CLIENT_1</vt:lpstr>
      <vt:lpstr>'x-607'!TABLE_CLIENT_1</vt:lpstr>
      <vt:lpstr>'x-608'!TABLE_CLIENT_1</vt:lpstr>
      <vt:lpstr>'x-609'!TABLE_CLIENT_1</vt:lpstr>
      <vt:lpstr>'x-610'!TABLE_CLIENT_1</vt:lpstr>
      <vt:lpstr>'x-611'!TABLE_CLIENT_1</vt:lpstr>
      <vt:lpstr>'x-612'!TABLE_CLIENT_1</vt:lpstr>
      <vt:lpstr>'x-613'!TABLE_CLIENT_1</vt:lpstr>
      <vt:lpstr>'x-614'!TABLE_CLIENT_1</vt:lpstr>
      <vt:lpstr>'x-615'!TABLE_CLIENT_1</vt:lpstr>
      <vt:lpstr>'x-616'!TABLE_CLIENT_1</vt:lpstr>
      <vt:lpstr>'x-617'!TABLE_CLIENT_1</vt:lpstr>
      <vt:lpstr>'x-618'!TABLE_CLIENT_1</vt:lpstr>
      <vt:lpstr>'x-619'!TABLE_CLIENT_1</vt:lpstr>
      <vt:lpstr>'x-620'!TABLE_CLIENT_1</vt:lpstr>
      <vt:lpstr>'x-621'!TABLE_CLIENT_1</vt:lpstr>
      <vt:lpstr>'x-622'!TABLE_CLIENT_1</vt:lpstr>
      <vt:lpstr>'x-623'!TABLE_CLIENT_1</vt:lpstr>
      <vt:lpstr>'x-624'!TABLE_CLIENT_1</vt:lpstr>
      <vt:lpstr>'x-625'!TABLE_CLIENT_1</vt:lpstr>
      <vt:lpstr>'x-626'!TABLE_CLIENT_1</vt:lpstr>
      <vt:lpstr>'x-627'!TABLE_CLIENT_1</vt:lpstr>
      <vt:lpstr>'x-701'!TABLE_CLIENT_1</vt:lpstr>
      <vt:lpstr>'x-702'!TABLE_CLIENT_1</vt:lpstr>
      <vt:lpstr>'x-802'!TABLE_CLIENT_1</vt:lpstr>
      <vt:lpstr>'x-701'!TABLE_CLIENT_2</vt:lpstr>
      <vt:lpstr>'x-802'!TABLE_CLIENT_2</vt:lpstr>
      <vt:lpstr>'x-802'!TABLE_CLIENT_3</vt:lpstr>
      <vt:lpstr>TABLE_DATE_IMPLEMENTED</vt:lpstr>
      <vt:lpstr>'x-201'!TABLE_DATE_IMPLEMENTED_1</vt:lpstr>
      <vt:lpstr>'x-202'!TABLE_DATE_IMPLEMENTED_1</vt:lpstr>
      <vt:lpstr>'x-203'!TABLE_DATE_IMPLEMENTED_1</vt:lpstr>
      <vt:lpstr>'x-204'!TABLE_DATE_IMPLEMENTED_1</vt:lpstr>
      <vt:lpstr>'x-205'!TABLE_DATE_IMPLEMENTED_1</vt:lpstr>
      <vt:lpstr>'x-206'!TABLE_DATE_IMPLEMENTED_1</vt:lpstr>
      <vt:lpstr>'x-207'!TABLE_DATE_IMPLEMENTED_1</vt:lpstr>
      <vt:lpstr>'x-208'!TABLE_DATE_IMPLEMENTED_1</vt:lpstr>
      <vt:lpstr>'x-209'!TABLE_DATE_IMPLEMENTED_1</vt:lpstr>
      <vt:lpstr>'x-210'!TABLE_DATE_IMPLEMENTED_1</vt:lpstr>
      <vt:lpstr>'x-211'!TABLE_DATE_IMPLEMENTED_1</vt:lpstr>
      <vt:lpstr>'x-212'!TABLE_DATE_IMPLEMENTED_1</vt:lpstr>
      <vt:lpstr>'x-213'!TABLE_DATE_IMPLEMENTED_1</vt:lpstr>
      <vt:lpstr>'x-214'!TABLE_DATE_IMPLEMENTED_1</vt:lpstr>
      <vt:lpstr>'x-215'!TABLE_DATE_IMPLEMENTED_1</vt:lpstr>
      <vt:lpstr>'x-220'!TABLE_DATE_IMPLEMENTED_1</vt:lpstr>
      <vt:lpstr>'x-221'!TABLE_DATE_IMPLEMENTED_1</vt:lpstr>
      <vt:lpstr>'x-301'!TABLE_DATE_IMPLEMENTED_1</vt:lpstr>
      <vt:lpstr>'x-302'!TABLE_DATE_IMPLEMENTED_1</vt:lpstr>
      <vt:lpstr>'x-303'!TABLE_DATE_IMPLEMENTED_1</vt:lpstr>
      <vt:lpstr>'x-304'!TABLE_DATE_IMPLEMENTED_1</vt:lpstr>
      <vt:lpstr>'x-305'!TABLE_DATE_IMPLEMENTED_1</vt:lpstr>
      <vt:lpstr>'x-306'!TABLE_DATE_IMPLEMENTED_1</vt:lpstr>
      <vt:lpstr>'x-307'!TABLE_DATE_IMPLEMENTED_1</vt:lpstr>
      <vt:lpstr>'x-308'!TABLE_DATE_IMPLEMENTED_1</vt:lpstr>
      <vt:lpstr>'x-309'!TABLE_DATE_IMPLEMENTED_1</vt:lpstr>
      <vt:lpstr>'x-310'!TABLE_DATE_IMPLEMENTED_1</vt:lpstr>
      <vt:lpstr>'x-311'!TABLE_DATE_IMPLEMENTED_1</vt:lpstr>
      <vt:lpstr>'x-312'!TABLE_DATE_IMPLEMENTED_1</vt:lpstr>
      <vt:lpstr>'x-313'!TABLE_DATE_IMPLEMENTED_1</vt:lpstr>
      <vt:lpstr>'x-314'!TABLE_DATE_IMPLEMENTED_1</vt:lpstr>
      <vt:lpstr>'x-315'!TABLE_DATE_IMPLEMENTED_1</vt:lpstr>
      <vt:lpstr>'x-316'!TABLE_DATE_IMPLEMENTED_1</vt:lpstr>
      <vt:lpstr>'x-317'!TABLE_DATE_IMPLEMENTED_1</vt:lpstr>
      <vt:lpstr>'x-318'!TABLE_DATE_IMPLEMENTED_1</vt:lpstr>
      <vt:lpstr>'x-319'!TABLE_DATE_IMPLEMENTED_1</vt:lpstr>
      <vt:lpstr>'x-320'!TABLE_DATE_IMPLEMENTED_1</vt:lpstr>
      <vt:lpstr>'x-321'!TABLE_DATE_IMPLEMENTED_1</vt:lpstr>
      <vt:lpstr>'x-322'!TABLE_DATE_IMPLEMENTED_1</vt:lpstr>
      <vt:lpstr>'x-323'!TABLE_DATE_IMPLEMENTED_1</vt:lpstr>
      <vt:lpstr>'x-324'!TABLE_DATE_IMPLEMENTED_1</vt:lpstr>
      <vt:lpstr>'x-325'!TABLE_DATE_IMPLEMENTED_1</vt:lpstr>
      <vt:lpstr>'x-326'!TABLE_DATE_IMPLEMENTED_1</vt:lpstr>
      <vt:lpstr>'x-327'!TABLE_DATE_IMPLEMENTED_1</vt:lpstr>
      <vt:lpstr>'x-328'!TABLE_DATE_IMPLEMENTED_1</vt:lpstr>
      <vt:lpstr>'x-401'!TABLE_DATE_IMPLEMENTED_1</vt:lpstr>
      <vt:lpstr>'x-403'!TABLE_DATE_IMPLEMENTED_1</vt:lpstr>
      <vt:lpstr>'x-404'!TABLE_DATE_IMPLEMENTED_1</vt:lpstr>
      <vt:lpstr>'x-405'!TABLE_DATE_IMPLEMENTED_1</vt:lpstr>
      <vt:lpstr>'x-406'!TABLE_DATE_IMPLEMENTED_1</vt:lpstr>
      <vt:lpstr>'x-407'!TABLE_DATE_IMPLEMENTED_1</vt:lpstr>
      <vt:lpstr>'x-501'!TABLE_DATE_IMPLEMENTED_1</vt:lpstr>
      <vt:lpstr>'x-502'!TABLE_DATE_IMPLEMENTED_1</vt:lpstr>
      <vt:lpstr>'x-503'!TABLE_DATE_IMPLEMENTED_1</vt:lpstr>
      <vt:lpstr>'x-504'!TABLE_DATE_IMPLEMENTED_1</vt:lpstr>
      <vt:lpstr>'x-505'!TABLE_DATE_IMPLEMENTED_1</vt:lpstr>
      <vt:lpstr>'x-506'!TABLE_DATE_IMPLEMENTED_1</vt:lpstr>
      <vt:lpstr>'x-603'!TABLE_DATE_IMPLEMENTED_1</vt:lpstr>
      <vt:lpstr>'x-604'!TABLE_DATE_IMPLEMENTED_1</vt:lpstr>
      <vt:lpstr>'x-605'!TABLE_DATE_IMPLEMENTED_1</vt:lpstr>
      <vt:lpstr>'x-606'!TABLE_DATE_IMPLEMENTED_1</vt:lpstr>
      <vt:lpstr>'x-607'!TABLE_DATE_IMPLEMENTED_1</vt:lpstr>
      <vt:lpstr>'x-608'!TABLE_DATE_IMPLEMENTED_1</vt:lpstr>
      <vt:lpstr>'x-609'!TABLE_DATE_IMPLEMENTED_1</vt:lpstr>
      <vt:lpstr>'x-610'!TABLE_DATE_IMPLEMENTED_1</vt:lpstr>
      <vt:lpstr>'x-611'!TABLE_DATE_IMPLEMENTED_1</vt:lpstr>
      <vt:lpstr>'x-612'!TABLE_DATE_IMPLEMENTED_1</vt:lpstr>
      <vt:lpstr>'x-613'!TABLE_DATE_IMPLEMENTED_1</vt:lpstr>
      <vt:lpstr>'x-614'!TABLE_DATE_IMPLEMENTED_1</vt:lpstr>
      <vt:lpstr>'x-615'!TABLE_DATE_IMPLEMENTED_1</vt:lpstr>
      <vt:lpstr>'x-616'!TABLE_DATE_IMPLEMENTED_1</vt:lpstr>
      <vt:lpstr>'x-617'!TABLE_DATE_IMPLEMENTED_1</vt:lpstr>
      <vt:lpstr>'x-618'!TABLE_DATE_IMPLEMENTED_1</vt:lpstr>
      <vt:lpstr>'x-619'!TABLE_DATE_IMPLEMENTED_1</vt:lpstr>
      <vt:lpstr>'x-620'!TABLE_DATE_IMPLEMENTED_1</vt:lpstr>
      <vt:lpstr>'x-621'!TABLE_DATE_IMPLEMENTED_1</vt:lpstr>
      <vt:lpstr>'x-622'!TABLE_DATE_IMPLEMENTED_1</vt:lpstr>
      <vt:lpstr>'x-623'!TABLE_DATE_IMPLEMENTED_1</vt:lpstr>
      <vt:lpstr>'x-624'!TABLE_DATE_IMPLEMENTED_1</vt:lpstr>
      <vt:lpstr>'x-625'!TABLE_DATE_IMPLEMENTED_1</vt:lpstr>
      <vt:lpstr>'x-626'!TABLE_DATE_IMPLEMENTED_1</vt:lpstr>
      <vt:lpstr>'x-627'!TABLE_DATE_IMPLEMENTED_1</vt:lpstr>
      <vt:lpstr>'x-701'!TABLE_DATE_IMPLEMENTED_1</vt:lpstr>
      <vt:lpstr>'x-702'!TABLE_DATE_IMPLEMENTED_1</vt:lpstr>
      <vt:lpstr>'x-802'!TABLE_DATE_IMPLEMENTED_1</vt:lpstr>
      <vt:lpstr>'x-701'!TABLE_DATE_IMPLEMENTED_2</vt:lpstr>
      <vt:lpstr>'x-802'!TABLE_DATE_IMPLEMENTED_2</vt:lpstr>
      <vt:lpstr>'x-802'!TABLE_DATE_IMPLEMENTED_3</vt:lpstr>
      <vt:lpstr>TABLE_DATE_ISSUED</vt:lpstr>
      <vt:lpstr>'x-201'!TABLE_DATE_ISSUED_1</vt:lpstr>
      <vt:lpstr>'x-202'!TABLE_DATE_ISSUED_1</vt:lpstr>
      <vt:lpstr>'x-203'!TABLE_DATE_ISSUED_1</vt:lpstr>
      <vt:lpstr>'x-204'!TABLE_DATE_ISSUED_1</vt:lpstr>
      <vt:lpstr>'x-205'!TABLE_DATE_ISSUED_1</vt:lpstr>
      <vt:lpstr>'x-206'!TABLE_DATE_ISSUED_1</vt:lpstr>
      <vt:lpstr>'x-207'!TABLE_DATE_ISSUED_1</vt:lpstr>
      <vt:lpstr>'x-208'!TABLE_DATE_ISSUED_1</vt:lpstr>
      <vt:lpstr>'x-209'!TABLE_DATE_ISSUED_1</vt:lpstr>
      <vt:lpstr>'x-210'!TABLE_DATE_ISSUED_1</vt:lpstr>
      <vt:lpstr>'x-211'!TABLE_DATE_ISSUED_1</vt:lpstr>
      <vt:lpstr>'x-212'!TABLE_DATE_ISSUED_1</vt:lpstr>
      <vt:lpstr>'x-213'!TABLE_DATE_ISSUED_1</vt:lpstr>
      <vt:lpstr>'x-214'!TABLE_DATE_ISSUED_1</vt:lpstr>
      <vt:lpstr>'x-215'!TABLE_DATE_ISSUED_1</vt:lpstr>
      <vt:lpstr>'x-220'!TABLE_DATE_ISSUED_1</vt:lpstr>
      <vt:lpstr>'x-221'!TABLE_DATE_ISSUED_1</vt:lpstr>
      <vt:lpstr>'x-301'!TABLE_DATE_ISSUED_1</vt:lpstr>
      <vt:lpstr>'x-302'!TABLE_DATE_ISSUED_1</vt:lpstr>
      <vt:lpstr>'x-303'!TABLE_DATE_ISSUED_1</vt:lpstr>
      <vt:lpstr>'x-304'!TABLE_DATE_ISSUED_1</vt:lpstr>
      <vt:lpstr>'x-305'!TABLE_DATE_ISSUED_1</vt:lpstr>
      <vt:lpstr>'x-306'!TABLE_DATE_ISSUED_1</vt:lpstr>
      <vt:lpstr>'x-307'!TABLE_DATE_ISSUED_1</vt:lpstr>
      <vt:lpstr>'x-308'!TABLE_DATE_ISSUED_1</vt:lpstr>
      <vt:lpstr>'x-309'!TABLE_DATE_ISSUED_1</vt:lpstr>
      <vt:lpstr>'x-310'!TABLE_DATE_ISSUED_1</vt:lpstr>
      <vt:lpstr>'x-311'!TABLE_DATE_ISSUED_1</vt:lpstr>
      <vt:lpstr>'x-312'!TABLE_DATE_ISSUED_1</vt:lpstr>
      <vt:lpstr>'x-313'!TABLE_DATE_ISSUED_1</vt:lpstr>
      <vt:lpstr>'x-314'!TABLE_DATE_ISSUED_1</vt:lpstr>
      <vt:lpstr>'x-315'!TABLE_DATE_ISSUED_1</vt:lpstr>
      <vt:lpstr>'x-316'!TABLE_DATE_ISSUED_1</vt:lpstr>
      <vt:lpstr>'x-317'!TABLE_DATE_ISSUED_1</vt:lpstr>
      <vt:lpstr>'x-318'!TABLE_DATE_ISSUED_1</vt:lpstr>
      <vt:lpstr>'x-319'!TABLE_DATE_ISSUED_1</vt:lpstr>
      <vt:lpstr>'x-320'!TABLE_DATE_ISSUED_1</vt:lpstr>
      <vt:lpstr>'x-321'!TABLE_DATE_ISSUED_1</vt:lpstr>
      <vt:lpstr>'x-322'!TABLE_DATE_ISSUED_1</vt:lpstr>
      <vt:lpstr>'x-323'!TABLE_DATE_ISSUED_1</vt:lpstr>
      <vt:lpstr>'x-324'!TABLE_DATE_ISSUED_1</vt:lpstr>
      <vt:lpstr>'x-325'!TABLE_DATE_ISSUED_1</vt:lpstr>
      <vt:lpstr>'x-326'!TABLE_DATE_ISSUED_1</vt:lpstr>
      <vt:lpstr>'x-327'!TABLE_DATE_ISSUED_1</vt:lpstr>
      <vt:lpstr>'x-328'!TABLE_DATE_ISSUED_1</vt:lpstr>
      <vt:lpstr>'x-401'!TABLE_DATE_ISSUED_1</vt:lpstr>
      <vt:lpstr>'x-403'!TABLE_DATE_ISSUED_1</vt:lpstr>
      <vt:lpstr>'x-404'!TABLE_DATE_ISSUED_1</vt:lpstr>
      <vt:lpstr>'x-405'!TABLE_DATE_ISSUED_1</vt:lpstr>
      <vt:lpstr>'x-406'!TABLE_DATE_ISSUED_1</vt:lpstr>
      <vt:lpstr>'x-407'!TABLE_DATE_ISSUED_1</vt:lpstr>
      <vt:lpstr>'x-501'!TABLE_DATE_ISSUED_1</vt:lpstr>
      <vt:lpstr>'x-502'!TABLE_DATE_ISSUED_1</vt:lpstr>
      <vt:lpstr>'x-503'!TABLE_DATE_ISSUED_1</vt:lpstr>
      <vt:lpstr>'x-504'!TABLE_DATE_ISSUED_1</vt:lpstr>
      <vt:lpstr>'x-505'!TABLE_DATE_ISSUED_1</vt:lpstr>
      <vt:lpstr>'x-506'!TABLE_DATE_ISSUED_1</vt:lpstr>
      <vt:lpstr>'x-603'!TABLE_DATE_ISSUED_1</vt:lpstr>
      <vt:lpstr>'x-604'!TABLE_DATE_ISSUED_1</vt:lpstr>
      <vt:lpstr>'x-605'!TABLE_DATE_ISSUED_1</vt:lpstr>
      <vt:lpstr>'x-606'!TABLE_DATE_ISSUED_1</vt:lpstr>
      <vt:lpstr>'x-607'!TABLE_DATE_ISSUED_1</vt:lpstr>
      <vt:lpstr>'x-608'!TABLE_DATE_ISSUED_1</vt:lpstr>
      <vt:lpstr>'x-609'!TABLE_DATE_ISSUED_1</vt:lpstr>
      <vt:lpstr>'x-610'!TABLE_DATE_ISSUED_1</vt:lpstr>
      <vt:lpstr>'x-611'!TABLE_DATE_ISSUED_1</vt:lpstr>
      <vt:lpstr>'x-612'!TABLE_DATE_ISSUED_1</vt:lpstr>
      <vt:lpstr>'x-613'!TABLE_DATE_ISSUED_1</vt:lpstr>
      <vt:lpstr>'x-614'!TABLE_DATE_ISSUED_1</vt:lpstr>
      <vt:lpstr>'x-615'!TABLE_DATE_ISSUED_1</vt:lpstr>
      <vt:lpstr>'x-616'!TABLE_DATE_ISSUED_1</vt:lpstr>
      <vt:lpstr>'x-617'!TABLE_DATE_ISSUED_1</vt:lpstr>
      <vt:lpstr>'x-618'!TABLE_DATE_ISSUED_1</vt:lpstr>
      <vt:lpstr>'x-619'!TABLE_DATE_ISSUED_1</vt:lpstr>
      <vt:lpstr>'x-620'!TABLE_DATE_ISSUED_1</vt:lpstr>
      <vt:lpstr>'x-621'!TABLE_DATE_ISSUED_1</vt:lpstr>
      <vt:lpstr>'x-622'!TABLE_DATE_ISSUED_1</vt:lpstr>
      <vt:lpstr>'x-623'!TABLE_DATE_ISSUED_1</vt:lpstr>
      <vt:lpstr>'x-624'!TABLE_DATE_ISSUED_1</vt:lpstr>
      <vt:lpstr>'x-625'!TABLE_DATE_ISSUED_1</vt:lpstr>
      <vt:lpstr>'x-626'!TABLE_DATE_ISSUED_1</vt:lpstr>
      <vt:lpstr>'x-627'!TABLE_DATE_ISSUED_1</vt:lpstr>
      <vt:lpstr>'x-701'!TABLE_DATE_ISSUED_1</vt:lpstr>
      <vt:lpstr>'x-702'!TABLE_DATE_ISSUED_1</vt:lpstr>
      <vt:lpstr>'x-802'!TABLE_DATE_ISSUED_1</vt:lpstr>
      <vt:lpstr>'x-701'!TABLE_DATE_ISSUED_2</vt:lpstr>
      <vt:lpstr>'x-802'!TABLE_DATE_ISSUED_2</vt:lpstr>
      <vt:lpstr>'x-802'!TABLE_DATE_ISSUED_3</vt:lpstr>
      <vt:lpstr>TABLE_DESCRIPTION</vt:lpstr>
      <vt:lpstr>'x-201'!TABLE_DESCRIPTION_1</vt:lpstr>
      <vt:lpstr>'x-202'!TABLE_DESCRIPTION_1</vt:lpstr>
      <vt:lpstr>'x-203'!TABLE_DESCRIPTION_1</vt:lpstr>
      <vt:lpstr>'x-204'!TABLE_DESCRIPTION_1</vt:lpstr>
      <vt:lpstr>'x-205'!TABLE_DESCRIPTION_1</vt:lpstr>
      <vt:lpstr>'x-206'!TABLE_DESCRIPTION_1</vt:lpstr>
      <vt:lpstr>'x-207'!TABLE_DESCRIPTION_1</vt:lpstr>
      <vt:lpstr>'x-208'!TABLE_DESCRIPTION_1</vt:lpstr>
      <vt:lpstr>'x-209'!TABLE_DESCRIPTION_1</vt:lpstr>
      <vt:lpstr>'x-210'!TABLE_DESCRIPTION_1</vt:lpstr>
      <vt:lpstr>'x-211'!TABLE_DESCRIPTION_1</vt:lpstr>
      <vt:lpstr>'x-212'!TABLE_DESCRIPTION_1</vt:lpstr>
      <vt:lpstr>'x-213'!TABLE_DESCRIPTION_1</vt:lpstr>
      <vt:lpstr>'x-214'!TABLE_DESCRIPTION_1</vt:lpstr>
      <vt:lpstr>'x-215'!TABLE_DESCRIPTION_1</vt:lpstr>
      <vt:lpstr>'x-220'!TABLE_DESCRIPTION_1</vt:lpstr>
      <vt:lpstr>'x-221'!TABLE_DESCRIPTION_1</vt:lpstr>
      <vt:lpstr>'x-301'!TABLE_DESCRIPTION_1</vt:lpstr>
      <vt:lpstr>'x-302'!TABLE_DESCRIPTION_1</vt:lpstr>
      <vt:lpstr>'x-303'!TABLE_DESCRIPTION_1</vt:lpstr>
      <vt:lpstr>'x-304'!TABLE_DESCRIPTION_1</vt:lpstr>
      <vt:lpstr>'x-305'!TABLE_DESCRIPTION_1</vt:lpstr>
      <vt:lpstr>'x-306'!TABLE_DESCRIPTION_1</vt:lpstr>
      <vt:lpstr>'x-307'!TABLE_DESCRIPTION_1</vt:lpstr>
      <vt:lpstr>'x-308'!TABLE_DESCRIPTION_1</vt:lpstr>
      <vt:lpstr>'x-309'!TABLE_DESCRIPTION_1</vt:lpstr>
      <vt:lpstr>'x-310'!TABLE_DESCRIPTION_1</vt:lpstr>
      <vt:lpstr>'x-311'!TABLE_DESCRIPTION_1</vt:lpstr>
      <vt:lpstr>'x-312'!TABLE_DESCRIPTION_1</vt:lpstr>
      <vt:lpstr>'x-313'!TABLE_DESCRIPTION_1</vt:lpstr>
      <vt:lpstr>'x-314'!TABLE_DESCRIPTION_1</vt:lpstr>
      <vt:lpstr>'x-315'!TABLE_DESCRIPTION_1</vt:lpstr>
      <vt:lpstr>'x-316'!TABLE_DESCRIPTION_1</vt:lpstr>
      <vt:lpstr>'x-317'!TABLE_DESCRIPTION_1</vt:lpstr>
      <vt:lpstr>'x-318'!TABLE_DESCRIPTION_1</vt:lpstr>
      <vt:lpstr>'x-319'!TABLE_DESCRIPTION_1</vt:lpstr>
      <vt:lpstr>'x-320'!TABLE_DESCRIPTION_1</vt:lpstr>
      <vt:lpstr>'x-321'!TABLE_DESCRIPTION_1</vt:lpstr>
      <vt:lpstr>'x-322'!TABLE_DESCRIPTION_1</vt:lpstr>
      <vt:lpstr>'x-323'!TABLE_DESCRIPTION_1</vt:lpstr>
      <vt:lpstr>'x-324'!TABLE_DESCRIPTION_1</vt:lpstr>
      <vt:lpstr>'x-325'!TABLE_DESCRIPTION_1</vt:lpstr>
      <vt:lpstr>'x-326'!TABLE_DESCRIPTION_1</vt:lpstr>
      <vt:lpstr>'x-327'!TABLE_DESCRIPTION_1</vt:lpstr>
      <vt:lpstr>'x-328'!TABLE_DESCRIPTION_1</vt:lpstr>
      <vt:lpstr>'x-401'!TABLE_DESCRIPTION_1</vt:lpstr>
      <vt:lpstr>'x-403'!TABLE_DESCRIPTION_1</vt:lpstr>
      <vt:lpstr>'x-404'!TABLE_DESCRIPTION_1</vt:lpstr>
      <vt:lpstr>'x-405'!TABLE_DESCRIPTION_1</vt:lpstr>
      <vt:lpstr>'x-406'!TABLE_DESCRIPTION_1</vt:lpstr>
      <vt:lpstr>'x-407'!TABLE_DESCRIPTION_1</vt:lpstr>
      <vt:lpstr>'x-501'!TABLE_DESCRIPTION_1</vt:lpstr>
      <vt:lpstr>'x-502'!TABLE_DESCRIPTION_1</vt:lpstr>
      <vt:lpstr>'x-503'!TABLE_DESCRIPTION_1</vt:lpstr>
      <vt:lpstr>'x-504'!TABLE_DESCRIPTION_1</vt:lpstr>
      <vt:lpstr>'x-505'!TABLE_DESCRIPTION_1</vt:lpstr>
      <vt:lpstr>'x-506'!TABLE_DESCRIPTION_1</vt:lpstr>
      <vt:lpstr>'x-603'!TABLE_DESCRIPTION_1</vt:lpstr>
      <vt:lpstr>'x-604'!TABLE_DESCRIPTION_1</vt:lpstr>
      <vt:lpstr>'x-605'!TABLE_DESCRIPTION_1</vt:lpstr>
      <vt:lpstr>'x-606'!TABLE_DESCRIPTION_1</vt:lpstr>
      <vt:lpstr>'x-607'!TABLE_DESCRIPTION_1</vt:lpstr>
      <vt:lpstr>'x-608'!TABLE_DESCRIPTION_1</vt:lpstr>
      <vt:lpstr>'x-609'!TABLE_DESCRIPTION_1</vt:lpstr>
      <vt:lpstr>'x-610'!TABLE_DESCRIPTION_1</vt:lpstr>
      <vt:lpstr>'x-611'!TABLE_DESCRIPTION_1</vt:lpstr>
      <vt:lpstr>'x-612'!TABLE_DESCRIPTION_1</vt:lpstr>
      <vt:lpstr>'x-613'!TABLE_DESCRIPTION_1</vt:lpstr>
      <vt:lpstr>'x-614'!TABLE_DESCRIPTION_1</vt:lpstr>
      <vt:lpstr>'x-615'!TABLE_DESCRIPTION_1</vt:lpstr>
      <vt:lpstr>'x-616'!TABLE_DESCRIPTION_1</vt:lpstr>
      <vt:lpstr>'x-617'!TABLE_DESCRIPTION_1</vt:lpstr>
      <vt:lpstr>'x-618'!TABLE_DESCRIPTION_1</vt:lpstr>
      <vt:lpstr>'x-619'!TABLE_DESCRIPTION_1</vt:lpstr>
      <vt:lpstr>'x-620'!TABLE_DESCRIPTION_1</vt:lpstr>
      <vt:lpstr>'x-621'!TABLE_DESCRIPTION_1</vt:lpstr>
      <vt:lpstr>'x-622'!TABLE_DESCRIPTION_1</vt:lpstr>
      <vt:lpstr>'x-623'!TABLE_DESCRIPTION_1</vt:lpstr>
      <vt:lpstr>'x-624'!TABLE_DESCRIPTION_1</vt:lpstr>
      <vt:lpstr>'x-625'!TABLE_DESCRIPTION_1</vt:lpstr>
      <vt:lpstr>'x-626'!TABLE_DESCRIPTION_1</vt:lpstr>
      <vt:lpstr>'x-627'!TABLE_DESCRIPTION_1</vt:lpstr>
      <vt:lpstr>'x-701'!TABLE_DESCRIPTION_1</vt:lpstr>
      <vt:lpstr>'x-702'!TABLE_DESCRIPTION_1</vt:lpstr>
      <vt:lpstr>'x-802'!TABLE_DESCRIPTION_1</vt:lpstr>
      <vt:lpstr>'x-701'!TABLE_DESCRIPTION_2</vt:lpstr>
      <vt:lpstr>'x-802'!TABLE_DESCRIPTION_2</vt:lpstr>
      <vt:lpstr>'x-802'!TABLE_DESCRIPTION_3</vt:lpstr>
      <vt:lpstr>TABLE_FACTOR_STATUS</vt:lpstr>
      <vt:lpstr>'x-201'!TABLE_FACTOR_STATUS_1</vt:lpstr>
      <vt:lpstr>'x-202'!TABLE_FACTOR_STATUS_1</vt:lpstr>
      <vt:lpstr>'x-203'!TABLE_FACTOR_STATUS_1</vt:lpstr>
      <vt:lpstr>'x-204'!TABLE_FACTOR_STATUS_1</vt:lpstr>
      <vt:lpstr>'x-205'!TABLE_FACTOR_STATUS_1</vt:lpstr>
      <vt:lpstr>'x-206'!TABLE_FACTOR_STATUS_1</vt:lpstr>
      <vt:lpstr>'x-207'!TABLE_FACTOR_STATUS_1</vt:lpstr>
      <vt:lpstr>'x-208'!TABLE_FACTOR_STATUS_1</vt:lpstr>
      <vt:lpstr>'x-209'!TABLE_FACTOR_STATUS_1</vt:lpstr>
      <vt:lpstr>'x-210'!TABLE_FACTOR_STATUS_1</vt:lpstr>
      <vt:lpstr>'x-211'!TABLE_FACTOR_STATUS_1</vt:lpstr>
      <vt:lpstr>'x-212'!TABLE_FACTOR_STATUS_1</vt:lpstr>
      <vt:lpstr>'x-213'!TABLE_FACTOR_STATUS_1</vt:lpstr>
      <vt:lpstr>'x-214'!TABLE_FACTOR_STATUS_1</vt:lpstr>
      <vt:lpstr>'x-215'!TABLE_FACTOR_STATUS_1</vt:lpstr>
      <vt:lpstr>'x-220'!TABLE_FACTOR_STATUS_1</vt:lpstr>
      <vt:lpstr>'x-221'!TABLE_FACTOR_STATUS_1</vt:lpstr>
      <vt:lpstr>'x-301'!TABLE_FACTOR_STATUS_1</vt:lpstr>
      <vt:lpstr>'x-302'!TABLE_FACTOR_STATUS_1</vt:lpstr>
      <vt:lpstr>'x-303'!TABLE_FACTOR_STATUS_1</vt:lpstr>
      <vt:lpstr>'x-304'!TABLE_FACTOR_STATUS_1</vt:lpstr>
      <vt:lpstr>'x-305'!TABLE_FACTOR_STATUS_1</vt:lpstr>
      <vt:lpstr>'x-306'!TABLE_FACTOR_STATUS_1</vt:lpstr>
      <vt:lpstr>'x-307'!TABLE_FACTOR_STATUS_1</vt:lpstr>
      <vt:lpstr>'x-308'!TABLE_FACTOR_STATUS_1</vt:lpstr>
      <vt:lpstr>'x-309'!TABLE_FACTOR_STATUS_1</vt:lpstr>
      <vt:lpstr>'x-310'!TABLE_FACTOR_STATUS_1</vt:lpstr>
      <vt:lpstr>'x-311'!TABLE_FACTOR_STATUS_1</vt:lpstr>
      <vt:lpstr>'x-312'!TABLE_FACTOR_STATUS_1</vt:lpstr>
      <vt:lpstr>'x-313'!TABLE_FACTOR_STATUS_1</vt:lpstr>
      <vt:lpstr>'x-314'!TABLE_FACTOR_STATUS_1</vt:lpstr>
      <vt:lpstr>'x-315'!TABLE_FACTOR_STATUS_1</vt:lpstr>
      <vt:lpstr>'x-316'!TABLE_FACTOR_STATUS_1</vt:lpstr>
      <vt:lpstr>'x-317'!TABLE_FACTOR_STATUS_1</vt:lpstr>
      <vt:lpstr>'x-318'!TABLE_FACTOR_STATUS_1</vt:lpstr>
      <vt:lpstr>'x-319'!TABLE_FACTOR_STATUS_1</vt:lpstr>
      <vt:lpstr>'x-320'!TABLE_FACTOR_STATUS_1</vt:lpstr>
      <vt:lpstr>'x-321'!TABLE_FACTOR_STATUS_1</vt:lpstr>
      <vt:lpstr>'x-322'!TABLE_FACTOR_STATUS_1</vt:lpstr>
      <vt:lpstr>'x-323'!TABLE_FACTOR_STATUS_1</vt:lpstr>
      <vt:lpstr>'x-324'!TABLE_FACTOR_STATUS_1</vt:lpstr>
      <vt:lpstr>'x-325'!TABLE_FACTOR_STATUS_1</vt:lpstr>
      <vt:lpstr>'x-326'!TABLE_FACTOR_STATUS_1</vt:lpstr>
      <vt:lpstr>'x-327'!TABLE_FACTOR_STATUS_1</vt:lpstr>
      <vt:lpstr>'x-328'!TABLE_FACTOR_STATUS_1</vt:lpstr>
      <vt:lpstr>'x-401'!TABLE_FACTOR_STATUS_1</vt:lpstr>
      <vt:lpstr>'x-403'!TABLE_FACTOR_STATUS_1</vt:lpstr>
      <vt:lpstr>'x-404'!TABLE_FACTOR_STATUS_1</vt:lpstr>
      <vt:lpstr>'x-405'!TABLE_FACTOR_STATUS_1</vt:lpstr>
      <vt:lpstr>'x-406'!TABLE_FACTOR_STATUS_1</vt:lpstr>
      <vt:lpstr>'x-407'!TABLE_FACTOR_STATUS_1</vt:lpstr>
      <vt:lpstr>'x-501'!TABLE_FACTOR_STATUS_1</vt:lpstr>
      <vt:lpstr>'x-502'!TABLE_FACTOR_STATUS_1</vt:lpstr>
      <vt:lpstr>'x-503'!TABLE_FACTOR_STATUS_1</vt:lpstr>
      <vt:lpstr>'x-504'!TABLE_FACTOR_STATUS_1</vt:lpstr>
      <vt:lpstr>'x-505'!TABLE_FACTOR_STATUS_1</vt:lpstr>
      <vt:lpstr>'x-506'!TABLE_FACTOR_STATUS_1</vt:lpstr>
      <vt:lpstr>'x-603'!TABLE_FACTOR_STATUS_1</vt:lpstr>
      <vt:lpstr>'x-604'!TABLE_FACTOR_STATUS_1</vt:lpstr>
      <vt:lpstr>'x-605'!TABLE_FACTOR_STATUS_1</vt:lpstr>
      <vt:lpstr>'x-606'!TABLE_FACTOR_STATUS_1</vt:lpstr>
      <vt:lpstr>'x-607'!TABLE_FACTOR_STATUS_1</vt:lpstr>
      <vt:lpstr>'x-608'!TABLE_FACTOR_STATUS_1</vt:lpstr>
      <vt:lpstr>'x-609'!TABLE_FACTOR_STATUS_1</vt:lpstr>
      <vt:lpstr>'x-610'!TABLE_FACTOR_STATUS_1</vt:lpstr>
      <vt:lpstr>'x-611'!TABLE_FACTOR_STATUS_1</vt:lpstr>
      <vt:lpstr>'x-612'!TABLE_FACTOR_STATUS_1</vt:lpstr>
      <vt:lpstr>'x-613'!TABLE_FACTOR_STATUS_1</vt:lpstr>
      <vt:lpstr>'x-614'!TABLE_FACTOR_STATUS_1</vt:lpstr>
      <vt:lpstr>'x-615'!TABLE_FACTOR_STATUS_1</vt:lpstr>
      <vt:lpstr>'x-616'!TABLE_FACTOR_STATUS_1</vt:lpstr>
      <vt:lpstr>'x-617'!TABLE_FACTOR_STATUS_1</vt:lpstr>
      <vt:lpstr>'x-618'!TABLE_FACTOR_STATUS_1</vt:lpstr>
      <vt:lpstr>'x-619'!TABLE_FACTOR_STATUS_1</vt:lpstr>
      <vt:lpstr>'x-620'!TABLE_FACTOR_STATUS_1</vt:lpstr>
      <vt:lpstr>'x-621'!TABLE_FACTOR_STATUS_1</vt:lpstr>
      <vt:lpstr>'x-622'!TABLE_FACTOR_STATUS_1</vt:lpstr>
      <vt:lpstr>'x-623'!TABLE_FACTOR_STATUS_1</vt:lpstr>
      <vt:lpstr>'x-624'!TABLE_FACTOR_STATUS_1</vt:lpstr>
      <vt:lpstr>'x-625'!TABLE_FACTOR_STATUS_1</vt:lpstr>
      <vt:lpstr>'x-626'!TABLE_FACTOR_STATUS_1</vt:lpstr>
      <vt:lpstr>'x-627'!TABLE_FACTOR_STATUS_1</vt:lpstr>
      <vt:lpstr>'x-701'!TABLE_FACTOR_STATUS_1</vt:lpstr>
      <vt:lpstr>'x-702'!TABLE_FACTOR_STATUS_1</vt:lpstr>
      <vt:lpstr>'x-802'!TABLE_FACTOR_STATUS_1</vt:lpstr>
      <vt:lpstr>'x-701'!TABLE_FACTOR_STATUS_2</vt:lpstr>
      <vt:lpstr>'x-802'!TABLE_FACTOR_STATUS_2</vt:lpstr>
      <vt:lpstr>'x-802'!TABLE_FACTOR_STATUS_3</vt:lpstr>
      <vt:lpstr>TABLE_FACTOR_TYPE</vt:lpstr>
      <vt:lpstr>'x-201'!TABLE_FACTOR_TYPE_1</vt:lpstr>
      <vt:lpstr>'x-202'!TABLE_FACTOR_TYPE_1</vt:lpstr>
      <vt:lpstr>'x-203'!TABLE_FACTOR_TYPE_1</vt:lpstr>
      <vt:lpstr>'x-204'!TABLE_FACTOR_TYPE_1</vt:lpstr>
      <vt:lpstr>'x-205'!TABLE_FACTOR_TYPE_1</vt:lpstr>
      <vt:lpstr>'x-206'!TABLE_FACTOR_TYPE_1</vt:lpstr>
      <vt:lpstr>'x-207'!TABLE_FACTOR_TYPE_1</vt:lpstr>
      <vt:lpstr>'x-208'!TABLE_FACTOR_TYPE_1</vt:lpstr>
      <vt:lpstr>'x-209'!TABLE_FACTOR_TYPE_1</vt:lpstr>
      <vt:lpstr>'x-210'!TABLE_FACTOR_TYPE_1</vt:lpstr>
      <vt:lpstr>'x-211'!TABLE_FACTOR_TYPE_1</vt:lpstr>
      <vt:lpstr>'x-212'!TABLE_FACTOR_TYPE_1</vt:lpstr>
      <vt:lpstr>'x-213'!TABLE_FACTOR_TYPE_1</vt:lpstr>
      <vt:lpstr>'x-214'!TABLE_FACTOR_TYPE_1</vt:lpstr>
      <vt:lpstr>'x-215'!TABLE_FACTOR_TYPE_1</vt:lpstr>
      <vt:lpstr>'x-220'!TABLE_FACTOR_TYPE_1</vt:lpstr>
      <vt:lpstr>'x-221'!TABLE_FACTOR_TYPE_1</vt:lpstr>
      <vt:lpstr>'x-301'!TABLE_FACTOR_TYPE_1</vt:lpstr>
      <vt:lpstr>'x-302'!TABLE_FACTOR_TYPE_1</vt:lpstr>
      <vt:lpstr>'x-303'!TABLE_FACTOR_TYPE_1</vt:lpstr>
      <vt:lpstr>'x-304'!TABLE_FACTOR_TYPE_1</vt:lpstr>
      <vt:lpstr>'x-305'!TABLE_FACTOR_TYPE_1</vt:lpstr>
      <vt:lpstr>'x-306'!TABLE_FACTOR_TYPE_1</vt:lpstr>
      <vt:lpstr>'x-307'!TABLE_FACTOR_TYPE_1</vt:lpstr>
      <vt:lpstr>'x-308'!TABLE_FACTOR_TYPE_1</vt:lpstr>
      <vt:lpstr>'x-309'!TABLE_FACTOR_TYPE_1</vt:lpstr>
      <vt:lpstr>'x-310'!TABLE_FACTOR_TYPE_1</vt:lpstr>
      <vt:lpstr>'x-311'!TABLE_FACTOR_TYPE_1</vt:lpstr>
      <vt:lpstr>'x-312'!TABLE_FACTOR_TYPE_1</vt:lpstr>
      <vt:lpstr>'x-313'!TABLE_FACTOR_TYPE_1</vt:lpstr>
      <vt:lpstr>'x-314'!TABLE_FACTOR_TYPE_1</vt:lpstr>
      <vt:lpstr>'x-315'!TABLE_FACTOR_TYPE_1</vt:lpstr>
      <vt:lpstr>'x-316'!TABLE_FACTOR_TYPE_1</vt:lpstr>
      <vt:lpstr>'x-317'!TABLE_FACTOR_TYPE_1</vt:lpstr>
      <vt:lpstr>'x-318'!TABLE_FACTOR_TYPE_1</vt:lpstr>
      <vt:lpstr>'x-319'!TABLE_FACTOR_TYPE_1</vt:lpstr>
      <vt:lpstr>'x-320'!TABLE_FACTOR_TYPE_1</vt:lpstr>
      <vt:lpstr>'x-321'!TABLE_FACTOR_TYPE_1</vt:lpstr>
      <vt:lpstr>'x-322'!TABLE_FACTOR_TYPE_1</vt:lpstr>
      <vt:lpstr>'x-323'!TABLE_FACTOR_TYPE_1</vt:lpstr>
      <vt:lpstr>'x-324'!TABLE_FACTOR_TYPE_1</vt:lpstr>
      <vt:lpstr>'x-325'!TABLE_FACTOR_TYPE_1</vt:lpstr>
      <vt:lpstr>'x-326'!TABLE_FACTOR_TYPE_1</vt:lpstr>
      <vt:lpstr>'x-327'!TABLE_FACTOR_TYPE_1</vt:lpstr>
      <vt:lpstr>'x-328'!TABLE_FACTOR_TYPE_1</vt:lpstr>
      <vt:lpstr>'x-401'!TABLE_FACTOR_TYPE_1</vt:lpstr>
      <vt:lpstr>'x-403'!TABLE_FACTOR_TYPE_1</vt:lpstr>
      <vt:lpstr>'x-404'!TABLE_FACTOR_TYPE_1</vt:lpstr>
      <vt:lpstr>'x-405'!TABLE_FACTOR_TYPE_1</vt:lpstr>
      <vt:lpstr>'x-406'!TABLE_FACTOR_TYPE_1</vt:lpstr>
      <vt:lpstr>'x-407'!TABLE_FACTOR_TYPE_1</vt:lpstr>
      <vt:lpstr>'x-501'!TABLE_FACTOR_TYPE_1</vt:lpstr>
      <vt:lpstr>'x-502'!TABLE_FACTOR_TYPE_1</vt:lpstr>
      <vt:lpstr>'x-503'!TABLE_FACTOR_TYPE_1</vt:lpstr>
      <vt:lpstr>'x-504'!TABLE_FACTOR_TYPE_1</vt:lpstr>
      <vt:lpstr>'x-505'!TABLE_FACTOR_TYPE_1</vt:lpstr>
      <vt:lpstr>'x-506'!TABLE_FACTOR_TYPE_1</vt:lpstr>
      <vt:lpstr>'x-603'!TABLE_FACTOR_TYPE_1</vt:lpstr>
      <vt:lpstr>'x-604'!TABLE_FACTOR_TYPE_1</vt:lpstr>
      <vt:lpstr>'x-605'!TABLE_FACTOR_TYPE_1</vt:lpstr>
      <vt:lpstr>'x-606'!TABLE_FACTOR_TYPE_1</vt:lpstr>
      <vt:lpstr>'x-607'!TABLE_FACTOR_TYPE_1</vt:lpstr>
      <vt:lpstr>'x-608'!TABLE_FACTOR_TYPE_1</vt:lpstr>
      <vt:lpstr>'x-609'!TABLE_FACTOR_TYPE_1</vt:lpstr>
      <vt:lpstr>'x-610'!TABLE_FACTOR_TYPE_1</vt:lpstr>
      <vt:lpstr>'x-611'!TABLE_FACTOR_TYPE_1</vt:lpstr>
      <vt:lpstr>'x-612'!TABLE_FACTOR_TYPE_1</vt:lpstr>
      <vt:lpstr>'x-613'!TABLE_FACTOR_TYPE_1</vt:lpstr>
      <vt:lpstr>'x-614'!TABLE_FACTOR_TYPE_1</vt:lpstr>
      <vt:lpstr>'x-615'!TABLE_FACTOR_TYPE_1</vt:lpstr>
      <vt:lpstr>'x-616'!TABLE_FACTOR_TYPE_1</vt:lpstr>
      <vt:lpstr>'x-617'!TABLE_FACTOR_TYPE_1</vt:lpstr>
      <vt:lpstr>'x-618'!TABLE_FACTOR_TYPE_1</vt:lpstr>
      <vt:lpstr>'x-619'!TABLE_FACTOR_TYPE_1</vt:lpstr>
      <vt:lpstr>'x-620'!TABLE_FACTOR_TYPE_1</vt:lpstr>
      <vt:lpstr>'x-621'!TABLE_FACTOR_TYPE_1</vt:lpstr>
      <vt:lpstr>'x-622'!TABLE_FACTOR_TYPE_1</vt:lpstr>
      <vt:lpstr>'x-623'!TABLE_FACTOR_TYPE_1</vt:lpstr>
      <vt:lpstr>'x-624'!TABLE_FACTOR_TYPE_1</vt:lpstr>
      <vt:lpstr>'x-625'!TABLE_FACTOR_TYPE_1</vt:lpstr>
      <vt:lpstr>'x-626'!TABLE_FACTOR_TYPE_1</vt:lpstr>
      <vt:lpstr>'x-627'!TABLE_FACTOR_TYPE_1</vt:lpstr>
      <vt:lpstr>'x-701'!TABLE_FACTOR_TYPE_1</vt:lpstr>
      <vt:lpstr>'x-702'!TABLE_FACTOR_TYPE_1</vt:lpstr>
      <vt:lpstr>'x-802'!TABLE_FACTOR_TYPE_1</vt:lpstr>
      <vt:lpstr>'x-701'!TABLE_FACTOR_TYPE_2</vt:lpstr>
      <vt:lpstr>'x-802'!TABLE_FACTOR_TYPE_2</vt:lpstr>
      <vt:lpstr>'x-802'!TABLE_FACTOR_TYPE_3</vt:lpstr>
      <vt:lpstr>TABLE_GENDER</vt:lpstr>
      <vt:lpstr>'x-201'!TABLE_GENDER_1</vt:lpstr>
      <vt:lpstr>'x-202'!TABLE_GENDER_1</vt:lpstr>
      <vt:lpstr>'x-203'!TABLE_GENDER_1</vt:lpstr>
      <vt:lpstr>'x-204'!TABLE_GENDER_1</vt:lpstr>
      <vt:lpstr>'x-205'!TABLE_GENDER_1</vt:lpstr>
      <vt:lpstr>'x-206'!TABLE_GENDER_1</vt:lpstr>
      <vt:lpstr>'x-207'!TABLE_GENDER_1</vt:lpstr>
      <vt:lpstr>'x-208'!TABLE_GENDER_1</vt:lpstr>
      <vt:lpstr>'x-209'!TABLE_GENDER_1</vt:lpstr>
      <vt:lpstr>'x-210'!TABLE_GENDER_1</vt:lpstr>
      <vt:lpstr>'x-211'!TABLE_GENDER_1</vt:lpstr>
      <vt:lpstr>'x-212'!TABLE_GENDER_1</vt:lpstr>
      <vt:lpstr>'x-213'!TABLE_GENDER_1</vt:lpstr>
      <vt:lpstr>'x-214'!TABLE_GENDER_1</vt:lpstr>
      <vt:lpstr>'x-215'!TABLE_GENDER_1</vt:lpstr>
      <vt:lpstr>'x-220'!TABLE_GENDER_1</vt:lpstr>
      <vt:lpstr>'x-221'!TABLE_GENDER_1</vt:lpstr>
      <vt:lpstr>'x-301'!TABLE_GENDER_1</vt:lpstr>
      <vt:lpstr>'x-302'!TABLE_GENDER_1</vt:lpstr>
      <vt:lpstr>'x-303'!TABLE_GENDER_1</vt:lpstr>
      <vt:lpstr>'x-304'!TABLE_GENDER_1</vt:lpstr>
      <vt:lpstr>'x-305'!TABLE_GENDER_1</vt:lpstr>
      <vt:lpstr>'x-306'!TABLE_GENDER_1</vt:lpstr>
      <vt:lpstr>'x-307'!TABLE_GENDER_1</vt:lpstr>
      <vt:lpstr>'x-308'!TABLE_GENDER_1</vt:lpstr>
      <vt:lpstr>'x-309'!TABLE_GENDER_1</vt:lpstr>
      <vt:lpstr>'x-310'!TABLE_GENDER_1</vt:lpstr>
      <vt:lpstr>'x-311'!TABLE_GENDER_1</vt:lpstr>
      <vt:lpstr>'x-312'!TABLE_GENDER_1</vt:lpstr>
      <vt:lpstr>'x-313'!TABLE_GENDER_1</vt:lpstr>
      <vt:lpstr>'x-314'!TABLE_GENDER_1</vt:lpstr>
      <vt:lpstr>'x-315'!TABLE_GENDER_1</vt:lpstr>
      <vt:lpstr>'x-316'!TABLE_GENDER_1</vt:lpstr>
      <vt:lpstr>'x-317'!TABLE_GENDER_1</vt:lpstr>
      <vt:lpstr>'x-318'!TABLE_GENDER_1</vt:lpstr>
      <vt:lpstr>'x-319'!TABLE_GENDER_1</vt:lpstr>
      <vt:lpstr>'x-320'!TABLE_GENDER_1</vt:lpstr>
      <vt:lpstr>'x-321'!TABLE_GENDER_1</vt:lpstr>
      <vt:lpstr>'x-322'!TABLE_GENDER_1</vt:lpstr>
      <vt:lpstr>'x-323'!TABLE_GENDER_1</vt:lpstr>
      <vt:lpstr>'x-324'!TABLE_GENDER_1</vt:lpstr>
      <vt:lpstr>'x-325'!TABLE_GENDER_1</vt:lpstr>
      <vt:lpstr>'x-326'!TABLE_GENDER_1</vt:lpstr>
      <vt:lpstr>'x-327'!TABLE_GENDER_1</vt:lpstr>
      <vt:lpstr>'x-328'!TABLE_GENDER_1</vt:lpstr>
      <vt:lpstr>'x-401'!TABLE_GENDER_1</vt:lpstr>
      <vt:lpstr>'x-403'!TABLE_GENDER_1</vt:lpstr>
      <vt:lpstr>'x-404'!TABLE_GENDER_1</vt:lpstr>
      <vt:lpstr>'x-405'!TABLE_GENDER_1</vt:lpstr>
      <vt:lpstr>'x-406'!TABLE_GENDER_1</vt:lpstr>
      <vt:lpstr>'x-407'!TABLE_GENDER_1</vt:lpstr>
      <vt:lpstr>'x-501'!TABLE_GENDER_1</vt:lpstr>
      <vt:lpstr>'x-502'!TABLE_GENDER_1</vt:lpstr>
      <vt:lpstr>'x-503'!TABLE_GENDER_1</vt:lpstr>
      <vt:lpstr>'x-504'!TABLE_GENDER_1</vt:lpstr>
      <vt:lpstr>'x-505'!TABLE_GENDER_1</vt:lpstr>
      <vt:lpstr>'x-506'!TABLE_GENDER_1</vt:lpstr>
      <vt:lpstr>'x-603'!TABLE_GENDER_1</vt:lpstr>
      <vt:lpstr>'x-604'!TABLE_GENDER_1</vt:lpstr>
      <vt:lpstr>'x-605'!TABLE_GENDER_1</vt:lpstr>
      <vt:lpstr>'x-606'!TABLE_GENDER_1</vt:lpstr>
      <vt:lpstr>'x-607'!TABLE_GENDER_1</vt:lpstr>
      <vt:lpstr>'x-608'!TABLE_GENDER_1</vt:lpstr>
      <vt:lpstr>'x-609'!TABLE_GENDER_1</vt:lpstr>
      <vt:lpstr>'x-610'!TABLE_GENDER_1</vt:lpstr>
      <vt:lpstr>'x-611'!TABLE_GENDER_1</vt:lpstr>
      <vt:lpstr>'x-612'!TABLE_GENDER_1</vt:lpstr>
      <vt:lpstr>'x-613'!TABLE_GENDER_1</vt:lpstr>
      <vt:lpstr>'x-614'!TABLE_GENDER_1</vt:lpstr>
      <vt:lpstr>'x-615'!TABLE_GENDER_1</vt:lpstr>
      <vt:lpstr>'x-616'!TABLE_GENDER_1</vt:lpstr>
      <vt:lpstr>'x-617'!TABLE_GENDER_1</vt:lpstr>
      <vt:lpstr>'x-618'!TABLE_GENDER_1</vt:lpstr>
      <vt:lpstr>'x-619'!TABLE_GENDER_1</vt:lpstr>
      <vt:lpstr>'x-620'!TABLE_GENDER_1</vt:lpstr>
      <vt:lpstr>'x-621'!TABLE_GENDER_1</vt:lpstr>
      <vt:lpstr>'x-622'!TABLE_GENDER_1</vt:lpstr>
      <vt:lpstr>'x-623'!TABLE_GENDER_1</vt:lpstr>
      <vt:lpstr>'x-624'!TABLE_GENDER_1</vt:lpstr>
      <vt:lpstr>'x-625'!TABLE_GENDER_1</vt:lpstr>
      <vt:lpstr>'x-626'!TABLE_GENDER_1</vt:lpstr>
      <vt:lpstr>'x-627'!TABLE_GENDER_1</vt:lpstr>
      <vt:lpstr>'x-701'!TABLE_GENDER_1</vt:lpstr>
      <vt:lpstr>'x-702'!TABLE_GENDER_1</vt:lpstr>
      <vt:lpstr>'x-802'!TABLE_GENDER_1</vt:lpstr>
      <vt:lpstr>'x-701'!TABLE_GENDER_2</vt:lpstr>
      <vt:lpstr>'x-802'!TABLE_GENDER_2</vt:lpstr>
      <vt:lpstr>'x-802'!TABLE_GENDER_3</vt:lpstr>
      <vt:lpstr>TABLE_INFO</vt:lpstr>
      <vt:lpstr>'x-201'!TABLE_INFO_1</vt:lpstr>
      <vt:lpstr>'x-202'!TABLE_INFO_1</vt:lpstr>
      <vt:lpstr>'x-203'!TABLE_INFO_1</vt:lpstr>
      <vt:lpstr>'x-204'!TABLE_INFO_1</vt:lpstr>
      <vt:lpstr>'x-205'!TABLE_INFO_1</vt:lpstr>
      <vt:lpstr>'x-206'!TABLE_INFO_1</vt:lpstr>
      <vt:lpstr>'x-207'!TABLE_INFO_1</vt:lpstr>
      <vt:lpstr>'x-208'!TABLE_INFO_1</vt:lpstr>
      <vt:lpstr>'x-209'!TABLE_INFO_1</vt:lpstr>
      <vt:lpstr>'x-210'!TABLE_INFO_1</vt:lpstr>
      <vt:lpstr>'x-211'!TABLE_INFO_1</vt:lpstr>
      <vt:lpstr>'x-212'!TABLE_INFO_1</vt:lpstr>
      <vt:lpstr>'x-213'!TABLE_INFO_1</vt:lpstr>
      <vt:lpstr>'x-214'!TABLE_INFO_1</vt:lpstr>
      <vt:lpstr>'x-215'!TABLE_INFO_1</vt:lpstr>
      <vt:lpstr>'x-220'!TABLE_INFO_1</vt:lpstr>
      <vt:lpstr>'x-221'!TABLE_INFO_1</vt:lpstr>
      <vt:lpstr>'x-301'!TABLE_INFO_1</vt:lpstr>
      <vt:lpstr>'x-302'!TABLE_INFO_1</vt:lpstr>
      <vt:lpstr>'x-303'!TABLE_INFO_1</vt:lpstr>
      <vt:lpstr>'x-304'!TABLE_INFO_1</vt:lpstr>
      <vt:lpstr>'x-305'!TABLE_INFO_1</vt:lpstr>
      <vt:lpstr>'x-306'!TABLE_INFO_1</vt:lpstr>
      <vt:lpstr>'x-307'!TABLE_INFO_1</vt:lpstr>
      <vt:lpstr>'x-308'!TABLE_INFO_1</vt:lpstr>
      <vt:lpstr>'x-309'!TABLE_INFO_1</vt:lpstr>
      <vt:lpstr>'x-310'!TABLE_INFO_1</vt:lpstr>
      <vt:lpstr>'x-311'!TABLE_INFO_1</vt:lpstr>
      <vt:lpstr>'x-312'!TABLE_INFO_1</vt:lpstr>
      <vt:lpstr>'x-313'!TABLE_INFO_1</vt:lpstr>
      <vt:lpstr>'x-314'!TABLE_INFO_1</vt:lpstr>
      <vt:lpstr>'x-315'!TABLE_INFO_1</vt:lpstr>
      <vt:lpstr>'x-316'!TABLE_INFO_1</vt:lpstr>
      <vt:lpstr>'x-317'!TABLE_INFO_1</vt:lpstr>
      <vt:lpstr>'x-318'!TABLE_INFO_1</vt:lpstr>
      <vt:lpstr>'x-319'!TABLE_INFO_1</vt:lpstr>
      <vt:lpstr>'x-320'!TABLE_INFO_1</vt:lpstr>
      <vt:lpstr>'x-321'!TABLE_INFO_1</vt:lpstr>
      <vt:lpstr>'x-322'!TABLE_INFO_1</vt:lpstr>
      <vt:lpstr>'x-323'!TABLE_INFO_1</vt:lpstr>
      <vt:lpstr>'x-324'!TABLE_INFO_1</vt:lpstr>
      <vt:lpstr>'x-325'!TABLE_INFO_1</vt:lpstr>
      <vt:lpstr>'x-326'!TABLE_INFO_1</vt:lpstr>
      <vt:lpstr>'x-327'!TABLE_INFO_1</vt:lpstr>
      <vt:lpstr>'x-328'!TABLE_INFO_1</vt:lpstr>
      <vt:lpstr>'x-401'!TABLE_INFO_1</vt:lpstr>
      <vt:lpstr>'x-403'!TABLE_INFO_1</vt:lpstr>
      <vt:lpstr>'x-404'!TABLE_INFO_1</vt:lpstr>
      <vt:lpstr>'x-405'!TABLE_INFO_1</vt:lpstr>
      <vt:lpstr>'x-406'!TABLE_INFO_1</vt:lpstr>
      <vt:lpstr>'x-407'!TABLE_INFO_1</vt:lpstr>
      <vt:lpstr>'x-501'!TABLE_INFO_1</vt:lpstr>
      <vt:lpstr>'x-502'!TABLE_INFO_1</vt:lpstr>
      <vt:lpstr>'x-503'!TABLE_INFO_1</vt:lpstr>
      <vt:lpstr>'x-504'!TABLE_INFO_1</vt:lpstr>
      <vt:lpstr>'x-505'!TABLE_INFO_1</vt:lpstr>
      <vt:lpstr>'x-506'!TABLE_INFO_1</vt:lpstr>
      <vt:lpstr>'x-603'!TABLE_INFO_1</vt:lpstr>
      <vt:lpstr>'x-604'!TABLE_INFO_1</vt:lpstr>
      <vt:lpstr>'x-605'!TABLE_INFO_1</vt:lpstr>
      <vt:lpstr>'x-606'!TABLE_INFO_1</vt:lpstr>
      <vt:lpstr>'x-607'!TABLE_INFO_1</vt:lpstr>
      <vt:lpstr>'x-608'!TABLE_INFO_1</vt:lpstr>
      <vt:lpstr>'x-609'!TABLE_INFO_1</vt:lpstr>
      <vt:lpstr>'x-610'!TABLE_INFO_1</vt:lpstr>
      <vt:lpstr>'x-611'!TABLE_INFO_1</vt:lpstr>
      <vt:lpstr>'x-612'!TABLE_INFO_1</vt:lpstr>
      <vt:lpstr>'x-613'!TABLE_INFO_1</vt:lpstr>
      <vt:lpstr>'x-614'!TABLE_INFO_1</vt:lpstr>
      <vt:lpstr>'x-615'!TABLE_INFO_1</vt:lpstr>
      <vt:lpstr>'x-616'!TABLE_INFO_1</vt:lpstr>
      <vt:lpstr>'x-617'!TABLE_INFO_1</vt:lpstr>
      <vt:lpstr>'x-618'!TABLE_INFO_1</vt:lpstr>
      <vt:lpstr>'x-619'!TABLE_INFO_1</vt:lpstr>
      <vt:lpstr>'x-620'!TABLE_INFO_1</vt:lpstr>
      <vt:lpstr>'x-621'!TABLE_INFO_1</vt:lpstr>
      <vt:lpstr>'x-622'!TABLE_INFO_1</vt:lpstr>
      <vt:lpstr>'x-623'!TABLE_INFO_1</vt:lpstr>
      <vt:lpstr>'x-624'!TABLE_INFO_1</vt:lpstr>
      <vt:lpstr>'x-625'!TABLE_INFO_1</vt:lpstr>
      <vt:lpstr>'x-626'!TABLE_INFO_1</vt:lpstr>
      <vt:lpstr>'x-627'!TABLE_INFO_1</vt:lpstr>
      <vt:lpstr>'x-701'!TABLE_INFO_1</vt:lpstr>
      <vt:lpstr>'x-702'!TABLE_INFO_1</vt:lpstr>
      <vt:lpstr>'x-802'!TABLE_INFO_1</vt:lpstr>
      <vt:lpstr>'x-701'!TABLE_INFO_2</vt:lpstr>
      <vt:lpstr>'x-802'!TABLE_INFO_2</vt:lpstr>
      <vt:lpstr>'x-802'!TABLE_INFO_3</vt:lpstr>
      <vt:lpstr>TABLE_REFERENCE</vt:lpstr>
      <vt:lpstr>'x-201'!TABLE_REFERENCE_1</vt:lpstr>
      <vt:lpstr>'x-202'!TABLE_REFERENCE_1</vt:lpstr>
      <vt:lpstr>'x-203'!TABLE_REFERENCE_1</vt:lpstr>
      <vt:lpstr>'x-204'!TABLE_REFERENCE_1</vt:lpstr>
      <vt:lpstr>'x-205'!TABLE_REFERENCE_1</vt:lpstr>
      <vt:lpstr>'x-206'!TABLE_REFERENCE_1</vt:lpstr>
      <vt:lpstr>'x-207'!TABLE_REFERENCE_1</vt:lpstr>
      <vt:lpstr>'x-208'!TABLE_REFERENCE_1</vt:lpstr>
      <vt:lpstr>'x-209'!TABLE_REFERENCE_1</vt:lpstr>
      <vt:lpstr>'x-210'!TABLE_REFERENCE_1</vt:lpstr>
      <vt:lpstr>'x-211'!TABLE_REFERENCE_1</vt:lpstr>
      <vt:lpstr>'x-212'!TABLE_REFERENCE_1</vt:lpstr>
      <vt:lpstr>'x-213'!TABLE_REFERENCE_1</vt:lpstr>
      <vt:lpstr>'x-214'!TABLE_REFERENCE_1</vt:lpstr>
      <vt:lpstr>'x-215'!TABLE_REFERENCE_1</vt:lpstr>
      <vt:lpstr>'x-220'!TABLE_REFERENCE_1</vt:lpstr>
      <vt:lpstr>'x-221'!TABLE_REFERENCE_1</vt:lpstr>
      <vt:lpstr>'x-301'!TABLE_REFERENCE_1</vt:lpstr>
      <vt:lpstr>'x-302'!TABLE_REFERENCE_1</vt:lpstr>
      <vt:lpstr>'x-303'!TABLE_REFERENCE_1</vt:lpstr>
      <vt:lpstr>'x-304'!TABLE_REFERENCE_1</vt:lpstr>
      <vt:lpstr>'x-305'!TABLE_REFERENCE_1</vt:lpstr>
      <vt:lpstr>'x-306'!TABLE_REFERENCE_1</vt:lpstr>
      <vt:lpstr>'x-307'!TABLE_REFERENCE_1</vt:lpstr>
      <vt:lpstr>'x-308'!TABLE_REFERENCE_1</vt:lpstr>
      <vt:lpstr>'x-309'!TABLE_REFERENCE_1</vt:lpstr>
      <vt:lpstr>'x-310'!TABLE_REFERENCE_1</vt:lpstr>
      <vt:lpstr>'x-311'!TABLE_REFERENCE_1</vt:lpstr>
      <vt:lpstr>'x-312'!TABLE_REFERENCE_1</vt:lpstr>
      <vt:lpstr>'x-313'!TABLE_REFERENCE_1</vt:lpstr>
      <vt:lpstr>'x-314'!TABLE_REFERENCE_1</vt:lpstr>
      <vt:lpstr>'x-315'!TABLE_REFERENCE_1</vt:lpstr>
      <vt:lpstr>'x-316'!TABLE_REFERENCE_1</vt:lpstr>
      <vt:lpstr>'x-317'!TABLE_REFERENCE_1</vt:lpstr>
      <vt:lpstr>'x-318'!TABLE_REFERENCE_1</vt:lpstr>
      <vt:lpstr>'x-319'!TABLE_REFERENCE_1</vt:lpstr>
      <vt:lpstr>'x-320'!TABLE_REFERENCE_1</vt:lpstr>
      <vt:lpstr>'x-321'!TABLE_REFERENCE_1</vt:lpstr>
      <vt:lpstr>'x-322'!TABLE_REFERENCE_1</vt:lpstr>
      <vt:lpstr>'x-323'!TABLE_REFERENCE_1</vt:lpstr>
      <vt:lpstr>'x-324'!TABLE_REFERENCE_1</vt:lpstr>
      <vt:lpstr>'x-325'!TABLE_REFERENCE_1</vt:lpstr>
      <vt:lpstr>'x-326'!TABLE_REFERENCE_1</vt:lpstr>
      <vt:lpstr>'x-327'!TABLE_REFERENCE_1</vt:lpstr>
      <vt:lpstr>'x-328'!TABLE_REFERENCE_1</vt:lpstr>
      <vt:lpstr>'x-401'!TABLE_REFERENCE_1</vt:lpstr>
      <vt:lpstr>'x-403'!TABLE_REFERENCE_1</vt:lpstr>
      <vt:lpstr>'x-404'!TABLE_REFERENCE_1</vt:lpstr>
      <vt:lpstr>'x-405'!TABLE_REFERENCE_1</vt:lpstr>
      <vt:lpstr>'x-406'!TABLE_REFERENCE_1</vt:lpstr>
      <vt:lpstr>'x-407'!TABLE_REFERENCE_1</vt:lpstr>
      <vt:lpstr>'x-501'!TABLE_REFERENCE_1</vt:lpstr>
      <vt:lpstr>'x-502'!TABLE_REFERENCE_1</vt:lpstr>
      <vt:lpstr>'x-503'!TABLE_REFERENCE_1</vt:lpstr>
      <vt:lpstr>'x-504'!TABLE_REFERENCE_1</vt:lpstr>
      <vt:lpstr>'x-505'!TABLE_REFERENCE_1</vt:lpstr>
      <vt:lpstr>'x-506'!TABLE_REFERENCE_1</vt:lpstr>
      <vt:lpstr>'x-603'!TABLE_REFERENCE_1</vt:lpstr>
      <vt:lpstr>'x-604'!TABLE_REFERENCE_1</vt:lpstr>
      <vt:lpstr>'x-605'!TABLE_REFERENCE_1</vt:lpstr>
      <vt:lpstr>'x-606'!TABLE_REFERENCE_1</vt:lpstr>
      <vt:lpstr>'x-607'!TABLE_REFERENCE_1</vt:lpstr>
      <vt:lpstr>'x-608'!TABLE_REFERENCE_1</vt:lpstr>
      <vt:lpstr>'x-609'!TABLE_REFERENCE_1</vt:lpstr>
      <vt:lpstr>'x-610'!TABLE_REFERENCE_1</vt:lpstr>
      <vt:lpstr>'x-611'!TABLE_REFERENCE_1</vt:lpstr>
      <vt:lpstr>'x-612'!TABLE_REFERENCE_1</vt:lpstr>
      <vt:lpstr>'x-613'!TABLE_REFERENCE_1</vt:lpstr>
      <vt:lpstr>'x-614'!TABLE_REFERENCE_1</vt:lpstr>
      <vt:lpstr>'x-615'!TABLE_REFERENCE_1</vt:lpstr>
      <vt:lpstr>'x-616'!TABLE_REFERENCE_1</vt:lpstr>
      <vt:lpstr>'x-617'!TABLE_REFERENCE_1</vt:lpstr>
      <vt:lpstr>'x-618'!TABLE_REFERENCE_1</vt:lpstr>
      <vt:lpstr>'x-619'!TABLE_REFERENCE_1</vt:lpstr>
      <vt:lpstr>'x-620'!TABLE_REFERENCE_1</vt:lpstr>
      <vt:lpstr>'x-621'!TABLE_REFERENCE_1</vt:lpstr>
      <vt:lpstr>'x-622'!TABLE_REFERENCE_1</vt:lpstr>
      <vt:lpstr>'x-623'!TABLE_REFERENCE_1</vt:lpstr>
      <vt:lpstr>'x-624'!TABLE_REFERENCE_1</vt:lpstr>
      <vt:lpstr>'x-625'!TABLE_REFERENCE_1</vt:lpstr>
      <vt:lpstr>'x-626'!TABLE_REFERENCE_1</vt:lpstr>
      <vt:lpstr>'x-627'!TABLE_REFERENCE_1</vt:lpstr>
      <vt:lpstr>'x-701'!TABLE_REFERENCE_1</vt:lpstr>
      <vt:lpstr>'x-702'!TABLE_REFERENCE_1</vt:lpstr>
      <vt:lpstr>'x-802'!TABLE_REFERENCE_1</vt:lpstr>
      <vt:lpstr>'x-701'!TABLE_REFERENCE_2</vt:lpstr>
      <vt:lpstr>'x-802'!TABLE_REFERENCE_2</vt:lpstr>
      <vt:lpstr>'x-802'!TABLE_REFERENCE_3</vt:lpstr>
      <vt:lpstr>TABLE_REFERENCE_GUIDANCE</vt:lpstr>
      <vt:lpstr>'x-201'!TABLE_REFERENCE_GUIDANCE_1</vt:lpstr>
      <vt:lpstr>'x-202'!TABLE_REFERENCE_GUIDANCE_1</vt:lpstr>
      <vt:lpstr>'x-203'!TABLE_REFERENCE_GUIDANCE_1</vt:lpstr>
      <vt:lpstr>'x-204'!TABLE_REFERENCE_GUIDANCE_1</vt:lpstr>
      <vt:lpstr>'x-205'!TABLE_REFERENCE_GUIDANCE_1</vt:lpstr>
      <vt:lpstr>'x-206'!TABLE_REFERENCE_GUIDANCE_1</vt:lpstr>
      <vt:lpstr>'x-207'!TABLE_REFERENCE_GUIDANCE_1</vt:lpstr>
      <vt:lpstr>'x-208'!TABLE_REFERENCE_GUIDANCE_1</vt:lpstr>
      <vt:lpstr>'x-209'!TABLE_REFERENCE_GUIDANCE_1</vt:lpstr>
      <vt:lpstr>'x-210'!TABLE_REFERENCE_GUIDANCE_1</vt:lpstr>
      <vt:lpstr>'x-211'!TABLE_REFERENCE_GUIDANCE_1</vt:lpstr>
      <vt:lpstr>'x-212'!TABLE_REFERENCE_GUIDANCE_1</vt:lpstr>
      <vt:lpstr>'x-213'!TABLE_REFERENCE_GUIDANCE_1</vt:lpstr>
      <vt:lpstr>'x-214'!TABLE_REFERENCE_GUIDANCE_1</vt:lpstr>
      <vt:lpstr>'x-215'!TABLE_REFERENCE_GUIDANCE_1</vt:lpstr>
      <vt:lpstr>'x-220'!TABLE_REFERENCE_GUIDANCE_1</vt:lpstr>
      <vt:lpstr>'x-221'!TABLE_REFERENCE_GUIDANCE_1</vt:lpstr>
      <vt:lpstr>'x-301'!TABLE_REFERENCE_GUIDANCE_1</vt:lpstr>
      <vt:lpstr>'x-302'!TABLE_REFERENCE_GUIDANCE_1</vt:lpstr>
      <vt:lpstr>'x-303'!TABLE_REFERENCE_GUIDANCE_1</vt:lpstr>
      <vt:lpstr>'x-304'!TABLE_REFERENCE_GUIDANCE_1</vt:lpstr>
      <vt:lpstr>'x-305'!TABLE_REFERENCE_GUIDANCE_1</vt:lpstr>
      <vt:lpstr>'x-306'!TABLE_REFERENCE_GUIDANCE_1</vt:lpstr>
      <vt:lpstr>'x-307'!TABLE_REFERENCE_GUIDANCE_1</vt:lpstr>
      <vt:lpstr>'x-308'!TABLE_REFERENCE_GUIDANCE_1</vt:lpstr>
      <vt:lpstr>'x-309'!TABLE_REFERENCE_GUIDANCE_1</vt:lpstr>
      <vt:lpstr>'x-310'!TABLE_REFERENCE_GUIDANCE_1</vt:lpstr>
      <vt:lpstr>'x-311'!TABLE_REFERENCE_GUIDANCE_1</vt:lpstr>
      <vt:lpstr>'x-312'!TABLE_REFERENCE_GUIDANCE_1</vt:lpstr>
      <vt:lpstr>'x-313'!TABLE_REFERENCE_GUIDANCE_1</vt:lpstr>
      <vt:lpstr>'x-314'!TABLE_REFERENCE_GUIDANCE_1</vt:lpstr>
      <vt:lpstr>'x-315'!TABLE_REFERENCE_GUIDANCE_1</vt:lpstr>
      <vt:lpstr>'x-316'!TABLE_REFERENCE_GUIDANCE_1</vt:lpstr>
      <vt:lpstr>'x-317'!TABLE_REFERENCE_GUIDANCE_1</vt:lpstr>
      <vt:lpstr>'x-318'!TABLE_REFERENCE_GUIDANCE_1</vt:lpstr>
      <vt:lpstr>'x-319'!TABLE_REFERENCE_GUIDANCE_1</vt:lpstr>
      <vt:lpstr>'x-320'!TABLE_REFERENCE_GUIDANCE_1</vt:lpstr>
      <vt:lpstr>'x-321'!TABLE_REFERENCE_GUIDANCE_1</vt:lpstr>
      <vt:lpstr>'x-322'!TABLE_REFERENCE_GUIDANCE_1</vt:lpstr>
      <vt:lpstr>'x-323'!TABLE_REFERENCE_GUIDANCE_1</vt:lpstr>
      <vt:lpstr>'x-324'!TABLE_REFERENCE_GUIDANCE_1</vt:lpstr>
      <vt:lpstr>'x-325'!TABLE_REFERENCE_GUIDANCE_1</vt:lpstr>
      <vt:lpstr>'x-326'!TABLE_REFERENCE_GUIDANCE_1</vt:lpstr>
      <vt:lpstr>'x-327'!TABLE_REFERENCE_GUIDANCE_1</vt:lpstr>
      <vt:lpstr>'x-328'!TABLE_REFERENCE_GUIDANCE_1</vt:lpstr>
      <vt:lpstr>'x-401'!TABLE_REFERENCE_GUIDANCE_1</vt:lpstr>
      <vt:lpstr>'x-403'!TABLE_REFERENCE_GUIDANCE_1</vt:lpstr>
      <vt:lpstr>'x-404'!TABLE_REFERENCE_GUIDANCE_1</vt:lpstr>
      <vt:lpstr>'x-405'!TABLE_REFERENCE_GUIDANCE_1</vt:lpstr>
      <vt:lpstr>'x-406'!TABLE_REFERENCE_GUIDANCE_1</vt:lpstr>
      <vt:lpstr>'x-407'!TABLE_REFERENCE_GUIDANCE_1</vt:lpstr>
      <vt:lpstr>'x-501'!TABLE_REFERENCE_GUIDANCE_1</vt:lpstr>
      <vt:lpstr>'x-502'!TABLE_REFERENCE_GUIDANCE_1</vt:lpstr>
      <vt:lpstr>'x-503'!TABLE_REFERENCE_GUIDANCE_1</vt:lpstr>
      <vt:lpstr>'x-504'!TABLE_REFERENCE_GUIDANCE_1</vt:lpstr>
      <vt:lpstr>'x-505'!TABLE_REFERENCE_GUIDANCE_1</vt:lpstr>
      <vt:lpstr>'x-506'!TABLE_REFERENCE_GUIDANCE_1</vt:lpstr>
      <vt:lpstr>'x-603'!TABLE_REFERENCE_GUIDANCE_1</vt:lpstr>
      <vt:lpstr>'x-604'!TABLE_REFERENCE_GUIDANCE_1</vt:lpstr>
      <vt:lpstr>'x-605'!TABLE_REFERENCE_GUIDANCE_1</vt:lpstr>
      <vt:lpstr>'x-606'!TABLE_REFERENCE_GUIDANCE_1</vt:lpstr>
      <vt:lpstr>'x-607'!TABLE_REFERENCE_GUIDANCE_1</vt:lpstr>
      <vt:lpstr>'x-608'!TABLE_REFERENCE_GUIDANCE_1</vt:lpstr>
      <vt:lpstr>'x-609'!TABLE_REFERENCE_GUIDANCE_1</vt:lpstr>
      <vt:lpstr>'x-610'!TABLE_REFERENCE_GUIDANCE_1</vt:lpstr>
      <vt:lpstr>'x-611'!TABLE_REFERENCE_GUIDANCE_1</vt:lpstr>
      <vt:lpstr>'x-612'!TABLE_REFERENCE_GUIDANCE_1</vt:lpstr>
      <vt:lpstr>'x-613'!TABLE_REFERENCE_GUIDANCE_1</vt:lpstr>
      <vt:lpstr>'x-614'!TABLE_REFERENCE_GUIDANCE_1</vt:lpstr>
      <vt:lpstr>'x-615'!TABLE_REFERENCE_GUIDANCE_1</vt:lpstr>
      <vt:lpstr>'x-616'!TABLE_REFERENCE_GUIDANCE_1</vt:lpstr>
      <vt:lpstr>'x-617'!TABLE_REFERENCE_GUIDANCE_1</vt:lpstr>
      <vt:lpstr>'x-618'!TABLE_REFERENCE_GUIDANCE_1</vt:lpstr>
      <vt:lpstr>'x-619'!TABLE_REFERENCE_GUIDANCE_1</vt:lpstr>
      <vt:lpstr>'x-620'!TABLE_REFERENCE_GUIDANCE_1</vt:lpstr>
      <vt:lpstr>'x-621'!TABLE_REFERENCE_GUIDANCE_1</vt:lpstr>
      <vt:lpstr>'x-622'!TABLE_REFERENCE_GUIDANCE_1</vt:lpstr>
      <vt:lpstr>'x-623'!TABLE_REFERENCE_GUIDANCE_1</vt:lpstr>
      <vt:lpstr>'x-624'!TABLE_REFERENCE_GUIDANCE_1</vt:lpstr>
      <vt:lpstr>'x-625'!TABLE_REFERENCE_GUIDANCE_1</vt:lpstr>
      <vt:lpstr>'x-626'!TABLE_REFERENCE_GUIDANCE_1</vt:lpstr>
      <vt:lpstr>'x-627'!TABLE_REFERENCE_GUIDANCE_1</vt:lpstr>
      <vt:lpstr>'x-701'!TABLE_REFERENCE_GUIDANCE_1</vt:lpstr>
      <vt:lpstr>'x-702'!TABLE_REFERENCE_GUIDANCE_1</vt:lpstr>
      <vt:lpstr>'x-802'!TABLE_REFERENCE_GUIDANCE_1</vt:lpstr>
      <vt:lpstr>'x-701'!TABLE_REFERENCE_GUIDANCE_2</vt:lpstr>
      <vt:lpstr>'x-802'!TABLE_REFERENCE_GUIDANCE_2</vt:lpstr>
      <vt:lpstr>'x-802'!TABLE_REFERENCE_GUIDANCE_3</vt:lpstr>
      <vt:lpstr>TABLE_RELATED</vt:lpstr>
      <vt:lpstr>'x-201'!TABLE_RELATED_1</vt:lpstr>
      <vt:lpstr>'x-202'!TABLE_RELATED_1</vt:lpstr>
      <vt:lpstr>'x-203'!TABLE_RELATED_1</vt:lpstr>
      <vt:lpstr>'x-204'!TABLE_RELATED_1</vt:lpstr>
      <vt:lpstr>'x-205'!TABLE_RELATED_1</vt:lpstr>
      <vt:lpstr>'x-206'!TABLE_RELATED_1</vt:lpstr>
      <vt:lpstr>'x-207'!TABLE_RELATED_1</vt:lpstr>
      <vt:lpstr>'x-208'!TABLE_RELATED_1</vt:lpstr>
      <vt:lpstr>'x-209'!TABLE_RELATED_1</vt:lpstr>
      <vt:lpstr>'x-210'!TABLE_RELATED_1</vt:lpstr>
      <vt:lpstr>'x-211'!TABLE_RELATED_1</vt:lpstr>
      <vt:lpstr>'x-212'!TABLE_RELATED_1</vt:lpstr>
      <vt:lpstr>'x-213'!TABLE_RELATED_1</vt:lpstr>
      <vt:lpstr>'x-214'!TABLE_RELATED_1</vt:lpstr>
      <vt:lpstr>'x-215'!TABLE_RELATED_1</vt:lpstr>
      <vt:lpstr>'x-220'!TABLE_RELATED_1</vt:lpstr>
      <vt:lpstr>'x-221'!TABLE_RELATED_1</vt:lpstr>
      <vt:lpstr>'x-301'!TABLE_RELATED_1</vt:lpstr>
      <vt:lpstr>'x-302'!TABLE_RELATED_1</vt:lpstr>
      <vt:lpstr>'x-303'!TABLE_RELATED_1</vt:lpstr>
      <vt:lpstr>'x-304'!TABLE_RELATED_1</vt:lpstr>
      <vt:lpstr>'x-305'!TABLE_RELATED_1</vt:lpstr>
      <vt:lpstr>'x-306'!TABLE_RELATED_1</vt:lpstr>
      <vt:lpstr>'x-307'!TABLE_RELATED_1</vt:lpstr>
      <vt:lpstr>'x-308'!TABLE_RELATED_1</vt:lpstr>
      <vt:lpstr>'x-309'!TABLE_RELATED_1</vt:lpstr>
      <vt:lpstr>'x-310'!TABLE_RELATED_1</vt:lpstr>
      <vt:lpstr>'x-311'!TABLE_RELATED_1</vt:lpstr>
      <vt:lpstr>'x-312'!TABLE_RELATED_1</vt:lpstr>
      <vt:lpstr>'x-313'!TABLE_RELATED_1</vt:lpstr>
      <vt:lpstr>'x-314'!TABLE_RELATED_1</vt:lpstr>
      <vt:lpstr>'x-315'!TABLE_RELATED_1</vt:lpstr>
      <vt:lpstr>'x-316'!TABLE_RELATED_1</vt:lpstr>
      <vt:lpstr>'x-317'!TABLE_RELATED_1</vt:lpstr>
      <vt:lpstr>'x-318'!TABLE_RELATED_1</vt:lpstr>
      <vt:lpstr>'x-319'!TABLE_RELATED_1</vt:lpstr>
      <vt:lpstr>'x-320'!TABLE_RELATED_1</vt:lpstr>
      <vt:lpstr>'x-321'!TABLE_RELATED_1</vt:lpstr>
      <vt:lpstr>'x-322'!TABLE_RELATED_1</vt:lpstr>
      <vt:lpstr>'x-323'!TABLE_RELATED_1</vt:lpstr>
      <vt:lpstr>'x-324'!TABLE_RELATED_1</vt:lpstr>
      <vt:lpstr>'x-325'!TABLE_RELATED_1</vt:lpstr>
      <vt:lpstr>'x-326'!TABLE_RELATED_1</vt:lpstr>
      <vt:lpstr>'x-327'!TABLE_RELATED_1</vt:lpstr>
      <vt:lpstr>'x-328'!TABLE_RELATED_1</vt:lpstr>
      <vt:lpstr>'x-401'!TABLE_RELATED_1</vt:lpstr>
      <vt:lpstr>'x-403'!TABLE_RELATED_1</vt:lpstr>
      <vt:lpstr>'x-404'!TABLE_RELATED_1</vt:lpstr>
      <vt:lpstr>'x-405'!TABLE_RELATED_1</vt:lpstr>
      <vt:lpstr>'x-406'!TABLE_RELATED_1</vt:lpstr>
      <vt:lpstr>'x-407'!TABLE_RELATED_1</vt:lpstr>
      <vt:lpstr>'x-501'!TABLE_RELATED_1</vt:lpstr>
      <vt:lpstr>'x-502'!TABLE_RELATED_1</vt:lpstr>
      <vt:lpstr>'x-503'!TABLE_RELATED_1</vt:lpstr>
      <vt:lpstr>'x-504'!TABLE_RELATED_1</vt:lpstr>
      <vt:lpstr>'x-505'!TABLE_RELATED_1</vt:lpstr>
      <vt:lpstr>'x-506'!TABLE_RELATED_1</vt:lpstr>
      <vt:lpstr>'x-603'!TABLE_RELATED_1</vt:lpstr>
      <vt:lpstr>'x-604'!TABLE_RELATED_1</vt:lpstr>
      <vt:lpstr>'x-605'!TABLE_RELATED_1</vt:lpstr>
      <vt:lpstr>'x-606'!TABLE_RELATED_1</vt:lpstr>
      <vt:lpstr>'x-607'!TABLE_RELATED_1</vt:lpstr>
      <vt:lpstr>'x-608'!TABLE_RELATED_1</vt:lpstr>
      <vt:lpstr>'x-609'!TABLE_RELATED_1</vt:lpstr>
      <vt:lpstr>'x-610'!TABLE_RELATED_1</vt:lpstr>
      <vt:lpstr>'x-611'!TABLE_RELATED_1</vt:lpstr>
      <vt:lpstr>'x-612'!TABLE_RELATED_1</vt:lpstr>
      <vt:lpstr>'x-613'!TABLE_RELATED_1</vt:lpstr>
      <vt:lpstr>'x-614'!TABLE_RELATED_1</vt:lpstr>
      <vt:lpstr>'x-615'!TABLE_RELATED_1</vt:lpstr>
      <vt:lpstr>'x-616'!TABLE_RELATED_1</vt:lpstr>
      <vt:lpstr>'x-617'!TABLE_RELATED_1</vt:lpstr>
      <vt:lpstr>'x-618'!TABLE_RELATED_1</vt:lpstr>
      <vt:lpstr>'x-619'!TABLE_RELATED_1</vt:lpstr>
      <vt:lpstr>'x-620'!TABLE_RELATED_1</vt:lpstr>
      <vt:lpstr>'x-621'!TABLE_RELATED_1</vt:lpstr>
      <vt:lpstr>'x-622'!TABLE_RELATED_1</vt:lpstr>
      <vt:lpstr>'x-623'!TABLE_RELATED_1</vt:lpstr>
      <vt:lpstr>'x-624'!TABLE_RELATED_1</vt:lpstr>
      <vt:lpstr>'x-625'!TABLE_RELATED_1</vt:lpstr>
      <vt:lpstr>'x-626'!TABLE_RELATED_1</vt:lpstr>
      <vt:lpstr>'x-627'!TABLE_RELATED_1</vt:lpstr>
      <vt:lpstr>'x-701'!TABLE_RELATED_1</vt:lpstr>
      <vt:lpstr>'x-702'!TABLE_RELATED_1</vt:lpstr>
      <vt:lpstr>'x-802'!TABLE_RELATED_1</vt:lpstr>
      <vt:lpstr>'x-701'!TABLE_RELATED_2</vt:lpstr>
      <vt:lpstr>'x-802'!TABLE_RELATED_2</vt:lpstr>
      <vt:lpstr>'x-802'!TABLE_RELATED_3</vt:lpstr>
      <vt:lpstr>TABLE_SECTION</vt:lpstr>
      <vt:lpstr>'x-201'!TABLE_SECTION_1</vt:lpstr>
      <vt:lpstr>'x-202'!TABLE_SECTION_1</vt:lpstr>
      <vt:lpstr>'x-203'!TABLE_SECTION_1</vt:lpstr>
      <vt:lpstr>'x-204'!TABLE_SECTION_1</vt:lpstr>
      <vt:lpstr>'x-205'!TABLE_SECTION_1</vt:lpstr>
      <vt:lpstr>'x-206'!TABLE_SECTION_1</vt:lpstr>
      <vt:lpstr>'x-207'!TABLE_SECTION_1</vt:lpstr>
      <vt:lpstr>'x-208'!TABLE_SECTION_1</vt:lpstr>
      <vt:lpstr>'x-209'!TABLE_SECTION_1</vt:lpstr>
      <vt:lpstr>'x-210'!TABLE_SECTION_1</vt:lpstr>
      <vt:lpstr>'x-211'!TABLE_SECTION_1</vt:lpstr>
      <vt:lpstr>'x-212'!TABLE_SECTION_1</vt:lpstr>
      <vt:lpstr>'x-213'!TABLE_SECTION_1</vt:lpstr>
      <vt:lpstr>'x-214'!TABLE_SECTION_1</vt:lpstr>
      <vt:lpstr>'x-215'!TABLE_SECTION_1</vt:lpstr>
      <vt:lpstr>'x-220'!TABLE_SECTION_1</vt:lpstr>
      <vt:lpstr>'x-221'!TABLE_SECTION_1</vt:lpstr>
      <vt:lpstr>'x-301'!TABLE_SECTION_1</vt:lpstr>
      <vt:lpstr>'x-302'!TABLE_SECTION_1</vt:lpstr>
      <vt:lpstr>'x-303'!TABLE_SECTION_1</vt:lpstr>
      <vt:lpstr>'x-304'!TABLE_SECTION_1</vt:lpstr>
      <vt:lpstr>'x-305'!TABLE_SECTION_1</vt:lpstr>
      <vt:lpstr>'x-306'!TABLE_SECTION_1</vt:lpstr>
      <vt:lpstr>'x-307'!TABLE_SECTION_1</vt:lpstr>
      <vt:lpstr>'x-308'!TABLE_SECTION_1</vt:lpstr>
      <vt:lpstr>'x-309'!TABLE_SECTION_1</vt:lpstr>
      <vt:lpstr>'x-310'!TABLE_SECTION_1</vt:lpstr>
      <vt:lpstr>'x-311'!TABLE_SECTION_1</vt:lpstr>
      <vt:lpstr>'x-312'!TABLE_SECTION_1</vt:lpstr>
      <vt:lpstr>'x-313'!TABLE_SECTION_1</vt:lpstr>
      <vt:lpstr>'x-314'!TABLE_SECTION_1</vt:lpstr>
      <vt:lpstr>'x-315'!TABLE_SECTION_1</vt:lpstr>
      <vt:lpstr>'x-316'!TABLE_SECTION_1</vt:lpstr>
      <vt:lpstr>'x-317'!TABLE_SECTION_1</vt:lpstr>
      <vt:lpstr>'x-318'!TABLE_SECTION_1</vt:lpstr>
      <vt:lpstr>'x-319'!TABLE_SECTION_1</vt:lpstr>
      <vt:lpstr>'x-320'!TABLE_SECTION_1</vt:lpstr>
      <vt:lpstr>'x-321'!TABLE_SECTION_1</vt:lpstr>
      <vt:lpstr>'x-322'!TABLE_SECTION_1</vt:lpstr>
      <vt:lpstr>'x-323'!TABLE_SECTION_1</vt:lpstr>
      <vt:lpstr>'x-324'!TABLE_SECTION_1</vt:lpstr>
      <vt:lpstr>'x-325'!TABLE_SECTION_1</vt:lpstr>
      <vt:lpstr>'x-326'!TABLE_SECTION_1</vt:lpstr>
      <vt:lpstr>'x-327'!TABLE_SECTION_1</vt:lpstr>
      <vt:lpstr>'x-328'!TABLE_SECTION_1</vt:lpstr>
      <vt:lpstr>'x-401'!TABLE_SECTION_1</vt:lpstr>
      <vt:lpstr>'x-403'!TABLE_SECTION_1</vt:lpstr>
      <vt:lpstr>'x-404'!TABLE_SECTION_1</vt:lpstr>
      <vt:lpstr>'x-405'!TABLE_SECTION_1</vt:lpstr>
      <vt:lpstr>'x-406'!TABLE_SECTION_1</vt:lpstr>
      <vt:lpstr>'x-407'!TABLE_SECTION_1</vt:lpstr>
      <vt:lpstr>'x-501'!TABLE_SECTION_1</vt:lpstr>
      <vt:lpstr>'x-502'!TABLE_SECTION_1</vt:lpstr>
      <vt:lpstr>'x-503'!TABLE_SECTION_1</vt:lpstr>
      <vt:lpstr>'x-504'!TABLE_SECTION_1</vt:lpstr>
      <vt:lpstr>'x-505'!TABLE_SECTION_1</vt:lpstr>
      <vt:lpstr>'x-506'!TABLE_SECTION_1</vt:lpstr>
      <vt:lpstr>'x-603'!TABLE_SECTION_1</vt:lpstr>
      <vt:lpstr>'x-604'!TABLE_SECTION_1</vt:lpstr>
      <vt:lpstr>'x-605'!TABLE_SECTION_1</vt:lpstr>
      <vt:lpstr>'x-606'!TABLE_SECTION_1</vt:lpstr>
      <vt:lpstr>'x-607'!TABLE_SECTION_1</vt:lpstr>
      <vt:lpstr>'x-608'!TABLE_SECTION_1</vt:lpstr>
      <vt:lpstr>'x-609'!TABLE_SECTION_1</vt:lpstr>
      <vt:lpstr>'x-610'!TABLE_SECTION_1</vt:lpstr>
      <vt:lpstr>'x-611'!TABLE_SECTION_1</vt:lpstr>
      <vt:lpstr>'x-612'!TABLE_SECTION_1</vt:lpstr>
      <vt:lpstr>'x-613'!TABLE_SECTION_1</vt:lpstr>
      <vt:lpstr>'x-614'!TABLE_SECTION_1</vt:lpstr>
      <vt:lpstr>'x-615'!TABLE_SECTION_1</vt:lpstr>
      <vt:lpstr>'x-616'!TABLE_SECTION_1</vt:lpstr>
      <vt:lpstr>'x-617'!TABLE_SECTION_1</vt:lpstr>
      <vt:lpstr>'x-618'!TABLE_SECTION_1</vt:lpstr>
      <vt:lpstr>'x-619'!TABLE_SECTION_1</vt:lpstr>
      <vt:lpstr>'x-620'!TABLE_SECTION_1</vt:lpstr>
      <vt:lpstr>'x-621'!TABLE_SECTION_1</vt:lpstr>
      <vt:lpstr>'x-622'!TABLE_SECTION_1</vt:lpstr>
      <vt:lpstr>'x-623'!TABLE_SECTION_1</vt:lpstr>
      <vt:lpstr>'x-624'!TABLE_SECTION_1</vt:lpstr>
      <vt:lpstr>'x-625'!TABLE_SECTION_1</vt:lpstr>
      <vt:lpstr>'x-626'!TABLE_SECTION_1</vt:lpstr>
      <vt:lpstr>'x-627'!TABLE_SECTION_1</vt:lpstr>
      <vt:lpstr>'x-701'!TABLE_SECTION_1</vt:lpstr>
      <vt:lpstr>'x-702'!TABLE_SECTION_1</vt:lpstr>
      <vt:lpstr>'x-802'!TABLE_SECTION_1</vt:lpstr>
      <vt:lpstr>'x-701'!TABLE_SECTION_2</vt:lpstr>
      <vt:lpstr>'x-802'!TABLE_SECTION_2</vt:lpstr>
      <vt:lpstr>'x-802'!TABLE_SECTION_3</vt:lpstr>
      <vt:lpstr>TABLE_SECTION_NUMBER</vt:lpstr>
      <vt:lpstr>'x-201'!TABLE_SECTION_NUMBER_1</vt:lpstr>
      <vt:lpstr>'x-202'!TABLE_SECTION_NUMBER_1</vt:lpstr>
      <vt:lpstr>'x-203'!TABLE_SECTION_NUMBER_1</vt:lpstr>
      <vt:lpstr>'x-204'!TABLE_SECTION_NUMBER_1</vt:lpstr>
      <vt:lpstr>'x-205'!TABLE_SECTION_NUMBER_1</vt:lpstr>
      <vt:lpstr>'x-206'!TABLE_SECTION_NUMBER_1</vt:lpstr>
      <vt:lpstr>'x-207'!TABLE_SECTION_NUMBER_1</vt:lpstr>
      <vt:lpstr>'x-208'!TABLE_SECTION_NUMBER_1</vt:lpstr>
      <vt:lpstr>'x-209'!TABLE_SECTION_NUMBER_1</vt:lpstr>
      <vt:lpstr>'x-210'!TABLE_SECTION_NUMBER_1</vt:lpstr>
      <vt:lpstr>'x-211'!TABLE_SECTION_NUMBER_1</vt:lpstr>
      <vt:lpstr>'x-212'!TABLE_SECTION_NUMBER_1</vt:lpstr>
      <vt:lpstr>'x-213'!TABLE_SECTION_NUMBER_1</vt:lpstr>
      <vt:lpstr>'x-214'!TABLE_SECTION_NUMBER_1</vt:lpstr>
      <vt:lpstr>'x-215'!TABLE_SECTION_NUMBER_1</vt:lpstr>
      <vt:lpstr>'x-220'!TABLE_SECTION_NUMBER_1</vt:lpstr>
      <vt:lpstr>'x-221'!TABLE_SECTION_NUMBER_1</vt:lpstr>
      <vt:lpstr>'x-301'!TABLE_SECTION_NUMBER_1</vt:lpstr>
      <vt:lpstr>'x-302'!TABLE_SECTION_NUMBER_1</vt:lpstr>
      <vt:lpstr>'x-303'!TABLE_SECTION_NUMBER_1</vt:lpstr>
      <vt:lpstr>'x-304'!TABLE_SECTION_NUMBER_1</vt:lpstr>
      <vt:lpstr>'x-305'!TABLE_SECTION_NUMBER_1</vt:lpstr>
      <vt:lpstr>'x-306'!TABLE_SECTION_NUMBER_1</vt:lpstr>
      <vt:lpstr>'x-307'!TABLE_SECTION_NUMBER_1</vt:lpstr>
      <vt:lpstr>'x-308'!TABLE_SECTION_NUMBER_1</vt:lpstr>
      <vt:lpstr>'x-309'!TABLE_SECTION_NUMBER_1</vt:lpstr>
      <vt:lpstr>'x-310'!TABLE_SECTION_NUMBER_1</vt:lpstr>
      <vt:lpstr>'x-311'!TABLE_SECTION_NUMBER_1</vt:lpstr>
      <vt:lpstr>'x-312'!TABLE_SECTION_NUMBER_1</vt:lpstr>
      <vt:lpstr>'x-313'!TABLE_SECTION_NUMBER_1</vt:lpstr>
      <vt:lpstr>'x-314'!TABLE_SECTION_NUMBER_1</vt:lpstr>
      <vt:lpstr>'x-315'!TABLE_SECTION_NUMBER_1</vt:lpstr>
      <vt:lpstr>'x-316'!TABLE_SECTION_NUMBER_1</vt:lpstr>
      <vt:lpstr>'x-317'!TABLE_SECTION_NUMBER_1</vt:lpstr>
      <vt:lpstr>'x-318'!TABLE_SECTION_NUMBER_1</vt:lpstr>
      <vt:lpstr>'x-319'!TABLE_SECTION_NUMBER_1</vt:lpstr>
      <vt:lpstr>'x-320'!TABLE_SECTION_NUMBER_1</vt:lpstr>
      <vt:lpstr>'x-321'!TABLE_SECTION_NUMBER_1</vt:lpstr>
      <vt:lpstr>'x-322'!TABLE_SECTION_NUMBER_1</vt:lpstr>
      <vt:lpstr>'x-323'!TABLE_SECTION_NUMBER_1</vt:lpstr>
      <vt:lpstr>'x-324'!TABLE_SECTION_NUMBER_1</vt:lpstr>
      <vt:lpstr>'x-325'!TABLE_SECTION_NUMBER_1</vt:lpstr>
      <vt:lpstr>'x-326'!TABLE_SECTION_NUMBER_1</vt:lpstr>
      <vt:lpstr>'x-327'!TABLE_SECTION_NUMBER_1</vt:lpstr>
      <vt:lpstr>'x-328'!TABLE_SECTION_NUMBER_1</vt:lpstr>
      <vt:lpstr>'x-401'!TABLE_SECTION_NUMBER_1</vt:lpstr>
      <vt:lpstr>'x-403'!TABLE_SECTION_NUMBER_1</vt:lpstr>
      <vt:lpstr>'x-404'!TABLE_SECTION_NUMBER_1</vt:lpstr>
      <vt:lpstr>'x-405'!TABLE_SECTION_NUMBER_1</vt:lpstr>
      <vt:lpstr>'x-406'!TABLE_SECTION_NUMBER_1</vt:lpstr>
      <vt:lpstr>'x-407'!TABLE_SECTION_NUMBER_1</vt:lpstr>
      <vt:lpstr>'x-501'!TABLE_SECTION_NUMBER_1</vt:lpstr>
      <vt:lpstr>'x-502'!TABLE_SECTION_NUMBER_1</vt:lpstr>
      <vt:lpstr>'x-503'!TABLE_SECTION_NUMBER_1</vt:lpstr>
      <vt:lpstr>'x-504'!TABLE_SECTION_NUMBER_1</vt:lpstr>
      <vt:lpstr>'x-505'!TABLE_SECTION_NUMBER_1</vt:lpstr>
      <vt:lpstr>'x-506'!TABLE_SECTION_NUMBER_1</vt:lpstr>
      <vt:lpstr>'x-603'!TABLE_SECTION_NUMBER_1</vt:lpstr>
      <vt:lpstr>'x-604'!TABLE_SECTION_NUMBER_1</vt:lpstr>
      <vt:lpstr>'x-605'!TABLE_SECTION_NUMBER_1</vt:lpstr>
      <vt:lpstr>'x-606'!TABLE_SECTION_NUMBER_1</vt:lpstr>
      <vt:lpstr>'x-607'!TABLE_SECTION_NUMBER_1</vt:lpstr>
      <vt:lpstr>'x-608'!TABLE_SECTION_NUMBER_1</vt:lpstr>
      <vt:lpstr>'x-609'!TABLE_SECTION_NUMBER_1</vt:lpstr>
      <vt:lpstr>'x-610'!TABLE_SECTION_NUMBER_1</vt:lpstr>
      <vt:lpstr>'x-611'!TABLE_SECTION_NUMBER_1</vt:lpstr>
      <vt:lpstr>'x-612'!TABLE_SECTION_NUMBER_1</vt:lpstr>
      <vt:lpstr>'x-613'!TABLE_SECTION_NUMBER_1</vt:lpstr>
      <vt:lpstr>'x-614'!TABLE_SECTION_NUMBER_1</vt:lpstr>
      <vt:lpstr>'x-615'!TABLE_SECTION_NUMBER_1</vt:lpstr>
      <vt:lpstr>'x-616'!TABLE_SECTION_NUMBER_1</vt:lpstr>
      <vt:lpstr>'x-617'!TABLE_SECTION_NUMBER_1</vt:lpstr>
      <vt:lpstr>'x-618'!TABLE_SECTION_NUMBER_1</vt:lpstr>
      <vt:lpstr>'x-619'!TABLE_SECTION_NUMBER_1</vt:lpstr>
      <vt:lpstr>'x-620'!TABLE_SECTION_NUMBER_1</vt:lpstr>
      <vt:lpstr>'x-621'!TABLE_SECTION_NUMBER_1</vt:lpstr>
      <vt:lpstr>'x-622'!TABLE_SECTION_NUMBER_1</vt:lpstr>
      <vt:lpstr>'x-623'!TABLE_SECTION_NUMBER_1</vt:lpstr>
      <vt:lpstr>'x-624'!TABLE_SECTION_NUMBER_1</vt:lpstr>
      <vt:lpstr>'x-625'!TABLE_SECTION_NUMBER_1</vt:lpstr>
      <vt:lpstr>'x-626'!TABLE_SECTION_NUMBER_1</vt:lpstr>
      <vt:lpstr>'x-627'!TABLE_SECTION_NUMBER_1</vt:lpstr>
      <vt:lpstr>'x-701'!TABLE_SECTION_NUMBER_1</vt:lpstr>
      <vt:lpstr>'x-702'!TABLE_SECTION_NUMBER_1</vt:lpstr>
      <vt:lpstr>'x-802'!TABLE_SECTION_NUMBER_1</vt:lpstr>
      <vt:lpstr>'x-701'!TABLE_SECTION_NUMBER_2</vt:lpstr>
      <vt:lpstr>'x-802'!TABLE_SECTION_NUMBER_2</vt:lpstr>
      <vt:lpstr>'x-802'!TABLE_SECTION_NUMBER_3</vt:lpstr>
      <vt:lpstr>TABLE_SERIES_NUMBER</vt:lpstr>
      <vt:lpstr>'x-201'!TABLE_SERIES_NUMBER_1</vt:lpstr>
      <vt:lpstr>'x-202'!TABLE_SERIES_NUMBER_1</vt:lpstr>
      <vt:lpstr>'x-203'!TABLE_SERIES_NUMBER_1</vt:lpstr>
      <vt:lpstr>'x-204'!TABLE_SERIES_NUMBER_1</vt:lpstr>
      <vt:lpstr>'x-205'!TABLE_SERIES_NUMBER_1</vt:lpstr>
      <vt:lpstr>'x-206'!TABLE_SERIES_NUMBER_1</vt:lpstr>
      <vt:lpstr>'x-207'!TABLE_SERIES_NUMBER_1</vt:lpstr>
      <vt:lpstr>'x-208'!TABLE_SERIES_NUMBER_1</vt:lpstr>
      <vt:lpstr>'x-209'!TABLE_SERIES_NUMBER_1</vt:lpstr>
      <vt:lpstr>'x-210'!TABLE_SERIES_NUMBER_1</vt:lpstr>
      <vt:lpstr>'x-211'!TABLE_SERIES_NUMBER_1</vt:lpstr>
      <vt:lpstr>'x-212'!TABLE_SERIES_NUMBER_1</vt:lpstr>
      <vt:lpstr>'x-213'!TABLE_SERIES_NUMBER_1</vt:lpstr>
      <vt:lpstr>'x-214'!TABLE_SERIES_NUMBER_1</vt:lpstr>
      <vt:lpstr>'x-215'!TABLE_SERIES_NUMBER_1</vt:lpstr>
      <vt:lpstr>'x-220'!TABLE_SERIES_NUMBER_1</vt:lpstr>
      <vt:lpstr>'x-221'!TABLE_SERIES_NUMBER_1</vt:lpstr>
      <vt:lpstr>'x-301'!TABLE_SERIES_NUMBER_1</vt:lpstr>
      <vt:lpstr>'x-302'!TABLE_SERIES_NUMBER_1</vt:lpstr>
      <vt:lpstr>'x-303'!TABLE_SERIES_NUMBER_1</vt:lpstr>
      <vt:lpstr>'x-304'!TABLE_SERIES_NUMBER_1</vt:lpstr>
      <vt:lpstr>'x-305'!TABLE_SERIES_NUMBER_1</vt:lpstr>
      <vt:lpstr>'x-306'!TABLE_SERIES_NUMBER_1</vt:lpstr>
      <vt:lpstr>'x-307'!TABLE_SERIES_NUMBER_1</vt:lpstr>
      <vt:lpstr>'x-308'!TABLE_SERIES_NUMBER_1</vt:lpstr>
      <vt:lpstr>'x-309'!TABLE_SERIES_NUMBER_1</vt:lpstr>
      <vt:lpstr>'x-310'!TABLE_SERIES_NUMBER_1</vt:lpstr>
      <vt:lpstr>'x-311'!TABLE_SERIES_NUMBER_1</vt:lpstr>
      <vt:lpstr>'x-312'!TABLE_SERIES_NUMBER_1</vt:lpstr>
      <vt:lpstr>'x-313'!TABLE_SERIES_NUMBER_1</vt:lpstr>
      <vt:lpstr>'x-314'!TABLE_SERIES_NUMBER_1</vt:lpstr>
      <vt:lpstr>'x-315'!TABLE_SERIES_NUMBER_1</vt:lpstr>
      <vt:lpstr>'x-316'!TABLE_SERIES_NUMBER_1</vt:lpstr>
      <vt:lpstr>'x-317'!TABLE_SERIES_NUMBER_1</vt:lpstr>
      <vt:lpstr>'x-318'!TABLE_SERIES_NUMBER_1</vt:lpstr>
      <vt:lpstr>'x-319'!TABLE_SERIES_NUMBER_1</vt:lpstr>
      <vt:lpstr>'x-320'!TABLE_SERIES_NUMBER_1</vt:lpstr>
      <vt:lpstr>'x-321'!TABLE_SERIES_NUMBER_1</vt:lpstr>
      <vt:lpstr>'x-322'!TABLE_SERIES_NUMBER_1</vt:lpstr>
      <vt:lpstr>'x-323'!TABLE_SERIES_NUMBER_1</vt:lpstr>
      <vt:lpstr>'x-324'!TABLE_SERIES_NUMBER_1</vt:lpstr>
      <vt:lpstr>'x-325'!TABLE_SERIES_NUMBER_1</vt:lpstr>
      <vt:lpstr>'x-326'!TABLE_SERIES_NUMBER_1</vt:lpstr>
      <vt:lpstr>'x-327'!TABLE_SERIES_NUMBER_1</vt:lpstr>
      <vt:lpstr>'x-328'!TABLE_SERIES_NUMBER_1</vt:lpstr>
      <vt:lpstr>'x-401'!TABLE_SERIES_NUMBER_1</vt:lpstr>
      <vt:lpstr>'x-403'!TABLE_SERIES_NUMBER_1</vt:lpstr>
      <vt:lpstr>'x-404'!TABLE_SERIES_NUMBER_1</vt:lpstr>
      <vt:lpstr>'x-405'!TABLE_SERIES_NUMBER_1</vt:lpstr>
      <vt:lpstr>'x-406'!TABLE_SERIES_NUMBER_1</vt:lpstr>
      <vt:lpstr>'x-407'!TABLE_SERIES_NUMBER_1</vt:lpstr>
      <vt:lpstr>'x-501'!TABLE_SERIES_NUMBER_1</vt:lpstr>
      <vt:lpstr>'x-502'!TABLE_SERIES_NUMBER_1</vt:lpstr>
      <vt:lpstr>'x-503'!TABLE_SERIES_NUMBER_1</vt:lpstr>
      <vt:lpstr>'x-504'!TABLE_SERIES_NUMBER_1</vt:lpstr>
      <vt:lpstr>'x-505'!TABLE_SERIES_NUMBER_1</vt:lpstr>
      <vt:lpstr>'x-506'!TABLE_SERIES_NUMBER_1</vt:lpstr>
      <vt:lpstr>'x-603'!TABLE_SERIES_NUMBER_1</vt:lpstr>
      <vt:lpstr>'x-604'!TABLE_SERIES_NUMBER_1</vt:lpstr>
      <vt:lpstr>'x-605'!TABLE_SERIES_NUMBER_1</vt:lpstr>
      <vt:lpstr>'x-606'!TABLE_SERIES_NUMBER_1</vt:lpstr>
      <vt:lpstr>'x-607'!TABLE_SERIES_NUMBER_1</vt:lpstr>
      <vt:lpstr>'x-608'!TABLE_SERIES_NUMBER_1</vt:lpstr>
      <vt:lpstr>'x-609'!TABLE_SERIES_NUMBER_1</vt:lpstr>
      <vt:lpstr>'x-610'!TABLE_SERIES_NUMBER_1</vt:lpstr>
      <vt:lpstr>'x-611'!TABLE_SERIES_NUMBER_1</vt:lpstr>
      <vt:lpstr>'x-612'!TABLE_SERIES_NUMBER_1</vt:lpstr>
      <vt:lpstr>'x-613'!TABLE_SERIES_NUMBER_1</vt:lpstr>
      <vt:lpstr>'x-614'!TABLE_SERIES_NUMBER_1</vt:lpstr>
      <vt:lpstr>'x-615'!TABLE_SERIES_NUMBER_1</vt:lpstr>
      <vt:lpstr>'x-616'!TABLE_SERIES_NUMBER_1</vt:lpstr>
      <vt:lpstr>'x-617'!TABLE_SERIES_NUMBER_1</vt:lpstr>
      <vt:lpstr>'x-618'!TABLE_SERIES_NUMBER_1</vt:lpstr>
      <vt:lpstr>'x-619'!TABLE_SERIES_NUMBER_1</vt:lpstr>
      <vt:lpstr>'x-620'!TABLE_SERIES_NUMBER_1</vt:lpstr>
      <vt:lpstr>'x-621'!TABLE_SERIES_NUMBER_1</vt:lpstr>
      <vt:lpstr>'x-622'!TABLE_SERIES_NUMBER_1</vt:lpstr>
      <vt:lpstr>'x-623'!TABLE_SERIES_NUMBER_1</vt:lpstr>
      <vt:lpstr>'x-624'!TABLE_SERIES_NUMBER_1</vt:lpstr>
      <vt:lpstr>'x-625'!TABLE_SERIES_NUMBER_1</vt:lpstr>
      <vt:lpstr>'x-626'!TABLE_SERIES_NUMBER_1</vt:lpstr>
      <vt:lpstr>'x-627'!TABLE_SERIES_NUMBER_1</vt:lpstr>
      <vt:lpstr>'x-701'!TABLE_SERIES_NUMBER_1</vt:lpstr>
      <vt:lpstr>'x-702'!TABLE_SERIES_NUMBER_1</vt:lpstr>
      <vt:lpstr>'x-802'!TABLE_SERIES_NUMBER_1</vt:lpstr>
      <vt:lpstr>'x-701'!TABLE_SERIES_NUMBER_2</vt:lpstr>
      <vt:lpstr>'x-802'!TABLE_SERIES_NUMBER_2</vt:lpstr>
      <vt:lpstr>'x-802'!TABLE_SERIES_NUMBER_3</vt:lpstr>
      <vt:lpstr>title</vt:lpstr>
      <vt:lpstr>title_new</vt:lpstr>
      <vt:lpstr>tn</vt:lpstr>
    </vt:vector>
  </TitlesOfParts>
  <Manager/>
  <Company>Government Actuary's Department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Fire NI Consolidated Factors 2025-02.xlsx</dc:title>
  <dc:subject/>
  <dc:creator>Brian Allan</dc:creator>
  <cp:keywords/>
  <dc:description/>
  <cp:lastModifiedBy>Colley, Peter - GAD</cp:lastModifiedBy>
  <cp:revision/>
  <dcterms:created xsi:type="dcterms:W3CDTF">2007-01-30T12:07:56Z</dcterms:created>
  <dcterms:modified xsi:type="dcterms:W3CDTF">2026-03-12T09:37:05Z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W-DOC-ID">
    <vt:lpwstr>3ca5445f6e7b4f7d890fddad30f93fa4</vt:lpwstr>
  </property>
  <property fmtid="{D5CDD505-2E9C-101B-9397-08002B2CF9AE}" pid="3" name="SW-FINGERPRINT">
    <vt:lpwstr/>
  </property>
  <property fmtid="{D5CDD505-2E9C-101B-9397-08002B2CF9AE}" pid="4" name="ContentTypeId">
    <vt:lpwstr>0x01010012B3620EAB1DF74A810920FA00BB7CA7</vt:lpwstr>
  </property>
  <property fmtid="{D5CDD505-2E9C-101B-9397-08002B2CF9AE}" pid="5" name="_dlc_DocIdItemGuid">
    <vt:lpwstr>20cbbcc7-8353-40f9-a6d3-f2a28b25f7ae</vt:lpwstr>
  </property>
  <property fmtid="{D5CDD505-2E9C-101B-9397-08002B2CF9AE}" pid="6" name="HMT_DocumentType">
    <vt:lpwstr>96;#Guidance|ed606928-c24d-4a79-a80c-d6eb5d189fb4</vt:lpwstr>
  </property>
  <property fmtid="{D5CDD505-2E9C-101B-9397-08002B2CF9AE}" pid="7" name="HMT_Group">
    <vt:lpwstr/>
  </property>
  <property fmtid="{D5CDD505-2E9C-101B-9397-08002B2CF9AE}" pid="8" name="MediaServiceImageTags">
    <vt:lpwstr/>
  </property>
  <property fmtid="{D5CDD505-2E9C-101B-9397-08002B2CF9AE}" pid="9" name="HMT_SubTeam">
    <vt:lpwstr/>
  </property>
  <property fmtid="{D5CDD505-2E9C-101B-9397-08002B2CF9AE}" pid="10" name="HMT_Team">
    <vt:lpwstr/>
  </property>
  <property fmtid="{D5CDD505-2E9C-101B-9397-08002B2CF9AE}" pid="11" name="HMT_Category">
    <vt:lpwstr/>
  </property>
  <property fmtid="{D5CDD505-2E9C-101B-9397-08002B2CF9AE}" pid="12" name="HMT_Classification">
    <vt:lpwstr/>
  </property>
  <property fmtid="{D5CDD505-2E9C-101B-9397-08002B2CF9AE}" pid="13" name="HMT_SubTeamHTField0">
    <vt:lpwstr/>
  </property>
  <property fmtid="{D5CDD505-2E9C-101B-9397-08002B2CF9AE}" pid="14" name="HMT_TeamHTField0">
    <vt:lpwstr/>
  </property>
  <property fmtid="{D5CDD505-2E9C-101B-9397-08002B2CF9AE}" pid="15" name="HMT_CategoryHTField0">
    <vt:lpwstr/>
  </property>
  <property fmtid="{D5CDD505-2E9C-101B-9397-08002B2CF9AE}" pid="16" name="b9c42a306c8b47fcbaf8a41a71352f3a">
    <vt:lpwstr/>
  </property>
  <property fmtid="{D5CDD505-2E9C-101B-9397-08002B2CF9AE}" pid="17" name="HMT_GroupHTField0">
    <vt:lpwstr/>
  </property>
  <property fmtid="{D5CDD505-2E9C-101B-9397-08002B2CF9AE}" pid="18" name="TaxCatchAll">
    <vt:lpwstr>96;#Guidance|ed606928-c24d-4a79-a80c-d6eb5d189fb4</vt:lpwstr>
  </property>
  <property fmtid="{D5CDD505-2E9C-101B-9397-08002B2CF9AE}" pid="19" name="HMT_DocumentTypeHTField0">
    <vt:lpwstr>Guidance|ed606928-c24d-4a79-a80c-d6eb5d189fb4</vt:lpwstr>
  </property>
</Properties>
</file>