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tris42.sharepoint.com/sites/gad_wrkgrp_actuarial/pspsactuarialwork/Central/Factors &amp; Guidance/2024 Guidance Review/4. Online portal/3. Import data/3. Factor tables/0_client_friendly/Ready to be uploaded/2025-03/"/>
    </mc:Choice>
  </mc:AlternateContent>
  <xr:revisionPtr revIDLastSave="0" documentId="8_{13693CE5-2942-47B3-A9A4-5628B300DC7A}" xr6:coauthVersionLast="47" xr6:coauthVersionMax="47" xr10:uidLastSave="{00000000-0000-0000-0000-000000000000}"/>
  <bookViews>
    <workbookView xWindow="-108" yWindow="-108" windowWidth="30936" windowHeight="16776" tabRatio="936" firstSheet="5" activeTab="5" xr2:uid="{00000000-000D-0000-FFFF-FFFF00000000}"/>
  </bookViews>
  <sheets>
    <sheet name="Cover" sheetId="1" r:id="rId1"/>
    <sheet name="Purpose of spreadsheet" sheetId="77" r:id="rId2"/>
    <sheet name="Version Control" sheetId="78" r:id="rId3"/>
    <sheet name="Summary - Fire_S" sheetId="96" state="hidden" r:id="rId4"/>
    <sheet name="AnnGenHiddenLists" sheetId="103" state="hidden" r:id="rId5"/>
    <sheet name="Factor List" sheetId="55" r:id="rId6"/>
    <sheet name="x-Series Number" sheetId="102" state="hidden" r:id="rId7"/>
    <sheet name="Assumptions" sheetId="201" r:id="rId8"/>
    <sheet name="x-201" sheetId="104" r:id="rId9"/>
    <sheet name="x-202" sheetId="105" r:id="rId10"/>
    <sheet name="x-203" sheetId="106" r:id="rId11"/>
    <sheet name="x-204" sheetId="107" r:id="rId12"/>
    <sheet name="x-205" sheetId="108" r:id="rId13"/>
    <sheet name="x-206" sheetId="109" r:id="rId14"/>
    <sheet name="x-207" sheetId="110" r:id="rId15"/>
    <sheet name="x-208" sheetId="111" r:id="rId16"/>
    <sheet name="x-209" sheetId="112" r:id="rId17"/>
    <sheet name="x-210" sheetId="113" r:id="rId18"/>
    <sheet name="x-211" sheetId="114" r:id="rId19"/>
    <sheet name="x-212" sheetId="115" r:id="rId20"/>
    <sheet name="x-213" sheetId="116" r:id="rId21"/>
    <sheet name="x-214" sheetId="117" r:id="rId22"/>
    <sheet name="x-215" sheetId="118" r:id="rId23"/>
    <sheet name="x-220" sheetId="140" r:id="rId24"/>
    <sheet name="x-221" sheetId="141" r:id="rId25"/>
    <sheet name="x-301" sheetId="119" r:id="rId26"/>
    <sheet name="x-302" sheetId="120" r:id="rId27"/>
    <sheet name="x-303" sheetId="121" r:id="rId28"/>
    <sheet name="x-304" sheetId="122" r:id="rId29"/>
    <sheet name="x-305" sheetId="123" r:id="rId30"/>
    <sheet name="x-306" sheetId="124" r:id="rId31"/>
    <sheet name="x-307" sheetId="125" r:id="rId32"/>
    <sheet name="x-308" sheetId="126" r:id="rId33"/>
    <sheet name="x-309" sheetId="127" r:id="rId34"/>
    <sheet name="x-310" sheetId="128" r:id="rId35"/>
    <sheet name="x-311" sheetId="129" r:id="rId36"/>
    <sheet name="x-312" sheetId="130" r:id="rId37"/>
    <sheet name="x-313" sheetId="181" r:id="rId38"/>
    <sheet name="x-314" sheetId="182" r:id="rId39"/>
    <sheet name="x-315" sheetId="183" r:id="rId40"/>
    <sheet name="x-316" sheetId="184" r:id="rId41"/>
    <sheet name="x-321" sheetId="186" r:id="rId42"/>
    <sheet name="x-317" sheetId="185" r:id="rId43"/>
    <sheet name="x-322" sheetId="187" r:id="rId44"/>
    <sheet name="x-323" sheetId="188" r:id="rId45"/>
    <sheet name="x-324" sheetId="189" r:id="rId46"/>
    <sheet name="x-325" sheetId="190" r:id="rId47"/>
    <sheet name="x-326" sheetId="191" r:id="rId48"/>
    <sheet name="x-327" sheetId="192" r:id="rId49"/>
    <sheet name="x-328" sheetId="193" r:id="rId50"/>
    <sheet name="x-329" sheetId="194" r:id="rId51"/>
    <sheet name="x-330" sheetId="195" r:id="rId52"/>
    <sheet name="x-331" sheetId="196" r:id="rId53"/>
    <sheet name="x-401" sheetId="166" r:id="rId54"/>
    <sheet name="x-402" sheetId="167" r:id="rId55"/>
    <sheet name="x-403" sheetId="168" r:id="rId56"/>
    <sheet name="x-404" sheetId="169" r:id="rId57"/>
    <sheet name="x-405" sheetId="170" r:id="rId58"/>
    <sheet name="x-406 " sheetId="200" r:id="rId59"/>
    <sheet name="x-407" sheetId="172" r:id="rId60"/>
    <sheet name="x-501" sheetId="173" r:id="rId61"/>
    <sheet name="x-502" sheetId="174" r:id="rId62"/>
    <sheet name="x-503" sheetId="175" r:id="rId63"/>
    <sheet name="x-504" sheetId="176" r:id="rId64"/>
    <sheet name="x-505" sheetId="198" r:id="rId65"/>
    <sheet name="x-506" sheetId="199" r:id="rId66"/>
    <sheet name="x-507" sheetId="202" r:id="rId67"/>
    <sheet name="x-601" sheetId="142" r:id="rId68"/>
    <sheet name="x-602" sheetId="143" r:id="rId69"/>
    <sheet name="x-603" sheetId="144" r:id="rId70"/>
    <sheet name="x-604" sheetId="145" r:id="rId71"/>
    <sheet name="x-605" sheetId="146" r:id="rId72"/>
    <sheet name="x-606" sheetId="147" r:id="rId73"/>
    <sheet name="x-607" sheetId="148" r:id="rId74"/>
    <sheet name="x-608" sheetId="149" r:id="rId75"/>
    <sheet name="x-609" sheetId="150" r:id="rId76"/>
    <sheet name="x-610" sheetId="151" r:id="rId77"/>
    <sheet name="x-611" sheetId="152" r:id="rId78"/>
    <sheet name="x-612" sheetId="153" r:id="rId79"/>
    <sheet name="x-613" sheetId="154" r:id="rId80"/>
    <sheet name="x-614" sheetId="155" r:id="rId81"/>
    <sheet name="x-615" sheetId="156" r:id="rId82"/>
    <sheet name="x-616" sheetId="157" r:id="rId83"/>
    <sheet name="x-617" sheetId="158" r:id="rId84"/>
    <sheet name="x-618" sheetId="159" r:id="rId85"/>
    <sheet name="x-619" sheetId="160" r:id="rId86"/>
    <sheet name="x-620" sheetId="161" r:id="rId87"/>
    <sheet name="x-621" sheetId="162" r:id="rId88"/>
    <sheet name="x-622" sheetId="163" r:id="rId89"/>
    <sheet name="x-626" sheetId="164" r:id="rId90"/>
    <sheet name="x-627" sheetId="165" r:id="rId91"/>
    <sheet name="x-701" sheetId="131" r:id="rId92"/>
    <sheet name="x-702" sheetId="132" r:id="rId93"/>
  </sheets>
  <externalReferences>
    <externalReference r:id="rId94"/>
    <externalReference r:id="rId95"/>
    <externalReference r:id="rId96"/>
    <externalReference r:id="rId97"/>
    <externalReference r:id="rId98"/>
    <externalReference r:id="rId99"/>
  </externalReferences>
  <definedNames>
    <definedName name="_xlnm._FilterDatabase" localSheetId="7" hidden="1">Assumptions!#REF!</definedName>
    <definedName name="_xlnm._FilterDatabase" localSheetId="5" hidden="1">'Factor List'!$A$7:$Q$91</definedName>
    <definedName name="age_rng">#REF!</definedName>
    <definedName name="BaseTablesList">AnnGenHiddenLists!$A$4:$A$160</definedName>
    <definedName name="DATE_MODIFIED">'Version Control'!$C$23</definedName>
    <definedName name="FACTOR_LIST_AGE_DEF">'Factor List'!$G$7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List'!$P$7</definedName>
    <definedName name="FACTOR_LIST_FACTOR_TYPE">'Factor List'!$D$7</definedName>
    <definedName name="FACTOR_LIST_GENDER">'Factor List'!$F$7</definedName>
    <definedName name="FACTOR_LIST_HEADINGS">'Factor List'!$B$7:$Q$7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List'!#REF!</definedName>
    <definedName name="FACTOR_LIST_TABLE_ID">'Factor List'!#REF!</definedName>
    <definedName name="FACTOR_LIST_TIMESTAMP">'Factor List'!$Q$7</definedName>
    <definedName name="FACTOR_LIST_USER_ID">'Factor List'!#REF!</definedName>
    <definedName name="factor_table" localSheetId="66">#REF!</definedName>
    <definedName name="factor_table">#REF!</definedName>
    <definedName name="i_e">[1]Assumptions!$G$14</definedName>
    <definedName name="ImprovementsList">AnnGenHiddenLists!$C$4:$C$36</definedName>
    <definedName name="new_title">Cover!$A$2</definedName>
    <definedName name="new_title_2">Cover!$A$2</definedName>
    <definedName name="new_title_3">Cover!$A$2</definedName>
    <definedName name="NoD" localSheetId="66">#REF!</definedName>
    <definedName name="NoD">#REF!</definedName>
    <definedName name="_xlnm.Print_Area" localSheetId="3">'Summary - Fire_S'!$A$1:$H$224</definedName>
    <definedName name="_xlnm.Print_Area" localSheetId="8">'x-201'!$A$26:$L$48</definedName>
    <definedName name="_xlnm.Print_Area" localSheetId="9">'x-202'!$A$26:$L$48</definedName>
    <definedName name="_xlnm.Print_Area" localSheetId="10">'x-203'!$A$26:$L$48</definedName>
    <definedName name="_xlnm.Print_Area" localSheetId="11">'x-204'!$A$26:$L$48</definedName>
    <definedName name="_xlnm.Print_Area" localSheetId="12">'x-205'!$A$26:$K$48</definedName>
    <definedName name="_xlnm.Print_Area" localSheetId="13">'x-206'!$A$26:$L$48</definedName>
    <definedName name="_xlnm.Print_Area" localSheetId="14">'x-207'!$A$26:$L$48</definedName>
    <definedName name="_xlnm.Print_Area" localSheetId="15">'x-208'!$A$26:$L$48</definedName>
    <definedName name="_xlnm.Print_Area" localSheetId="16">'x-209'!$A$26:$L$48</definedName>
    <definedName name="_xlnm.Print_Area" localSheetId="17">'x-210'!$A$26:$L$48</definedName>
    <definedName name="_xlnm.Print_Area" localSheetId="18">'x-211'!$A$26:$L$48</definedName>
    <definedName name="_xlnm.Print_Area" localSheetId="19">'x-212'!$A$26:$L$48</definedName>
    <definedName name="_xlnm.Print_Area" localSheetId="20">'x-213'!$A$26:$L$48</definedName>
    <definedName name="_xlnm.Print_Area" localSheetId="21">'x-214'!$A$26:$L$48</definedName>
    <definedName name="_xlnm.Print_Area" localSheetId="22">'x-215'!$A$26:$L$48</definedName>
    <definedName name="_xlnm.Print_Area" localSheetId="23">'x-220'!$A$26:$L$48</definedName>
    <definedName name="_xlnm.Print_Area" localSheetId="24">'x-221'!$A$26:$L$48</definedName>
    <definedName name="_xlnm.Print_Area" localSheetId="25">'x-301'!$A$26:$N$48</definedName>
    <definedName name="_xlnm.Print_Area" localSheetId="26">'x-302'!$A$26:$N$48</definedName>
    <definedName name="_xlnm.Print_Area" localSheetId="27">'x-303'!$A$26:$N$48</definedName>
    <definedName name="_xlnm.Print_Area" localSheetId="28">'x-304'!$A$26:$N$48</definedName>
    <definedName name="_xlnm.Print_Area" localSheetId="29">'x-305'!$A$26:$N$48</definedName>
    <definedName name="_xlnm.Print_Area" localSheetId="30">'x-306'!$A$26:$N$48</definedName>
    <definedName name="_xlnm.Print_Area" localSheetId="31">'x-307'!$A$26:$N$48</definedName>
    <definedName name="_xlnm.Print_Area" localSheetId="32">'x-308'!$A$26:$N$48</definedName>
    <definedName name="_xlnm.Print_Area" localSheetId="33">'x-309'!$A$26:$N$48</definedName>
    <definedName name="_xlnm.Print_Area" localSheetId="34">'x-310'!$A$26:$N$48</definedName>
    <definedName name="_xlnm.Print_Area" localSheetId="35">'x-311'!$A$26:$N$48</definedName>
    <definedName name="_xlnm.Print_Area" localSheetId="36">'x-312'!$A$26:$N$48</definedName>
    <definedName name="_xlnm.Print_Area" localSheetId="37">'x-313'!$A$26:$N$48</definedName>
    <definedName name="_xlnm.Print_Area" localSheetId="38">'x-314'!$A$26:$N$48</definedName>
    <definedName name="_xlnm.Print_Area" localSheetId="39">'x-315'!$A$26:$N$48</definedName>
    <definedName name="_xlnm.Print_Area" localSheetId="40">'x-316'!$A$26:$N$48</definedName>
    <definedName name="_xlnm.Print_Area" localSheetId="42">'x-317'!$A$26:$N$48</definedName>
    <definedName name="_xlnm.Print_Area" localSheetId="41">'x-321'!$A$26:$M$48</definedName>
    <definedName name="_xlnm.Print_Area" localSheetId="43">'x-322'!$A$26:$J$48</definedName>
    <definedName name="_xlnm.Print_Area" localSheetId="44">'x-323'!$A$26:$N$48</definedName>
    <definedName name="_xlnm.Print_Area" localSheetId="45">'x-324'!$A$26:$M$48</definedName>
    <definedName name="_xlnm.Print_Area" localSheetId="46">'x-325'!$A$26:$M$48</definedName>
    <definedName name="_xlnm.Print_Area" localSheetId="47">'x-326'!$A$26:$N$48</definedName>
    <definedName name="_xlnm.Print_Area" localSheetId="48">'x-327'!$A$26:$N$48</definedName>
    <definedName name="_xlnm.Print_Area" localSheetId="49">'x-328'!$A$26:$N$48</definedName>
    <definedName name="_xlnm.Print_Area" localSheetId="50">'x-329'!$A$26:$N$48</definedName>
    <definedName name="_xlnm.Print_Area" localSheetId="51">'x-330'!$A$26:$N$48</definedName>
    <definedName name="_xlnm.Print_Area" localSheetId="52">'x-331'!$A$26:$N$48</definedName>
    <definedName name="_xlnm.Print_Area" localSheetId="53">'x-401'!$A$26:$N$48</definedName>
    <definedName name="_xlnm.Print_Area" localSheetId="54">'x-402'!$A$26:$N$48</definedName>
    <definedName name="_xlnm.Print_Area" localSheetId="55">'x-403'!$A$26:$N$48</definedName>
    <definedName name="_xlnm.Print_Area" localSheetId="56">'x-404'!$A$26:$N$48</definedName>
    <definedName name="_xlnm.Print_Area" localSheetId="57">'x-405'!$A$26:$N$48</definedName>
    <definedName name="_xlnm.Print_Area" localSheetId="58">'x-406 '!$A$26:$N$48</definedName>
    <definedName name="_xlnm.Print_Area" localSheetId="59">'x-407'!$A$26:$M$48</definedName>
    <definedName name="_xlnm.Print_Area" localSheetId="60">'x-501'!$A$26:$N$48</definedName>
    <definedName name="_xlnm.Print_Area" localSheetId="61">'x-502'!$A$26:$N$48</definedName>
    <definedName name="_xlnm.Print_Area" localSheetId="62">'x-503'!$A$26:$N$48</definedName>
    <definedName name="_xlnm.Print_Area" localSheetId="63">'x-504'!$A$26:$N$48</definedName>
    <definedName name="_xlnm.Print_Area" localSheetId="64">'x-505'!#REF!</definedName>
    <definedName name="_xlnm.Print_Area" localSheetId="65">'x-506'!#REF!</definedName>
    <definedName name="_xlnm.Print_Area" localSheetId="66">'x-507'!#REF!</definedName>
    <definedName name="_xlnm.Print_Area" localSheetId="67">'x-601'!$A$26:$N$48</definedName>
    <definedName name="_xlnm.Print_Area" localSheetId="68">'x-602'!$A$26:$N$48</definedName>
    <definedName name="_xlnm.Print_Area" localSheetId="69">'x-603'!$A$26:$M$48</definedName>
    <definedName name="_xlnm.Print_Area" localSheetId="70">'x-604'!$A$26:$M$48</definedName>
    <definedName name="_xlnm.Print_Area" localSheetId="71">'x-605'!$A$26:$N$48</definedName>
    <definedName name="_xlnm.Print_Area" localSheetId="72">'x-606'!$A$26:$K$48</definedName>
    <definedName name="_xlnm.Print_Area" localSheetId="73">'x-607'!$A$26:$K$48</definedName>
    <definedName name="_xlnm.Print_Area" localSheetId="74">'x-608'!$A$26:$N$48</definedName>
    <definedName name="_xlnm.Print_Area" localSheetId="75">'x-609'!$A$26:$M$48</definedName>
    <definedName name="_xlnm.Print_Area" localSheetId="76">'x-610'!$A$26:$M$48</definedName>
    <definedName name="_xlnm.Print_Area" localSheetId="77">'x-611'!$A$26:$M$48</definedName>
    <definedName name="_xlnm.Print_Area" localSheetId="78">'x-612'!$A$26:$M$48</definedName>
    <definedName name="_xlnm.Print_Area" localSheetId="79">'x-613'!$A$26:$N$48</definedName>
    <definedName name="_xlnm.Print_Area" localSheetId="80">'x-614'!$A$26:$N$48</definedName>
    <definedName name="_xlnm.Print_Area" localSheetId="81">'x-615'!$A$26:$K$48</definedName>
    <definedName name="_xlnm.Print_Area" localSheetId="82">'x-616'!$A$26:$K$48</definedName>
    <definedName name="_xlnm.Print_Area" localSheetId="83">'x-617'!$A$26:$N$48</definedName>
    <definedName name="_xlnm.Print_Area" localSheetId="84">'x-618'!$A$26:$N$48</definedName>
    <definedName name="_xlnm.Print_Area" localSheetId="85">'x-619'!$A$26:$N$48</definedName>
    <definedName name="_xlnm.Print_Area" localSheetId="86">'x-620'!$A$26:$N$48</definedName>
    <definedName name="_xlnm.Print_Area" localSheetId="87">'x-621'!$A$26:$N$48</definedName>
    <definedName name="_xlnm.Print_Area" localSheetId="88">'x-622'!$A$26:$N$48</definedName>
    <definedName name="_xlnm.Print_Area" localSheetId="89">'x-626'!$A$26:$K$48</definedName>
    <definedName name="_xlnm.Print_Area" localSheetId="90">'x-627'!$A$26:$K$48</definedName>
    <definedName name="_xlnm.Print_Area" localSheetId="91">'x-701'!$A$26:$N$48</definedName>
    <definedName name="_xlnm.Print_Area" localSheetId="92">'x-702'!$A$26:$N$48</definedName>
    <definedName name="_xlnm.Print_Area" localSheetId="6">'x-Series Number'!$A$25:$N$47</definedName>
    <definedName name="TABLE_AGE_DEF">'x-Series Number'!$B$12</definedName>
    <definedName name="TABLE_AGE_DEF_1" localSheetId="8">'x-201'!$B$12</definedName>
    <definedName name="TABLE_AGE_DEF_1" localSheetId="9">'x-202'!$B$12</definedName>
    <definedName name="TABLE_AGE_DEF_1" localSheetId="10">'x-203'!$B$12</definedName>
    <definedName name="TABLE_AGE_DEF_1" localSheetId="11">'x-204'!$B$12</definedName>
    <definedName name="TABLE_AGE_DEF_1" localSheetId="12">'x-205'!$B$12</definedName>
    <definedName name="TABLE_AGE_DEF_1" localSheetId="13">'x-206'!$B$12</definedName>
    <definedName name="TABLE_AGE_DEF_1" localSheetId="14">'x-207'!$B$12</definedName>
    <definedName name="TABLE_AGE_DEF_1" localSheetId="15">'x-208'!$B$12</definedName>
    <definedName name="TABLE_AGE_DEF_1" localSheetId="16">'x-209'!$B$12</definedName>
    <definedName name="TABLE_AGE_DEF_1" localSheetId="17">'x-210'!$B$12</definedName>
    <definedName name="TABLE_AGE_DEF_1" localSheetId="18">'x-211'!$B$12</definedName>
    <definedName name="TABLE_AGE_DEF_1" localSheetId="19">'x-212'!$B$12</definedName>
    <definedName name="TABLE_AGE_DEF_1" localSheetId="20">'x-213'!$B$12</definedName>
    <definedName name="TABLE_AGE_DEF_1" localSheetId="21">'x-214'!$B$12</definedName>
    <definedName name="TABLE_AGE_DEF_1" localSheetId="22">'x-215'!$B$12</definedName>
    <definedName name="TABLE_AGE_DEF_1" localSheetId="23">'x-220'!$B$12</definedName>
    <definedName name="TABLE_AGE_DEF_1" localSheetId="24">'x-221'!$B$12</definedName>
    <definedName name="TABLE_AGE_DEF_1" localSheetId="25">'x-301'!$B$12</definedName>
    <definedName name="TABLE_AGE_DEF_1" localSheetId="26">'x-302'!$B$12</definedName>
    <definedName name="TABLE_AGE_DEF_1" localSheetId="27">'x-303'!$B$12</definedName>
    <definedName name="TABLE_AGE_DEF_1" localSheetId="28">'x-304'!$B$12</definedName>
    <definedName name="TABLE_AGE_DEF_1" localSheetId="29">'x-305'!$B$12</definedName>
    <definedName name="TABLE_AGE_DEF_1" localSheetId="30">'x-306'!$B$12</definedName>
    <definedName name="TABLE_AGE_DEF_1" localSheetId="31">'x-307'!$B$12</definedName>
    <definedName name="TABLE_AGE_DEF_1" localSheetId="32">'x-308'!$B$12</definedName>
    <definedName name="TABLE_AGE_DEF_1" localSheetId="33">'x-309'!$B$12</definedName>
    <definedName name="TABLE_AGE_DEF_1" localSheetId="34">'x-310'!$B$12</definedName>
    <definedName name="TABLE_AGE_DEF_1" localSheetId="35">'x-311'!$B$12</definedName>
    <definedName name="TABLE_AGE_DEF_1" localSheetId="36">'x-312'!$B$12</definedName>
    <definedName name="TABLE_AGE_DEF_1" localSheetId="37">'x-313'!$B$12</definedName>
    <definedName name="TABLE_AGE_DEF_1" localSheetId="38">'x-314'!$B$12</definedName>
    <definedName name="TABLE_AGE_DEF_1" localSheetId="39">'x-315'!$B$12</definedName>
    <definedName name="TABLE_AGE_DEF_1" localSheetId="40">'x-316'!$B$12</definedName>
    <definedName name="TABLE_AGE_DEF_1" localSheetId="42">'x-317'!$B$12</definedName>
    <definedName name="TABLE_AGE_DEF_1" localSheetId="41">'x-321'!$B$12</definedName>
    <definedName name="TABLE_AGE_DEF_1" localSheetId="43">'x-322'!$B$12</definedName>
    <definedName name="TABLE_AGE_DEF_1" localSheetId="44">'x-323'!$B$12</definedName>
    <definedName name="TABLE_AGE_DEF_1" localSheetId="45">'x-324'!$B$12</definedName>
    <definedName name="TABLE_AGE_DEF_1" localSheetId="46">'x-325'!$B$12</definedName>
    <definedName name="TABLE_AGE_DEF_1" localSheetId="47">'x-326'!$B$12</definedName>
    <definedName name="TABLE_AGE_DEF_1" localSheetId="48">'x-327'!$B$12</definedName>
    <definedName name="TABLE_AGE_DEF_1" localSheetId="49">'x-328'!$B$12</definedName>
    <definedName name="TABLE_AGE_DEF_1" localSheetId="50">'x-329'!$B$12</definedName>
    <definedName name="TABLE_AGE_DEF_1" localSheetId="51">'x-330'!$B$12</definedName>
    <definedName name="TABLE_AGE_DEF_1" localSheetId="52">'x-331'!$B$12</definedName>
    <definedName name="TABLE_AGE_DEF_1" localSheetId="53">'x-401'!$B$12</definedName>
    <definedName name="TABLE_AGE_DEF_1" localSheetId="54">'x-402'!$B$12</definedName>
    <definedName name="TABLE_AGE_DEF_1" localSheetId="55">'x-403'!$B$12</definedName>
    <definedName name="TABLE_AGE_DEF_1" localSheetId="56">'x-404'!$B$12</definedName>
    <definedName name="TABLE_AGE_DEF_1" localSheetId="57">'x-405'!$B$12</definedName>
    <definedName name="TABLE_AGE_DEF_1" localSheetId="58">'x-406 '!$B$12</definedName>
    <definedName name="TABLE_AGE_DEF_1" localSheetId="59">'x-407'!$B$12</definedName>
    <definedName name="TABLE_AGE_DEF_1" localSheetId="60">'x-501'!$B$12</definedName>
    <definedName name="TABLE_AGE_DEF_1" localSheetId="61">'x-502'!$B$12</definedName>
    <definedName name="TABLE_AGE_DEF_1" localSheetId="62">'x-503'!$B$12</definedName>
    <definedName name="TABLE_AGE_DEF_1" localSheetId="63">'x-504'!$B$12</definedName>
    <definedName name="TABLE_AGE_DEF_1" localSheetId="64">'x-505'!$B$12</definedName>
    <definedName name="TABLE_AGE_DEF_1" localSheetId="65">'x-506'!$B$12</definedName>
    <definedName name="TABLE_AGE_DEF_1" localSheetId="66">'x-507'!$B$12</definedName>
    <definedName name="TABLE_AGE_DEF_1" localSheetId="67">'x-601'!$B$12</definedName>
    <definedName name="TABLE_AGE_DEF_1" localSheetId="68">'x-602'!$B$12</definedName>
    <definedName name="TABLE_AGE_DEF_1" localSheetId="69">'x-603'!$B$12</definedName>
    <definedName name="TABLE_AGE_DEF_1" localSheetId="70">'x-604'!$B$12</definedName>
    <definedName name="TABLE_AGE_DEF_1" localSheetId="71">'x-605'!$B$12</definedName>
    <definedName name="TABLE_AGE_DEF_1" localSheetId="72">'x-606'!$B$12</definedName>
    <definedName name="TABLE_AGE_DEF_1" localSheetId="73">'x-607'!$B$12</definedName>
    <definedName name="TABLE_AGE_DEF_1" localSheetId="74">'x-608'!$B$12</definedName>
    <definedName name="TABLE_AGE_DEF_1" localSheetId="75">'x-609'!$B$12</definedName>
    <definedName name="TABLE_AGE_DEF_1" localSheetId="76">'x-610'!$B$12</definedName>
    <definedName name="TABLE_AGE_DEF_1" localSheetId="77">'x-611'!$B$12</definedName>
    <definedName name="TABLE_AGE_DEF_1" localSheetId="78">'x-612'!$B$12</definedName>
    <definedName name="TABLE_AGE_DEF_1" localSheetId="79">'x-613'!$B$12</definedName>
    <definedName name="TABLE_AGE_DEF_1" localSheetId="80">'x-614'!$B$12</definedName>
    <definedName name="TABLE_AGE_DEF_1" localSheetId="81">'x-615'!$B$12</definedName>
    <definedName name="TABLE_AGE_DEF_1" localSheetId="82">'x-616'!$B$12</definedName>
    <definedName name="TABLE_AGE_DEF_1" localSheetId="83">'x-617'!$B$12</definedName>
    <definedName name="TABLE_AGE_DEF_1" localSheetId="84">'x-618'!$B$12</definedName>
    <definedName name="TABLE_AGE_DEF_1" localSheetId="85">'x-619'!$B$12</definedName>
    <definedName name="TABLE_AGE_DEF_1" localSheetId="86">'x-620'!$B$12</definedName>
    <definedName name="TABLE_AGE_DEF_1" localSheetId="87">'x-621'!$B$12</definedName>
    <definedName name="TABLE_AGE_DEF_1" localSheetId="88">'x-622'!$B$12</definedName>
    <definedName name="TABLE_AGE_DEF_1" localSheetId="89">'x-626'!$B$12</definedName>
    <definedName name="TABLE_AGE_DEF_1" localSheetId="90">'x-627'!$B$12</definedName>
    <definedName name="TABLE_AGE_DEF_1" localSheetId="91">'x-701'!$B$12</definedName>
    <definedName name="TABLE_AGE_DEF_1" localSheetId="92">'x-702'!$B$12</definedName>
    <definedName name="TABLE_AGE_DEF_2" localSheetId="91">'x-701'!$F$12</definedName>
    <definedName name="TABLE_AREA" localSheetId="64">'x-505'!#REF!</definedName>
    <definedName name="TABLE_AREA" localSheetId="65">'x-506'!#REF!</definedName>
    <definedName name="TABLE_AREA" localSheetId="66">'x-507'!#REF!</definedName>
    <definedName name="TABLE_AREA" localSheetId="72">'x-606'!#REF!</definedName>
    <definedName name="TABLE_AREA" localSheetId="73">'x-607'!#REF!</definedName>
    <definedName name="TABLE_AREA" localSheetId="81">'x-615'!#REF!</definedName>
    <definedName name="TABLE_AREA" localSheetId="82">'x-616'!#REF!</definedName>
    <definedName name="TABLE_AREA" localSheetId="89">'x-626'!$A$59:$B$65</definedName>
    <definedName name="TABLE_AREA" localSheetId="90">'x-627'!#REF!</definedName>
    <definedName name="TABLE_AREA">'x-Series Number'!$A$25:$B$64</definedName>
    <definedName name="TABLE_AREA_1" localSheetId="8">'x-201'!$A$26:$D$68</definedName>
    <definedName name="TABLE_AREA_1" localSheetId="9">'x-202'!$A$26:$D$68</definedName>
    <definedName name="TABLE_AREA_1" localSheetId="10">'x-203'!$A$26:$C$73</definedName>
    <definedName name="TABLE_AREA_1" localSheetId="11">'x-204'!$A$26:$C$68</definedName>
    <definedName name="TABLE_AREA_1" localSheetId="12">'x-205'!$A$26:$C$31</definedName>
    <definedName name="TABLE_AREA_1" localSheetId="13">'x-206'!$A$26:$D$68</definedName>
    <definedName name="TABLE_AREA_1" localSheetId="14">'x-207'!$A$26:$D$68</definedName>
    <definedName name="TABLE_AREA_1" localSheetId="15">'x-208'!$A$26:$C$85</definedName>
    <definedName name="TABLE_AREA_1" localSheetId="16">'x-209'!$A$26:$C$85</definedName>
    <definedName name="TABLE_AREA_1" localSheetId="17">'x-210'!$A$26:$C$85</definedName>
    <definedName name="TABLE_AREA_1" localSheetId="18">'x-211'!$A$26:$C$85</definedName>
    <definedName name="TABLE_AREA_1" localSheetId="19">'x-212'!$A$26:$C$85</definedName>
    <definedName name="TABLE_AREA_1" localSheetId="20">'x-213'!$A$26:$C$85</definedName>
    <definedName name="TABLE_AREA_1" localSheetId="21">'x-214'!$A$26:$C$85</definedName>
    <definedName name="TABLE_AREA_1" localSheetId="22">'x-215'!$A$26:$C$85</definedName>
    <definedName name="TABLE_AREA_1" localSheetId="23">'x-220'!$A$26:$C$68</definedName>
    <definedName name="TABLE_AREA_1" localSheetId="24">'x-221'!$A$26:$C$68</definedName>
    <definedName name="TABLE_AREA_1" localSheetId="25">'x-301'!$A$26:$F$62</definedName>
    <definedName name="TABLE_AREA_1" localSheetId="26">'x-302'!$A$26:$F$62</definedName>
    <definedName name="TABLE_AREA_1" localSheetId="27">'x-303'!$A$26:$E$92</definedName>
    <definedName name="TABLE_AREA_1" localSheetId="28">'x-304'!$A$26:$E$92</definedName>
    <definedName name="TABLE_AREA_1" localSheetId="29">'x-305'!$A$26:$D$57</definedName>
    <definedName name="TABLE_AREA_1" localSheetId="30">'x-306'!$A$26:$D$57</definedName>
    <definedName name="TABLE_AREA_1" localSheetId="31">'x-307'!$A$26:$D$92</definedName>
    <definedName name="TABLE_AREA_1" localSheetId="32">'x-308'!$A$26:$D$92</definedName>
    <definedName name="TABLE_AREA_1" localSheetId="33">'x-309'!$A$26:$D$57</definedName>
    <definedName name="TABLE_AREA_1" localSheetId="34">'x-310'!$A$26:$D$57</definedName>
    <definedName name="TABLE_AREA_1" localSheetId="35">'x-311'!$A$26:$D$92</definedName>
    <definedName name="TABLE_AREA_1" localSheetId="36">'x-312'!$A$26:$D$92</definedName>
    <definedName name="TABLE_AREA_1" localSheetId="37">'x-313'!$A$26:$C$96</definedName>
    <definedName name="TABLE_AREA_1" localSheetId="38">'x-314'!$A$26:$C$96</definedName>
    <definedName name="TABLE_AREA_1" localSheetId="39">'x-315'!$A$26:$C$96</definedName>
    <definedName name="TABLE_AREA_1" localSheetId="40">'x-316'!$A$26:$E$94</definedName>
    <definedName name="TABLE_AREA_1" localSheetId="42">'x-317'!$A$26:$E$94</definedName>
    <definedName name="TABLE_AREA_1" localSheetId="41">'x-321'!$A$26:$K$38</definedName>
    <definedName name="TABLE_AREA_1" localSheetId="43">'x-322'!$A$26:$G$38</definedName>
    <definedName name="TABLE_AREA_1" localSheetId="44">'x-323'!$A$26:$AQ$38</definedName>
    <definedName name="TABLE_AREA_1" localSheetId="45">'x-324'!$A$26:$K$38</definedName>
    <definedName name="TABLE_AREA_1" localSheetId="46">'x-325'!$A$26:$F$38</definedName>
    <definedName name="TABLE_AREA_1" localSheetId="47">'x-326'!$A$26:$K$38</definedName>
    <definedName name="TABLE_AREA_1" localSheetId="48">'x-327'!$A$26:$K$38</definedName>
    <definedName name="TABLE_AREA_1" localSheetId="49">'x-328'!$A$26:$AV$38</definedName>
    <definedName name="TABLE_AREA_1" localSheetId="50">'x-329'!$A$26:$AQ$38</definedName>
    <definedName name="TABLE_AREA_1" localSheetId="51">'x-330'!$A$26:$B$39</definedName>
    <definedName name="TABLE_AREA_1" localSheetId="52">'x-331'!$A$26:$B$77</definedName>
    <definedName name="TABLE_AREA_1" localSheetId="53">'x-401'!$A$26:$M$37</definedName>
    <definedName name="TABLE_AREA_1" localSheetId="54">'x-402'!$A$26:$M$32</definedName>
    <definedName name="TABLE_AREA_1" localSheetId="55">'x-403'!$A$26:$M$40</definedName>
    <definedName name="TABLE_AREA_1" localSheetId="56">'x-404'!$A$26:$L$38</definedName>
    <definedName name="TABLE_AREA_1" localSheetId="57">'x-405'!$A$26:$L$38</definedName>
    <definedName name="TABLE_AREA_1" localSheetId="58">'x-406 '!$A$26:$L$38</definedName>
    <definedName name="TABLE_AREA_1" localSheetId="59">'x-407'!$A$26:$L$38</definedName>
    <definedName name="TABLE_AREA_1" localSheetId="60">'x-501'!$A$26:$C$41</definedName>
    <definedName name="TABLE_AREA_1" localSheetId="61">'x-502'!$A$26:$B$101</definedName>
    <definedName name="TABLE_AREA_1" localSheetId="62">'x-503'!$A$26:$C$46</definedName>
    <definedName name="TABLE_AREA_1" localSheetId="63">'x-504'!$A$26:$B$101</definedName>
    <definedName name="TABLE_AREA_1" localSheetId="64">'x-505'!$A$26:$M$53</definedName>
    <definedName name="TABLE_AREA_1" localSheetId="65">'x-506'!#REF!</definedName>
    <definedName name="TABLE_AREA_1" localSheetId="66">'x-507'!$A$26:$B$27</definedName>
    <definedName name="TABLE_AREA_1" localSheetId="67">'x-601'!$A$26:$C$68</definedName>
    <definedName name="TABLE_AREA_1" localSheetId="68">'x-602'!$A$26:$C$41</definedName>
    <definedName name="TABLE_AREA_1" localSheetId="69">'x-603'!$A$26:$K$38</definedName>
    <definedName name="TABLE_AREA_1" localSheetId="70">'x-604'!$A$26:$G$38</definedName>
    <definedName name="TABLE_AREA_1" localSheetId="71">'x-605'!$A$26:$AQ$38</definedName>
    <definedName name="TABLE_AREA_1" localSheetId="72">'x-606'!#REF!</definedName>
    <definedName name="TABLE_AREA_1" localSheetId="73">'x-607'!#REF!</definedName>
    <definedName name="TABLE_AREA_1" localSheetId="74">'x-608'!$A$26:$E$83</definedName>
    <definedName name="TABLE_AREA_1" localSheetId="75">'x-609'!$A$26:$K$38</definedName>
    <definedName name="TABLE_AREA_1" localSheetId="76">'x-610'!$A$26:$F$38</definedName>
    <definedName name="TABLE_AREA_1" localSheetId="77">'x-611'!$A$26:$K$38</definedName>
    <definedName name="TABLE_AREA_1" localSheetId="78">'x-612'!$A$26:$K$38</definedName>
    <definedName name="TABLE_AREA_1" localSheetId="79">'x-613'!$A$26:$AV$38</definedName>
    <definedName name="TABLE_AREA_1" localSheetId="80">'x-614'!$A$26:$AQ$38</definedName>
    <definedName name="TABLE_AREA_1" localSheetId="81">'x-615'!#REF!</definedName>
    <definedName name="TABLE_AREA_1" localSheetId="82">'x-616'!#REF!</definedName>
    <definedName name="TABLE_AREA_1" localSheetId="83">'x-617'!$A$26:$E$76</definedName>
    <definedName name="TABLE_AREA_1" localSheetId="84">'x-618'!$A$26:$E$76</definedName>
    <definedName name="TABLE_AREA_1" localSheetId="85">'x-619'!$A$26:$B$77</definedName>
    <definedName name="TABLE_AREA_1" localSheetId="86">'x-620'!$A$26:$B$39</definedName>
    <definedName name="TABLE_AREA_1" localSheetId="87">'x-621'!$A$26:$C$47</definedName>
    <definedName name="TABLE_AREA_1" localSheetId="88">'x-622'!$A$26:$C$82</definedName>
    <definedName name="TABLE_AREA_1" localSheetId="89">'x-626'!#REF!</definedName>
    <definedName name="TABLE_AREA_1" localSheetId="90">'x-627'!#REF!</definedName>
    <definedName name="TABLE_AREA_1" localSheetId="91">'x-701'!$A$26:$B$68</definedName>
    <definedName name="TABLE_AREA_1" localSheetId="92">'x-702'!$A$26:$B$67</definedName>
    <definedName name="TABLE_AREA_2" localSheetId="91">'x-701'!$E$26:$F$27</definedName>
    <definedName name="TABLE_ASSUMPTION_SET_1" localSheetId="8">'x-201'!$B$21</definedName>
    <definedName name="TABLE_ASSUMPTION_SET_1" localSheetId="9">'x-202'!$B$21</definedName>
    <definedName name="TABLE_ASSUMPTION_SET_1" localSheetId="10">'x-203'!$B$21</definedName>
    <definedName name="TABLE_ASSUMPTION_SET_1" localSheetId="11">'x-204'!$B$21</definedName>
    <definedName name="TABLE_ASSUMPTION_SET_1" localSheetId="12">'x-205'!$B$21</definedName>
    <definedName name="TABLE_ASSUMPTION_SET_1" localSheetId="13">'x-206'!$B$21</definedName>
    <definedName name="TABLE_ASSUMPTION_SET_1" localSheetId="14">'x-207'!$B$21</definedName>
    <definedName name="TABLE_ASSUMPTION_SET_1" localSheetId="15">'x-208'!$B$21</definedName>
    <definedName name="TABLE_ASSUMPTION_SET_1" localSheetId="16">'x-209'!$B$21</definedName>
    <definedName name="TABLE_ASSUMPTION_SET_1" localSheetId="17">'x-210'!$B$21</definedName>
    <definedName name="TABLE_ASSUMPTION_SET_1" localSheetId="18">'x-211'!$B$21</definedName>
    <definedName name="TABLE_ASSUMPTION_SET_1" localSheetId="19">'x-212'!$B$21</definedName>
    <definedName name="TABLE_ASSUMPTION_SET_1" localSheetId="20">'x-213'!$B$21</definedName>
    <definedName name="TABLE_ASSUMPTION_SET_1" localSheetId="21">'x-214'!$B$21</definedName>
    <definedName name="TABLE_ASSUMPTION_SET_1" localSheetId="22">'x-215'!$B$21</definedName>
    <definedName name="TABLE_ASSUMPTION_SET_1" localSheetId="23">'x-220'!$B$21</definedName>
    <definedName name="TABLE_ASSUMPTION_SET_1" localSheetId="24">'x-221'!$B$21</definedName>
    <definedName name="TABLE_ASSUMPTION_SET_1" localSheetId="25">'x-301'!$B$21</definedName>
    <definedName name="TABLE_ASSUMPTION_SET_1" localSheetId="26">'x-302'!$B$21</definedName>
    <definedName name="TABLE_ASSUMPTION_SET_1" localSheetId="27">'x-303'!$B$21</definedName>
    <definedName name="TABLE_ASSUMPTION_SET_1" localSheetId="28">'x-304'!$B$21</definedName>
    <definedName name="TABLE_ASSUMPTION_SET_1" localSheetId="29">'x-305'!$B$21</definedName>
    <definedName name="TABLE_ASSUMPTION_SET_1" localSheetId="30">'x-306'!$B$21</definedName>
    <definedName name="TABLE_ASSUMPTION_SET_1" localSheetId="31">'x-307'!$B$21</definedName>
    <definedName name="TABLE_ASSUMPTION_SET_1" localSheetId="32">'x-308'!$B$21</definedName>
    <definedName name="TABLE_ASSUMPTION_SET_1" localSheetId="33">'x-309'!$B$21</definedName>
    <definedName name="TABLE_ASSUMPTION_SET_1" localSheetId="34">'x-310'!$B$21</definedName>
    <definedName name="TABLE_ASSUMPTION_SET_1" localSheetId="35">'x-311'!$B$21</definedName>
    <definedName name="TABLE_ASSUMPTION_SET_1" localSheetId="36">'x-312'!$B$21</definedName>
    <definedName name="TABLE_ASSUMPTION_SET_1" localSheetId="37">'x-313'!$B$21</definedName>
    <definedName name="TABLE_ASSUMPTION_SET_1" localSheetId="38">'x-314'!$B$21</definedName>
    <definedName name="TABLE_ASSUMPTION_SET_1" localSheetId="39">'x-315'!$B$21</definedName>
    <definedName name="TABLE_ASSUMPTION_SET_1" localSheetId="40">'x-316'!$B$21</definedName>
    <definedName name="TABLE_ASSUMPTION_SET_1" localSheetId="42">'x-317'!$B$21</definedName>
    <definedName name="TABLE_ASSUMPTION_SET_1" localSheetId="41">'x-321'!$B$21</definedName>
    <definedName name="TABLE_ASSUMPTION_SET_1" localSheetId="43">'x-322'!$B$21</definedName>
    <definedName name="TABLE_ASSUMPTION_SET_1" localSheetId="44">'x-323'!$B$21</definedName>
    <definedName name="TABLE_ASSUMPTION_SET_1" localSheetId="45">'x-324'!$B$21</definedName>
    <definedName name="TABLE_ASSUMPTION_SET_1" localSheetId="46">'x-325'!$B$21</definedName>
    <definedName name="TABLE_ASSUMPTION_SET_1" localSheetId="47">'x-326'!$B$21</definedName>
    <definedName name="TABLE_ASSUMPTION_SET_1" localSheetId="48">'x-327'!$B$21</definedName>
    <definedName name="TABLE_ASSUMPTION_SET_1" localSheetId="49">'x-328'!$B$21</definedName>
    <definedName name="TABLE_ASSUMPTION_SET_1" localSheetId="50">'x-329'!$B$21</definedName>
    <definedName name="TABLE_ASSUMPTION_SET_1" localSheetId="51">'x-330'!$B$21</definedName>
    <definedName name="TABLE_ASSUMPTION_SET_1" localSheetId="52">'x-331'!$B$21</definedName>
    <definedName name="TABLE_ASSUMPTION_SET_1" localSheetId="53">'x-401'!$B$21</definedName>
    <definedName name="TABLE_ASSUMPTION_SET_1" localSheetId="54">'x-402'!$B$21</definedName>
    <definedName name="TABLE_ASSUMPTION_SET_1" localSheetId="55">'x-403'!$B$21</definedName>
    <definedName name="TABLE_ASSUMPTION_SET_1" localSheetId="56">'x-404'!$B$21</definedName>
    <definedName name="TABLE_ASSUMPTION_SET_1" localSheetId="57">'x-405'!$B$21</definedName>
    <definedName name="TABLE_ASSUMPTION_SET_1" localSheetId="58">'x-406 '!$B$21</definedName>
    <definedName name="TABLE_ASSUMPTION_SET_1" localSheetId="59">'x-407'!$B$21</definedName>
    <definedName name="TABLE_ASSUMPTION_SET_1" localSheetId="60">'x-501'!$B$21</definedName>
    <definedName name="TABLE_ASSUMPTION_SET_1" localSheetId="61">'x-502'!$B$21</definedName>
    <definedName name="TABLE_ASSUMPTION_SET_1" localSheetId="62">'x-503'!$B$21</definedName>
    <definedName name="TABLE_ASSUMPTION_SET_1" localSheetId="63">'x-504'!$B$21</definedName>
    <definedName name="TABLE_ASSUMPTION_SET_1" localSheetId="64">'x-505'!$B$21</definedName>
    <definedName name="TABLE_ASSUMPTION_SET_1" localSheetId="65">'x-506'!$B$21</definedName>
    <definedName name="TABLE_ASSUMPTION_SET_1" localSheetId="66">'x-507'!$B$21</definedName>
    <definedName name="TABLE_ASSUMPTION_SET_1" localSheetId="67">'x-601'!$B$21</definedName>
    <definedName name="TABLE_ASSUMPTION_SET_1" localSheetId="68">'x-602'!$B$21</definedName>
    <definedName name="TABLE_ASSUMPTION_SET_1" localSheetId="69">'x-603'!$B$21</definedName>
    <definedName name="TABLE_ASSUMPTION_SET_1" localSheetId="70">'x-604'!$B$21</definedName>
    <definedName name="TABLE_ASSUMPTION_SET_1" localSheetId="71">'x-605'!$B$21</definedName>
    <definedName name="TABLE_ASSUMPTION_SET_1" localSheetId="72">'x-606'!$B$21</definedName>
    <definedName name="TABLE_ASSUMPTION_SET_1" localSheetId="73">'x-607'!$B$21</definedName>
    <definedName name="TABLE_ASSUMPTION_SET_1" localSheetId="74">'x-608'!$B$21</definedName>
    <definedName name="TABLE_ASSUMPTION_SET_1" localSheetId="75">'x-609'!$B$21</definedName>
    <definedName name="TABLE_ASSUMPTION_SET_1" localSheetId="76">'x-610'!$B$21</definedName>
    <definedName name="TABLE_ASSUMPTION_SET_1" localSheetId="77">'x-611'!$B$21</definedName>
    <definedName name="TABLE_ASSUMPTION_SET_1" localSheetId="78">'x-612'!$B$21</definedName>
    <definedName name="TABLE_ASSUMPTION_SET_1" localSheetId="79">'x-613'!$B$21</definedName>
    <definedName name="TABLE_ASSUMPTION_SET_1" localSheetId="80">'x-614'!$B$21</definedName>
    <definedName name="TABLE_ASSUMPTION_SET_1" localSheetId="81">'x-615'!$B$21</definedName>
    <definedName name="TABLE_ASSUMPTION_SET_1" localSheetId="82">'x-616'!$B$21</definedName>
    <definedName name="TABLE_ASSUMPTION_SET_1" localSheetId="83">'x-617'!$B$21</definedName>
    <definedName name="TABLE_ASSUMPTION_SET_1" localSheetId="84">'x-618'!$B$21</definedName>
    <definedName name="TABLE_ASSUMPTION_SET_1" localSheetId="85">'x-619'!$B$21</definedName>
    <definedName name="TABLE_ASSUMPTION_SET_1" localSheetId="86">'x-620'!$B$21</definedName>
    <definedName name="TABLE_ASSUMPTION_SET_1" localSheetId="87">'x-621'!$B$21</definedName>
    <definedName name="TABLE_ASSUMPTION_SET_1" localSheetId="88">'x-622'!$B$21</definedName>
    <definedName name="TABLE_ASSUMPTION_SET_1" localSheetId="89">'x-626'!$B$21</definedName>
    <definedName name="TABLE_ASSUMPTION_SET_1" localSheetId="90">'x-627'!$B$21</definedName>
    <definedName name="TABLE_ASSUMPTION_SET_1" localSheetId="91">'x-701'!$B$21</definedName>
    <definedName name="TABLE_ASSUMPTION_SET_1" localSheetId="92">'x-702'!$B$21</definedName>
    <definedName name="TABLE_ASSUMPTION_SET_2" localSheetId="91">'x-701'!$F$21</definedName>
    <definedName name="TABLE_CLIENT">'x-Series Number'!$B$7</definedName>
    <definedName name="TABLE_CLIENT_1" localSheetId="8">'x-201'!$B$7</definedName>
    <definedName name="TABLE_CLIENT_1" localSheetId="9">'x-202'!$B$7</definedName>
    <definedName name="TABLE_CLIENT_1" localSheetId="10">'x-203'!$B$7</definedName>
    <definedName name="TABLE_CLIENT_1" localSheetId="11">'x-204'!$B$7</definedName>
    <definedName name="TABLE_CLIENT_1" localSheetId="12">'x-205'!$B$7</definedName>
    <definedName name="TABLE_CLIENT_1" localSheetId="13">'x-206'!$B$7</definedName>
    <definedName name="TABLE_CLIENT_1" localSheetId="14">'x-207'!$B$7</definedName>
    <definedName name="TABLE_CLIENT_1" localSheetId="15">'x-208'!$B$7</definedName>
    <definedName name="TABLE_CLIENT_1" localSheetId="16">'x-209'!$B$7</definedName>
    <definedName name="TABLE_CLIENT_1" localSheetId="17">'x-210'!$B$7</definedName>
    <definedName name="TABLE_CLIENT_1" localSheetId="18">'x-211'!$B$7</definedName>
    <definedName name="TABLE_CLIENT_1" localSheetId="19">'x-212'!$B$7</definedName>
    <definedName name="TABLE_CLIENT_1" localSheetId="20">'x-213'!$B$7</definedName>
    <definedName name="TABLE_CLIENT_1" localSheetId="21">'x-214'!$B$7</definedName>
    <definedName name="TABLE_CLIENT_1" localSheetId="22">'x-215'!$B$7</definedName>
    <definedName name="TABLE_CLIENT_1" localSheetId="23">'x-220'!$B$7</definedName>
    <definedName name="TABLE_CLIENT_1" localSheetId="24">'x-221'!$B$7</definedName>
    <definedName name="TABLE_CLIENT_1" localSheetId="25">'x-301'!$B$7</definedName>
    <definedName name="TABLE_CLIENT_1" localSheetId="26">'x-302'!$B$7</definedName>
    <definedName name="TABLE_CLIENT_1" localSheetId="27">'x-303'!$B$7</definedName>
    <definedName name="TABLE_CLIENT_1" localSheetId="28">'x-304'!$B$7</definedName>
    <definedName name="TABLE_CLIENT_1" localSheetId="29">'x-305'!$B$7</definedName>
    <definedName name="TABLE_CLIENT_1" localSheetId="30">'x-306'!$B$7</definedName>
    <definedName name="TABLE_CLIENT_1" localSheetId="31">'x-307'!$B$7</definedName>
    <definedName name="TABLE_CLIENT_1" localSheetId="32">'x-308'!$B$7</definedName>
    <definedName name="TABLE_CLIENT_1" localSheetId="33">'x-309'!$B$7</definedName>
    <definedName name="TABLE_CLIENT_1" localSheetId="34">'x-310'!$B$7</definedName>
    <definedName name="TABLE_CLIENT_1" localSheetId="35">'x-311'!$B$7</definedName>
    <definedName name="TABLE_CLIENT_1" localSheetId="36">'x-312'!$B$7</definedName>
    <definedName name="TABLE_CLIENT_1" localSheetId="37">'x-313'!$B$7</definedName>
    <definedName name="TABLE_CLIENT_1" localSheetId="38">'x-314'!$B$7</definedName>
    <definedName name="TABLE_CLIENT_1" localSheetId="39">'x-315'!$B$7</definedName>
    <definedName name="TABLE_CLIENT_1" localSheetId="40">'x-316'!$B$7</definedName>
    <definedName name="TABLE_CLIENT_1" localSheetId="42">'x-317'!$B$7</definedName>
    <definedName name="TABLE_CLIENT_1" localSheetId="41">'x-321'!$B$7</definedName>
    <definedName name="TABLE_CLIENT_1" localSheetId="43">'x-322'!$B$7</definedName>
    <definedName name="TABLE_CLIENT_1" localSheetId="44">'x-323'!$B$7</definedName>
    <definedName name="TABLE_CLIENT_1" localSheetId="45">'x-324'!$B$7</definedName>
    <definedName name="TABLE_CLIENT_1" localSheetId="46">'x-325'!$B$7</definedName>
    <definedName name="TABLE_CLIENT_1" localSheetId="47">'x-326'!$B$7</definedName>
    <definedName name="TABLE_CLIENT_1" localSheetId="48">'x-327'!$B$7</definedName>
    <definedName name="TABLE_CLIENT_1" localSheetId="49">'x-328'!$B$7</definedName>
    <definedName name="TABLE_CLIENT_1" localSheetId="50">'x-329'!$B$7</definedName>
    <definedName name="TABLE_CLIENT_1" localSheetId="51">'x-330'!$B$7</definedName>
    <definedName name="TABLE_CLIENT_1" localSheetId="52">'x-331'!$B$7</definedName>
    <definedName name="TABLE_CLIENT_1" localSheetId="53">'x-401'!$B$7</definedName>
    <definedName name="TABLE_CLIENT_1" localSheetId="54">'x-402'!$B$7</definedName>
    <definedName name="TABLE_CLIENT_1" localSheetId="55">'x-403'!$B$7</definedName>
    <definedName name="TABLE_CLIENT_1" localSheetId="56">'x-404'!$B$7</definedName>
    <definedName name="TABLE_CLIENT_1" localSheetId="57">'x-405'!$B$7</definedName>
    <definedName name="TABLE_CLIENT_1" localSheetId="58">'x-406 '!$B$7</definedName>
    <definedName name="TABLE_CLIENT_1" localSheetId="59">'x-407'!$B$7</definedName>
    <definedName name="TABLE_CLIENT_1" localSheetId="60">'x-501'!$B$7</definedName>
    <definedName name="TABLE_CLIENT_1" localSheetId="61">'x-502'!$B$7</definedName>
    <definedName name="TABLE_CLIENT_1" localSheetId="62">'x-503'!$B$7</definedName>
    <definedName name="TABLE_CLIENT_1" localSheetId="63">'x-504'!$B$7</definedName>
    <definedName name="TABLE_CLIENT_1" localSheetId="64">'x-505'!$B$7</definedName>
    <definedName name="TABLE_CLIENT_1" localSheetId="65">'x-506'!$B$7</definedName>
    <definedName name="TABLE_CLIENT_1" localSheetId="66">'x-507'!$B$7</definedName>
    <definedName name="TABLE_CLIENT_1" localSheetId="67">'x-601'!$B$7</definedName>
    <definedName name="TABLE_CLIENT_1" localSheetId="68">'x-602'!$B$7</definedName>
    <definedName name="TABLE_CLIENT_1" localSheetId="69">'x-603'!$B$7</definedName>
    <definedName name="TABLE_CLIENT_1" localSheetId="70">'x-604'!$B$7</definedName>
    <definedName name="TABLE_CLIENT_1" localSheetId="71">'x-605'!$B$7</definedName>
    <definedName name="TABLE_CLIENT_1" localSheetId="72">'x-606'!$B$7</definedName>
    <definedName name="TABLE_CLIENT_1" localSheetId="73">'x-607'!$B$7</definedName>
    <definedName name="TABLE_CLIENT_1" localSheetId="74">'x-608'!$B$7</definedName>
    <definedName name="TABLE_CLIENT_1" localSheetId="75">'x-609'!$B$7</definedName>
    <definedName name="TABLE_CLIENT_1" localSheetId="76">'x-610'!$B$7</definedName>
    <definedName name="TABLE_CLIENT_1" localSheetId="77">'x-611'!$B$7</definedName>
    <definedName name="TABLE_CLIENT_1" localSheetId="78">'x-612'!$B$7</definedName>
    <definedName name="TABLE_CLIENT_1" localSheetId="79">'x-613'!$B$7</definedName>
    <definedName name="TABLE_CLIENT_1" localSheetId="80">'x-614'!$B$7</definedName>
    <definedName name="TABLE_CLIENT_1" localSheetId="81">'x-615'!$B$7</definedName>
    <definedName name="TABLE_CLIENT_1" localSheetId="82">'x-616'!$B$7</definedName>
    <definedName name="TABLE_CLIENT_1" localSheetId="83">'x-617'!$B$7</definedName>
    <definedName name="TABLE_CLIENT_1" localSheetId="84">'x-618'!$B$7</definedName>
    <definedName name="TABLE_CLIENT_1" localSheetId="85">'x-619'!$B$7</definedName>
    <definedName name="TABLE_CLIENT_1" localSheetId="86">'x-620'!$B$7</definedName>
    <definedName name="TABLE_CLIENT_1" localSheetId="87">'x-621'!$B$7</definedName>
    <definedName name="TABLE_CLIENT_1" localSheetId="88">'x-622'!$B$7</definedName>
    <definedName name="TABLE_CLIENT_1" localSheetId="89">'x-626'!$B$7</definedName>
    <definedName name="TABLE_CLIENT_1" localSheetId="90">'x-627'!$B$7</definedName>
    <definedName name="TABLE_CLIENT_1" localSheetId="91">'x-701'!$B$7</definedName>
    <definedName name="TABLE_CLIENT_1" localSheetId="92">'x-702'!$B$7</definedName>
    <definedName name="TABLE_CLIENT_2" localSheetId="91">'x-701'!$F$7</definedName>
    <definedName name="TABLE_DATE_IMPLEMENTED">'x-Series Number'!$B$19</definedName>
    <definedName name="TABLE_DATE_IMPLEMENTED_1" localSheetId="8">'x-201'!$B$19</definedName>
    <definedName name="TABLE_DATE_IMPLEMENTED_1" localSheetId="9">'x-202'!$B$19</definedName>
    <definedName name="TABLE_DATE_IMPLEMENTED_1" localSheetId="10">'x-203'!$B$19</definedName>
    <definedName name="TABLE_DATE_IMPLEMENTED_1" localSheetId="11">'x-204'!$B$19</definedName>
    <definedName name="TABLE_DATE_IMPLEMENTED_1" localSheetId="12">'x-205'!$B$19</definedName>
    <definedName name="TABLE_DATE_IMPLEMENTED_1" localSheetId="13">'x-206'!$B$19</definedName>
    <definedName name="TABLE_DATE_IMPLEMENTED_1" localSheetId="14">'x-207'!$B$19</definedName>
    <definedName name="TABLE_DATE_IMPLEMENTED_1" localSheetId="15">'x-208'!$B$19</definedName>
    <definedName name="TABLE_DATE_IMPLEMENTED_1" localSheetId="16">'x-209'!$B$19</definedName>
    <definedName name="TABLE_DATE_IMPLEMENTED_1" localSheetId="17">'x-210'!$B$19</definedName>
    <definedName name="TABLE_DATE_IMPLEMENTED_1" localSheetId="18">'x-211'!$B$19</definedName>
    <definedName name="TABLE_DATE_IMPLEMENTED_1" localSheetId="19">'x-212'!$B$19</definedName>
    <definedName name="TABLE_DATE_IMPLEMENTED_1" localSheetId="20">'x-213'!$B$19</definedName>
    <definedName name="TABLE_DATE_IMPLEMENTED_1" localSheetId="21">'x-214'!$B$19</definedName>
    <definedName name="TABLE_DATE_IMPLEMENTED_1" localSheetId="22">'x-215'!$B$19</definedName>
    <definedName name="TABLE_DATE_IMPLEMENTED_1" localSheetId="23">'x-220'!$B$19</definedName>
    <definedName name="TABLE_DATE_IMPLEMENTED_1" localSheetId="24">'x-221'!$B$19</definedName>
    <definedName name="TABLE_DATE_IMPLEMENTED_1" localSheetId="25">'x-301'!$B$19</definedName>
    <definedName name="TABLE_DATE_IMPLEMENTED_1" localSheetId="26">'x-302'!$B$19</definedName>
    <definedName name="TABLE_DATE_IMPLEMENTED_1" localSheetId="27">'x-303'!$B$19</definedName>
    <definedName name="TABLE_DATE_IMPLEMENTED_1" localSheetId="28">'x-304'!$B$19</definedName>
    <definedName name="TABLE_DATE_IMPLEMENTED_1" localSheetId="29">'x-305'!$B$19</definedName>
    <definedName name="TABLE_DATE_IMPLEMENTED_1" localSheetId="30">'x-306'!$B$19</definedName>
    <definedName name="TABLE_DATE_IMPLEMENTED_1" localSheetId="31">'x-307'!$B$19</definedName>
    <definedName name="TABLE_DATE_IMPLEMENTED_1" localSheetId="32">'x-308'!$B$19</definedName>
    <definedName name="TABLE_DATE_IMPLEMENTED_1" localSheetId="33">'x-309'!$B$19</definedName>
    <definedName name="TABLE_DATE_IMPLEMENTED_1" localSheetId="34">'x-310'!$B$19</definedName>
    <definedName name="TABLE_DATE_IMPLEMENTED_1" localSheetId="35">'x-311'!$B$19</definedName>
    <definedName name="TABLE_DATE_IMPLEMENTED_1" localSheetId="36">'x-312'!$B$19</definedName>
    <definedName name="TABLE_DATE_IMPLEMENTED_1" localSheetId="37">'x-313'!$B$19</definedName>
    <definedName name="TABLE_DATE_IMPLEMENTED_1" localSheetId="38">'x-314'!$B$19</definedName>
    <definedName name="TABLE_DATE_IMPLEMENTED_1" localSheetId="39">'x-315'!$B$19</definedName>
    <definedName name="TABLE_DATE_IMPLEMENTED_1" localSheetId="40">'x-316'!$B$19</definedName>
    <definedName name="TABLE_DATE_IMPLEMENTED_1" localSheetId="42">'x-317'!$B$19</definedName>
    <definedName name="TABLE_DATE_IMPLEMENTED_1" localSheetId="41">'x-321'!$B$19</definedName>
    <definedName name="TABLE_DATE_IMPLEMENTED_1" localSheetId="43">'x-322'!$B$19</definedName>
    <definedName name="TABLE_DATE_IMPLEMENTED_1" localSheetId="44">'x-323'!$B$19</definedName>
    <definedName name="TABLE_DATE_IMPLEMENTED_1" localSheetId="45">'x-324'!$B$19</definedName>
    <definedName name="TABLE_DATE_IMPLEMENTED_1" localSheetId="46">'x-325'!$B$19</definedName>
    <definedName name="TABLE_DATE_IMPLEMENTED_1" localSheetId="47">'x-326'!$B$19</definedName>
    <definedName name="TABLE_DATE_IMPLEMENTED_1" localSheetId="48">'x-327'!$B$19</definedName>
    <definedName name="TABLE_DATE_IMPLEMENTED_1" localSheetId="49">'x-328'!$B$19</definedName>
    <definedName name="TABLE_DATE_IMPLEMENTED_1" localSheetId="50">'x-329'!$B$19</definedName>
    <definedName name="TABLE_DATE_IMPLEMENTED_1" localSheetId="51">'x-330'!$B$19</definedName>
    <definedName name="TABLE_DATE_IMPLEMENTED_1" localSheetId="52">'x-331'!$B$19</definedName>
    <definedName name="TABLE_DATE_IMPLEMENTED_1" localSheetId="53">'x-401'!$B$19</definedName>
    <definedName name="TABLE_DATE_IMPLEMENTED_1" localSheetId="54">'x-402'!$B$19</definedName>
    <definedName name="TABLE_DATE_IMPLEMENTED_1" localSheetId="55">'x-403'!$B$19</definedName>
    <definedName name="TABLE_DATE_IMPLEMENTED_1" localSheetId="56">'x-404'!$B$19</definedName>
    <definedName name="TABLE_DATE_IMPLEMENTED_1" localSheetId="57">'x-405'!$B$19</definedName>
    <definedName name="TABLE_DATE_IMPLEMENTED_1" localSheetId="58">'x-406 '!$B$19</definedName>
    <definedName name="TABLE_DATE_IMPLEMENTED_1" localSheetId="59">'x-407'!$B$19</definedName>
    <definedName name="TABLE_DATE_IMPLEMENTED_1" localSheetId="60">'x-501'!$B$19</definedName>
    <definedName name="TABLE_DATE_IMPLEMENTED_1" localSheetId="61">'x-502'!$B$19</definedName>
    <definedName name="TABLE_DATE_IMPLEMENTED_1" localSheetId="62">'x-503'!$B$19</definedName>
    <definedName name="TABLE_DATE_IMPLEMENTED_1" localSheetId="63">'x-504'!$B$19</definedName>
    <definedName name="TABLE_DATE_IMPLEMENTED_1" localSheetId="64">'x-505'!$B$19</definedName>
    <definedName name="TABLE_DATE_IMPLEMENTED_1" localSheetId="65">'x-506'!$B$19</definedName>
    <definedName name="TABLE_DATE_IMPLEMENTED_1" localSheetId="66">'x-507'!$B$19</definedName>
    <definedName name="TABLE_DATE_IMPLEMENTED_1" localSheetId="67">'x-601'!$B$19</definedName>
    <definedName name="TABLE_DATE_IMPLEMENTED_1" localSheetId="68">'x-602'!$B$19</definedName>
    <definedName name="TABLE_DATE_IMPLEMENTED_1" localSheetId="69">'x-603'!$B$19</definedName>
    <definedName name="TABLE_DATE_IMPLEMENTED_1" localSheetId="70">'x-604'!$B$19</definedName>
    <definedName name="TABLE_DATE_IMPLEMENTED_1" localSheetId="71">'x-605'!$B$19</definedName>
    <definedName name="TABLE_DATE_IMPLEMENTED_1" localSheetId="72">'x-606'!$B$19</definedName>
    <definedName name="TABLE_DATE_IMPLEMENTED_1" localSheetId="73">'x-607'!$B$19</definedName>
    <definedName name="TABLE_DATE_IMPLEMENTED_1" localSheetId="74">'x-608'!$B$19</definedName>
    <definedName name="TABLE_DATE_IMPLEMENTED_1" localSheetId="75">'x-609'!$B$19</definedName>
    <definedName name="TABLE_DATE_IMPLEMENTED_1" localSheetId="76">'x-610'!$B$19</definedName>
    <definedName name="TABLE_DATE_IMPLEMENTED_1" localSheetId="77">'x-611'!$B$19</definedName>
    <definedName name="TABLE_DATE_IMPLEMENTED_1" localSheetId="78">'x-612'!$B$19</definedName>
    <definedName name="TABLE_DATE_IMPLEMENTED_1" localSheetId="79">'x-613'!$B$19</definedName>
    <definedName name="TABLE_DATE_IMPLEMENTED_1" localSheetId="80">'x-614'!$B$19</definedName>
    <definedName name="TABLE_DATE_IMPLEMENTED_1" localSheetId="81">'x-615'!$B$19</definedName>
    <definedName name="TABLE_DATE_IMPLEMENTED_1" localSheetId="82">'x-616'!$B$19</definedName>
    <definedName name="TABLE_DATE_IMPLEMENTED_1" localSheetId="83">'x-617'!$B$19</definedName>
    <definedName name="TABLE_DATE_IMPLEMENTED_1" localSheetId="84">'x-618'!$B$19</definedName>
    <definedName name="TABLE_DATE_IMPLEMENTED_1" localSheetId="85">'x-619'!$B$19</definedName>
    <definedName name="TABLE_DATE_IMPLEMENTED_1" localSheetId="86">'x-620'!$B$19</definedName>
    <definedName name="TABLE_DATE_IMPLEMENTED_1" localSheetId="87">'x-621'!$B$19</definedName>
    <definedName name="TABLE_DATE_IMPLEMENTED_1" localSheetId="88">'x-622'!$B$19</definedName>
    <definedName name="TABLE_DATE_IMPLEMENTED_1" localSheetId="89">'x-626'!$B$19</definedName>
    <definedName name="TABLE_DATE_IMPLEMENTED_1" localSheetId="90">'x-627'!$B$19</definedName>
    <definedName name="TABLE_DATE_IMPLEMENTED_1" localSheetId="91">'x-701'!$B$19</definedName>
    <definedName name="TABLE_DATE_IMPLEMENTED_1" localSheetId="92">'x-702'!$B$19</definedName>
    <definedName name="TABLE_DATE_IMPLEMENTED_2" localSheetId="91">'x-701'!$F$19</definedName>
    <definedName name="TABLE_DATE_ISSUED">'x-Series Number'!$B$18</definedName>
    <definedName name="TABLE_DATE_ISSUED_1" localSheetId="8">'x-201'!$B$18</definedName>
    <definedName name="TABLE_DATE_ISSUED_1" localSheetId="9">'x-202'!$B$18</definedName>
    <definedName name="TABLE_DATE_ISSUED_1" localSheetId="10">'x-203'!$B$18</definedName>
    <definedName name="TABLE_DATE_ISSUED_1" localSheetId="11">'x-204'!$B$18</definedName>
    <definedName name="TABLE_DATE_ISSUED_1" localSheetId="12">'x-205'!$B$18</definedName>
    <definedName name="TABLE_DATE_ISSUED_1" localSheetId="13">'x-206'!$B$18</definedName>
    <definedName name="TABLE_DATE_ISSUED_1" localSheetId="14">'x-207'!$B$18</definedName>
    <definedName name="TABLE_DATE_ISSUED_1" localSheetId="15">'x-208'!$B$18</definedName>
    <definedName name="TABLE_DATE_ISSUED_1" localSheetId="16">'x-209'!$B$18</definedName>
    <definedName name="TABLE_DATE_ISSUED_1" localSheetId="17">'x-210'!$B$18</definedName>
    <definedName name="TABLE_DATE_ISSUED_1" localSheetId="18">'x-211'!$B$18</definedName>
    <definedName name="TABLE_DATE_ISSUED_1" localSheetId="19">'x-212'!$B$18</definedName>
    <definedName name="TABLE_DATE_ISSUED_1" localSheetId="20">'x-213'!$B$18</definedName>
    <definedName name="TABLE_DATE_ISSUED_1" localSheetId="21">'x-214'!$B$18</definedName>
    <definedName name="TABLE_DATE_ISSUED_1" localSheetId="22">'x-215'!$B$18</definedName>
    <definedName name="TABLE_DATE_ISSUED_1" localSheetId="23">'x-220'!$B$18</definedName>
    <definedName name="TABLE_DATE_ISSUED_1" localSheetId="24">'x-221'!$B$18</definedName>
    <definedName name="TABLE_DATE_ISSUED_1" localSheetId="25">'x-301'!$B$18</definedName>
    <definedName name="TABLE_DATE_ISSUED_1" localSheetId="26">'x-302'!$B$18</definedName>
    <definedName name="TABLE_DATE_ISSUED_1" localSheetId="27">'x-303'!$B$18</definedName>
    <definedName name="TABLE_DATE_ISSUED_1" localSheetId="28">'x-304'!$B$18</definedName>
    <definedName name="TABLE_DATE_ISSUED_1" localSheetId="29">'x-305'!$B$18</definedName>
    <definedName name="TABLE_DATE_ISSUED_1" localSheetId="30">'x-306'!$B$18</definedName>
    <definedName name="TABLE_DATE_ISSUED_1" localSheetId="31">'x-307'!$B$18</definedName>
    <definedName name="TABLE_DATE_ISSUED_1" localSheetId="32">'x-308'!$B$18</definedName>
    <definedName name="TABLE_DATE_ISSUED_1" localSheetId="33">'x-309'!$B$18</definedName>
    <definedName name="TABLE_DATE_ISSUED_1" localSheetId="34">'x-310'!$B$18</definedName>
    <definedName name="TABLE_DATE_ISSUED_1" localSheetId="35">'x-311'!$B$18</definedName>
    <definedName name="TABLE_DATE_ISSUED_1" localSheetId="36">'x-312'!$B$18</definedName>
    <definedName name="TABLE_DATE_ISSUED_1" localSheetId="37">'x-313'!$B$18</definedName>
    <definedName name="TABLE_DATE_ISSUED_1" localSheetId="38">'x-314'!$B$18</definedName>
    <definedName name="TABLE_DATE_ISSUED_1" localSheetId="39">'x-315'!$B$18</definedName>
    <definedName name="TABLE_DATE_ISSUED_1" localSheetId="40">'x-316'!$B$18</definedName>
    <definedName name="TABLE_DATE_ISSUED_1" localSheetId="42">'x-317'!$B$18</definedName>
    <definedName name="TABLE_DATE_ISSUED_1" localSheetId="41">'x-321'!$B$18</definedName>
    <definedName name="TABLE_DATE_ISSUED_1" localSheetId="43">'x-322'!$B$18</definedName>
    <definedName name="TABLE_DATE_ISSUED_1" localSheetId="44">'x-323'!$B$18</definedName>
    <definedName name="TABLE_DATE_ISSUED_1" localSheetId="45">'x-324'!$B$18</definedName>
    <definedName name="TABLE_DATE_ISSUED_1" localSheetId="46">'x-325'!$B$18</definedName>
    <definedName name="TABLE_DATE_ISSUED_1" localSheetId="47">'x-326'!$B$18</definedName>
    <definedName name="TABLE_DATE_ISSUED_1" localSheetId="48">'x-327'!$B$18</definedName>
    <definedName name="TABLE_DATE_ISSUED_1" localSheetId="49">'x-328'!$B$18</definedName>
    <definedName name="TABLE_DATE_ISSUED_1" localSheetId="50">'x-329'!$B$18</definedName>
    <definedName name="TABLE_DATE_ISSUED_1" localSheetId="51">'x-330'!$B$18</definedName>
    <definedName name="TABLE_DATE_ISSUED_1" localSheetId="52">'x-331'!$B$18</definedName>
    <definedName name="TABLE_DATE_ISSUED_1" localSheetId="53">'x-401'!$B$18</definedName>
    <definedName name="TABLE_DATE_ISSUED_1" localSheetId="54">'x-402'!$B$18</definedName>
    <definedName name="TABLE_DATE_ISSUED_1" localSheetId="55">'x-403'!$B$18</definedName>
    <definedName name="TABLE_DATE_ISSUED_1" localSheetId="56">'x-404'!$B$18</definedName>
    <definedName name="TABLE_DATE_ISSUED_1" localSheetId="57">'x-405'!$B$18</definedName>
    <definedName name="TABLE_DATE_ISSUED_1" localSheetId="58">'x-406 '!$B$18</definedName>
    <definedName name="TABLE_DATE_ISSUED_1" localSheetId="59">'x-407'!$B$18</definedName>
    <definedName name="TABLE_DATE_ISSUED_1" localSheetId="60">'x-501'!$B$18</definedName>
    <definedName name="TABLE_DATE_ISSUED_1" localSheetId="61">'x-502'!$B$18</definedName>
    <definedName name="TABLE_DATE_ISSUED_1" localSheetId="62">'x-503'!$B$18</definedName>
    <definedName name="TABLE_DATE_ISSUED_1" localSheetId="63">'x-504'!$B$18</definedName>
    <definedName name="TABLE_DATE_ISSUED_1" localSheetId="64">'x-505'!$B$18</definedName>
    <definedName name="TABLE_DATE_ISSUED_1" localSheetId="65">'x-506'!$B$18</definedName>
    <definedName name="TABLE_DATE_ISSUED_1" localSheetId="66">'x-507'!$B$18</definedName>
    <definedName name="TABLE_DATE_ISSUED_1" localSheetId="67">'x-601'!$B$18</definedName>
    <definedName name="TABLE_DATE_ISSUED_1" localSheetId="68">'x-602'!$B$18</definedName>
    <definedName name="TABLE_DATE_ISSUED_1" localSheetId="69">'x-603'!$B$18</definedName>
    <definedName name="TABLE_DATE_ISSUED_1" localSheetId="70">'x-604'!$B$18</definedName>
    <definedName name="TABLE_DATE_ISSUED_1" localSheetId="71">'x-605'!$B$18</definedName>
    <definedName name="TABLE_DATE_ISSUED_1" localSheetId="72">'x-606'!$B$18</definedName>
    <definedName name="TABLE_DATE_ISSUED_1" localSheetId="73">'x-607'!$B$18</definedName>
    <definedName name="TABLE_DATE_ISSUED_1" localSheetId="74">'x-608'!$B$18</definedName>
    <definedName name="TABLE_DATE_ISSUED_1" localSheetId="75">'x-609'!$B$18</definedName>
    <definedName name="TABLE_DATE_ISSUED_1" localSheetId="76">'x-610'!$B$18</definedName>
    <definedName name="TABLE_DATE_ISSUED_1" localSheetId="77">'x-611'!$B$18</definedName>
    <definedName name="TABLE_DATE_ISSUED_1" localSheetId="78">'x-612'!$B$18</definedName>
    <definedName name="TABLE_DATE_ISSUED_1" localSheetId="79">'x-613'!$B$18</definedName>
    <definedName name="TABLE_DATE_ISSUED_1" localSheetId="80">'x-614'!$B$18</definedName>
    <definedName name="TABLE_DATE_ISSUED_1" localSheetId="81">'x-615'!$B$18</definedName>
    <definedName name="TABLE_DATE_ISSUED_1" localSheetId="82">'x-616'!$B$18</definedName>
    <definedName name="TABLE_DATE_ISSUED_1" localSheetId="83">'x-617'!$B$18</definedName>
    <definedName name="TABLE_DATE_ISSUED_1" localSheetId="84">'x-618'!$B$18</definedName>
    <definedName name="TABLE_DATE_ISSUED_1" localSheetId="85">'x-619'!$B$18</definedName>
    <definedName name="TABLE_DATE_ISSUED_1" localSheetId="86">'x-620'!$B$18</definedName>
    <definedName name="TABLE_DATE_ISSUED_1" localSheetId="87">'x-621'!$B$18</definedName>
    <definedName name="TABLE_DATE_ISSUED_1" localSheetId="88">'x-622'!$B$18</definedName>
    <definedName name="TABLE_DATE_ISSUED_1" localSheetId="89">'x-626'!$B$18</definedName>
    <definedName name="TABLE_DATE_ISSUED_1" localSheetId="90">'x-627'!$B$18</definedName>
    <definedName name="TABLE_DATE_ISSUED_1" localSheetId="91">'x-701'!$B$18</definedName>
    <definedName name="TABLE_DATE_ISSUED_1" localSheetId="92">'x-702'!$B$18</definedName>
    <definedName name="TABLE_DATE_ISSUED_2" localSheetId="91">'x-701'!$F$18</definedName>
    <definedName name="TABLE_DESCRIPTION">'x-Series Number'!$B$10</definedName>
    <definedName name="TABLE_DESCRIPTION_1" localSheetId="8">'x-201'!$B$10</definedName>
    <definedName name="TABLE_DESCRIPTION_1" localSheetId="9">'x-202'!$B$10</definedName>
    <definedName name="TABLE_DESCRIPTION_1" localSheetId="10">'x-203'!$B$10</definedName>
    <definedName name="TABLE_DESCRIPTION_1" localSheetId="11">'x-204'!$B$10</definedName>
    <definedName name="TABLE_DESCRIPTION_1" localSheetId="12">'x-205'!$B$10</definedName>
    <definedName name="TABLE_DESCRIPTION_1" localSheetId="13">'x-206'!$B$10</definedName>
    <definedName name="TABLE_DESCRIPTION_1" localSheetId="14">'x-207'!$B$10</definedName>
    <definedName name="TABLE_DESCRIPTION_1" localSheetId="15">'x-208'!$B$10</definedName>
    <definedName name="TABLE_DESCRIPTION_1" localSheetId="16">'x-209'!$B$10</definedName>
    <definedName name="TABLE_DESCRIPTION_1" localSheetId="17">'x-210'!$B$10</definedName>
    <definedName name="TABLE_DESCRIPTION_1" localSheetId="18">'x-211'!$B$10</definedName>
    <definedName name="TABLE_DESCRIPTION_1" localSheetId="19">'x-212'!$B$10</definedName>
    <definedName name="TABLE_DESCRIPTION_1" localSheetId="20">'x-213'!$B$10</definedName>
    <definedName name="TABLE_DESCRIPTION_1" localSheetId="21">'x-214'!$B$10</definedName>
    <definedName name="TABLE_DESCRIPTION_1" localSheetId="22">'x-215'!$B$10</definedName>
    <definedName name="TABLE_DESCRIPTION_1" localSheetId="23">'x-220'!$B$10</definedName>
    <definedName name="TABLE_DESCRIPTION_1" localSheetId="24">'x-221'!$B$10</definedName>
    <definedName name="TABLE_DESCRIPTION_1" localSheetId="25">'x-301'!$B$10</definedName>
    <definedName name="TABLE_DESCRIPTION_1" localSheetId="26">'x-302'!$B$10</definedName>
    <definedName name="TABLE_DESCRIPTION_1" localSheetId="27">'x-303'!$B$10</definedName>
    <definedName name="TABLE_DESCRIPTION_1" localSheetId="28">'x-304'!$B$10</definedName>
    <definedName name="TABLE_DESCRIPTION_1" localSheetId="29">'x-305'!$B$10</definedName>
    <definedName name="TABLE_DESCRIPTION_1" localSheetId="30">'x-306'!$B$10</definedName>
    <definedName name="TABLE_DESCRIPTION_1" localSheetId="31">'x-307'!$B$10</definedName>
    <definedName name="TABLE_DESCRIPTION_1" localSheetId="32">'x-308'!$B$10</definedName>
    <definedName name="TABLE_DESCRIPTION_1" localSheetId="33">'x-309'!$B$10</definedName>
    <definedName name="TABLE_DESCRIPTION_1" localSheetId="34">'x-310'!$B$10</definedName>
    <definedName name="TABLE_DESCRIPTION_1" localSheetId="35">'x-311'!$B$10</definedName>
    <definedName name="TABLE_DESCRIPTION_1" localSheetId="36">'x-312'!$B$10</definedName>
    <definedName name="TABLE_DESCRIPTION_1" localSheetId="37">'x-313'!$B$10</definedName>
    <definedName name="TABLE_DESCRIPTION_1" localSheetId="38">'x-314'!$B$10</definedName>
    <definedName name="TABLE_DESCRIPTION_1" localSheetId="39">'x-315'!$B$10</definedName>
    <definedName name="TABLE_DESCRIPTION_1" localSheetId="40">'x-316'!$B$10</definedName>
    <definedName name="TABLE_DESCRIPTION_1" localSheetId="42">'x-317'!$B$10</definedName>
    <definedName name="TABLE_DESCRIPTION_1" localSheetId="41">'x-321'!$B$10</definedName>
    <definedName name="TABLE_DESCRIPTION_1" localSheetId="43">'x-322'!$B$10</definedName>
    <definedName name="TABLE_DESCRIPTION_1" localSheetId="44">'x-323'!$B$10</definedName>
    <definedName name="TABLE_DESCRIPTION_1" localSheetId="45">'x-324'!$B$10</definedName>
    <definedName name="TABLE_DESCRIPTION_1" localSheetId="46">'x-325'!$B$10</definedName>
    <definedName name="TABLE_DESCRIPTION_1" localSheetId="47">'x-326'!$B$10</definedName>
    <definedName name="TABLE_DESCRIPTION_1" localSheetId="48">'x-327'!$B$10</definedName>
    <definedName name="TABLE_DESCRIPTION_1" localSheetId="49">'x-328'!$B$10</definedName>
    <definedName name="TABLE_DESCRIPTION_1" localSheetId="50">'x-329'!$B$10</definedName>
    <definedName name="TABLE_DESCRIPTION_1" localSheetId="51">'x-330'!$B$10</definedName>
    <definedName name="TABLE_DESCRIPTION_1" localSheetId="52">'x-331'!$B$10</definedName>
    <definedName name="TABLE_DESCRIPTION_1" localSheetId="53">'x-401'!$B$10</definedName>
    <definedName name="TABLE_DESCRIPTION_1" localSheetId="54">'x-402'!$B$10</definedName>
    <definedName name="TABLE_DESCRIPTION_1" localSheetId="55">'x-403'!$B$10</definedName>
    <definedName name="TABLE_DESCRIPTION_1" localSheetId="56">'x-404'!$B$10</definedName>
    <definedName name="TABLE_DESCRIPTION_1" localSheetId="57">'x-405'!$B$10</definedName>
    <definedName name="TABLE_DESCRIPTION_1" localSheetId="58">'x-406 '!$B$10</definedName>
    <definedName name="TABLE_DESCRIPTION_1" localSheetId="59">'x-407'!$B$10</definedName>
    <definedName name="TABLE_DESCRIPTION_1" localSheetId="60">'x-501'!$B$10</definedName>
    <definedName name="TABLE_DESCRIPTION_1" localSheetId="61">'x-502'!$B$10</definedName>
    <definedName name="TABLE_DESCRIPTION_1" localSheetId="62">'x-503'!$B$10</definedName>
    <definedName name="TABLE_DESCRIPTION_1" localSheetId="63">'x-504'!$B$10</definedName>
    <definedName name="TABLE_DESCRIPTION_1" localSheetId="64">'x-505'!$B$10</definedName>
    <definedName name="TABLE_DESCRIPTION_1" localSheetId="65">'x-506'!$B$10</definedName>
    <definedName name="TABLE_DESCRIPTION_1" localSheetId="66">'x-507'!$B$10</definedName>
    <definedName name="TABLE_DESCRIPTION_1" localSheetId="67">'x-601'!$B$10</definedName>
    <definedName name="TABLE_DESCRIPTION_1" localSheetId="68">'x-602'!$B$10</definedName>
    <definedName name="TABLE_DESCRIPTION_1" localSheetId="69">'x-603'!$B$10</definedName>
    <definedName name="TABLE_DESCRIPTION_1" localSheetId="70">'x-604'!$B$10</definedName>
    <definedName name="TABLE_DESCRIPTION_1" localSheetId="71">'x-605'!$B$10</definedName>
    <definedName name="TABLE_DESCRIPTION_1" localSheetId="72">'x-606'!$B$10</definedName>
    <definedName name="TABLE_DESCRIPTION_1" localSheetId="73">'x-607'!$B$10</definedName>
    <definedName name="TABLE_DESCRIPTION_1" localSheetId="74">'x-608'!$B$10</definedName>
    <definedName name="TABLE_DESCRIPTION_1" localSheetId="75">'x-609'!$B$10</definedName>
    <definedName name="TABLE_DESCRIPTION_1" localSheetId="76">'x-610'!$B$10</definedName>
    <definedName name="TABLE_DESCRIPTION_1" localSheetId="77">'x-611'!$B$10</definedName>
    <definedName name="TABLE_DESCRIPTION_1" localSheetId="78">'x-612'!$B$10</definedName>
    <definedName name="TABLE_DESCRIPTION_1" localSheetId="79">'x-613'!$B$10</definedName>
    <definedName name="TABLE_DESCRIPTION_1" localSheetId="80">'x-614'!$B$10</definedName>
    <definedName name="TABLE_DESCRIPTION_1" localSheetId="81">'x-615'!$B$10</definedName>
    <definedName name="TABLE_DESCRIPTION_1" localSheetId="82">'x-616'!$B$10</definedName>
    <definedName name="TABLE_DESCRIPTION_1" localSheetId="83">'x-617'!$B$10</definedName>
    <definedName name="TABLE_DESCRIPTION_1" localSheetId="84">'x-618'!$B$10</definedName>
    <definedName name="TABLE_DESCRIPTION_1" localSheetId="85">'x-619'!$B$10</definedName>
    <definedName name="TABLE_DESCRIPTION_1" localSheetId="86">'x-620'!$B$10</definedName>
    <definedName name="TABLE_DESCRIPTION_1" localSheetId="87">'x-621'!$B$10</definedName>
    <definedName name="TABLE_DESCRIPTION_1" localSheetId="88">'x-622'!$B$10</definedName>
    <definedName name="TABLE_DESCRIPTION_1" localSheetId="89">'x-626'!$B$10</definedName>
    <definedName name="TABLE_DESCRIPTION_1" localSheetId="90">'x-627'!$B$10</definedName>
    <definedName name="TABLE_DESCRIPTION_1" localSheetId="91">'x-701'!$B$10</definedName>
    <definedName name="TABLE_DESCRIPTION_1" localSheetId="92">'x-702'!$B$10</definedName>
    <definedName name="TABLE_DESCRIPTION_2" localSheetId="91">'x-701'!$F$10</definedName>
    <definedName name="TABLE_FACTOR_STATUS">'x-Series Number'!$B$20</definedName>
    <definedName name="TABLE_FACTOR_STATUS_1" localSheetId="8">'x-201'!$B$20</definedName>
    <definedName name="TABLE_FACTOR_STATUS_1" localSheetId="9">'x-202'!$B$20</definedName>
    <definedName name="TABLE_FACTOR_STATUS_1" localSheetId="10">'x-203'!$B$20</definedName>
    <definedName name="TABLE_FACTOR_STATUS_1" localSheetId="11">'x-204'!$B$20</definedName>
    <definedName name="TABLE_FACTOR_STATUS_1" localSheetId="12">'x-205'!$B$20</definedName>
    <definedName name="TABLE_FACTOR_STATUS_1" localSheetId="13">'x-206'!$B$20</definedName>
    <definedName name="TABLE_FACTOR_STATUS_1" localSheetId="14">'x-207'!$B$20</definedName>
    <definedName name="TABLE_FACTOR_STATUS_1" localSheetId="15">'x-208'!$B$20</definedName>
    <definedName name="TABLE_FACTOR_STATUS_1" localSheetId="16">'x-209'!$B$20</definedName>
    <definedName name="TABLE_FACTOR_STATUS_1" localSheetId="17">'x-210'!$B$20</definedName>
    <definedName name="TABLE_FACTOR_STATUS_1" localSheetId="18">'x-211'!$B$20</definedName>
    <definedName name="TABLE_FACTOR_STATUS_1" localSheetId="19">'x-212'!$B$20</definedName>
    <definedName name="TABLE_FACTOR_STATUS_1" localSheetId="20">'x-213'!$B$20</definedName>
    <definedName name="TABLE_FACTOR_STATUS_1" localSheetId="21">'x-214'!$B$20</definedName>
    <definedName name="TABLE_FACTOR_STATUS_1" localSheetId="22">'x-215'!$B$20</definedName>
    <definedName name="TABLE_FACTOR_STATUS_1" localSheetId="23">'x-220'!$B$20</definedName>
    <definedName name="TABLE_FACTOR_STATUS_1" localSheetId="24">'x-221'!$B$20</definedName>
    <definedName name="TABLE_FACTOR_STATUS_1" localSheetId="25">'x-301'!$B$20</definedName>
    <definedName name="TABLE_FACTOR_STATUS_1" localSheetId="26">'x-302'!$B$20</definedName>
    <definedName name="TABLE_FACTOR_STATUS_1" localSheetId="27">'x-303'!$B$20</definedName>
    <definedName name="TABLE_FACTOR_STATUS_1" localSheetId="28">'x-304'!$B$20</definedName>
    <definedName name="TABLE_FACTOR_STATUS_1" localSheetId="29">'x-305'!$B$20</definedName>
    <definedName name="TABLE_FACTOR_STATUS_1" localSheetId="30">'x-306'!$B$20</definedName>
    <definedName name="TABLE_FACTOR_STATUS_1" localSheetId="31">'x-307'!$B$20</definedName>
    <definedName name="TABLE_FACTOR_STATUS_1" localSheetId="32">'x-308'!$B$20</definedName>
    <definedName name="TABLE_FACTOR_STATUS_1" localSheetId="33">'x-309'!$B$20</definedName>
    <definedName name="TABLE_FACTOR_STATUS_1" localSheetId="34">'x-310'!$B$20</definedName>
    <definedName name="TABLE_FACTOR_STATUS_1" localSheetId="35">'x-311'!$B$20</definedName>
    <definedName name="TABLE_FACTOR_STATUS_1" localSheetId="36">'x-312'!$B$20</definedName>
    <definedName name="TABLE_FACTOR_STATUS_1" localSheetId="37">'x-313'!$B$20</definedName>
    <definedName name="TABLE_FACTOR_STATUS_1" localSheetId="38">'x-314'!$B$20</definedName>
    <definedName name="TABLE_FACTOR_STATUS_1" localSheetId="39">'x-315'!$B$20</definedName>
    <definedName name="TABLE_FACTOR_STATUS_1" localSheetId="40">'x-316'!$B$20</definedName>
    <definedName name="TABLE_FACTOR_STATUS_1" localSheetId="42">'x-317'!$B$20</definedName>
    <definedName name="TABLE_FACTOR_STATUS_1" localSheetId="41">'x-321'!$B$20</definedName>
    <definedName name="TABLE_FACTOR_STATUS_1" localSheetId="43">'x-322'!$B$20</definedName>
    <definedName name="TABLE_FACTOR_STATUS_1" localSheetId="44">'x-323'!$B$20</definedName>
    <definedName name="TABLE_FACTOR_STATUS_1" localSheetId="45">'x-324'!$B$20</definedName>
    <definedName name="TABLE_FACTOR_STATUS_1" localSheetId="46">'x-325'!$B$20</definedName>
    <definedName name="TABLE_FACTOR_STATUS_1" localSheetId="47">'x-326'!$B$20</definedName>
    <definedName name="TABLE_FACTOR_STATUS_1" localSheetId="48">'x-327'!$B$20</definedName>
    <definedName name="TABLE_FACTOR_STATUS_1" localSheetId="49">'x-328'!$B$20</definedName>
    <definedName name="TABLE_FACTOR_STATUS_1" localSheetId="50">'x-329'!$B$20</definedName>
    <definedName name="TABLE_FACTOR_STATUS_1" localSheetId="51">'x-330'!$B$20</definedName>
    <definedName name="TABLE_FACTOR_STATUS_1" localSheetId="52">'x-331'!$B$20</definedName>
    <definedName name="TABLE_FACTOR_STATUS_1" localSheetId="53">'x-401'!$B$20</definedName>
    <definedName name="TABLE_FACTOR_STATUS_1" localSheetId="54">'x-402'!$B$20</definedName>
    <definedName name="TABLE_FACTOR_STATUS_1" localSheetId="55">'x-403'!$B$20</definedName>
    <definedName name="TABLE_FACTOR_STATUS_1" localSheetId="56">'x-404'!$B$20</definedName>
    <definedName name="TABLE_FACTOR_STATUS_1" localSheetId="57">'x-405'!$B$20</definedName>
    <definedName name="TABLE_FACTOR_STATUS_1" localSheetId="58">'x-406 '!$B$20</definedName>
    <definedName name="TABLE_FACTOR_STATUS_1" localSheetId="59">'x-407'!$B$20</definedName>
    <definedName name="TABLE_FACTOR_STATUS_1" localSheetId="60">'x-501'!$B$20</definedName>
    <definedName name="TABLE_FACTOR_STATUS_1" localSheetId="61">'x-502'!$B$20</definedName>
    <definedName name="TABLE_FACTOR_STATUS_1" localSheetId="62">'x-503'!$B$20</definedName>
    <definedName name="TABLE_FACTOR_STATUS_1" localSheetId="63">'x-504'!$B$20</definedName>
    <definedName name="TABLE_FACTOR_STATUS_1" localSheetId="64">'x-505'!$B$20</definedName>
    <definedName name="TABLE_FACTOR_STATUS_1" localSheetId="65">'x-506'!$B$20</definedName>
    <definedName name="TABLE_FACTOR_STATUS_1" localSheetId="66">'x-507'!$B$20</definedName>
    <definedName name="TABLE_FACTOR_STATUS_1" localSheetId="67">'x-601'!$B$20</definedName>
    <definedName name="TABLE_FACTOR_STATUS_1" localSheetId="68">'x-602'!$B$20</definedName>
    <definedName name="TABLE_FACTOR_STATUS_1" localSheetId="69">'x-603'!$B$20</definedName>
    <definedName name="TABLE_FACTOR_STATUS_1" localSheetId="70">'x-604'!$B$20</definedName>
    <definedName name="TABLE_FACTOR_STATUS_1" localSheetId="71">'x-605'!$B$20</definedName>
    <definedName name="TABLE_FACTOR_STATUS_1" localSheetId="72">'x-606'!$B$20</definedName>
    <definedName name="TABLE_FACTOR_STATUS_1" localSheetId="73">'x-607'!$B$20</definedName>
    <definedName name="TABLE_FACTOR_STATUS_1" localSheetId="74">'x-608'!$B$20</definedName>
    <definedName name="TABLE_FACTOR_STATUS_1" localSheetId="75">'x-609'!$B$20</definedName>
    <definedName name="TABLE_FACTOR_STATUS_1" localSheetId="76">'x-610'!$B$20</definedName>
    <definedName name="TABLE_FACTOR_STATUS_1" localSheetId="77">'x-611'!$B$20</definedName>
    <definedName name="TABLE_FACTOR_STATUS_1" localSheetId="78">'x-612'!$B$20</definedName>
    <definedName name="TABLE_FACTOR_STATUS_1" localSheetId="79">'x-613'!$B$20</definedName>
    <definedName name="TABLE_FACTOR_STATUS_1" localSheetId="80">'x-614'!$B$20</definedName>
    <definedName name="TABLE_FACTOR_STATUS_1" localSheetId="81">'x-615'!$B$20</definedName>
    <definedName name="TABLE_FACTOR_STATUS_1" localSheetId="82">'x-616'!$B$20</definedName>
    <definedName name="TABLE_FACTOR_STATUS_1" localSheetId="83">'x-617'!$B$20</definedName>
    <definedName name="TABLE_FACTOR_STATUS_1" localSheetId="84">'x-618'!$B$20</definedName>
    <definedName name="TABLE_FACTOR_STATUS_1" localSheetId="85">'x-619'!$B$20</definedName>
    <definedName name="TABLE_FACTOR_STATUS_1" localSheetId="86">'x-620'!$B$20</definedName>
    <definedName name="TABLE_FACTOR_STATUS_1" localSheetId="87">'x-621'!$B$20</definedName>
    <definedName name="TABLE_FACTOR_STATUS_1" localSheetId="88">'x-622'!$B$20</definedName>
    <definedName name="TABLE_FACTOR_STATUS_1" localSheetId="89">'x-626'!$B$20</definedName>
    <definedName name="TABLE_FACTOR_STATUS_1" localSheetId="90">'x-627'!$B$20</definedName>
    <definedName name="TABLE_FACTOR_STATUS_1" localSheetId="91">'x-701'!$B$20</definedName>
    <definedName name="TABLE_FACTOR_STATUS_1" localSheetId="92">'x-702'!$B$20</definedName>
    <definedName name="TABLE_FACTOR_STATUS_2" localSheetId="91">'x-701'!$F$20</definedName>
    <definedName name="TABLE_FACTOR_TYPE" localSheetId="7">'[2]x-Series Number'!$B$9</definedName>
    <definedName name="TABLE_FACTOR_TYPE">'x-Series Number'!$B$9</definedName>
    <definedName name="TABLE_FACTOR_TYPE_1" localSheetId="8">'x-201'!$B$9</definedName>
    <definedName name="TABLE_FACTOR_TYPE_1" localSheetId="9">'x-202'!$B$9</definedName>
    <definedName name="TABLE_FACTOR_TYPE_1" localSheetId="10">'x-203'!$B$9</definedName>
    <definedName name="TABLE_FACTOR_TYPE_1" localSheetId="11">'x-204'!$B$9</definedName>
    <definedName name="TABLE_FACTOR_TYPE_1" localSheetId="12">'x-205'!$B$9</definedName>
    <definedName name="TABLE_FACTOR_TYPE_1" localSheetId="13">'x-206'!$B$9</definedName>
    <definedName name="TABLE_FACTOR_TYPE_1" localSheetId="14">'x-207'!$B$9</definedName>
    <definedName name="TABLE_FACTOR_TYPE_1" localSheetId="15">'x-208'!$B$9</definedName>
    <definedName name="TABLE_FACTOR_TYPE_1" localSheetId="16">'x-209'!$B$9</definedName>
    <definedName name="TABLE_FACTOR_TYPE_1" localSheetId="17">'x-210'!$B$9</definedName>
    <definedName name="TABLE_FACTOR_TYPE_1" localSheetId="18">'x-211'!$B$9</definedName>
    <definedName name="TABLE_FACTOR_TYPE_1" localSheetId="19">'x-212'!$B$9</definedName>
    <definedName name="TABLE_FACTOR_TYPE_1" localSheetId="20">'x-213'!$B$9</definedName>
    <definedName name="TABLE_FACTOR_TYPE_1" localSheetId="21">'x-214'!$B$9</definedName>
    <definedName name="TABLE_FACTOR_TYPE_1" localSheetId="22">'x-215'!$B$9</definedName>
    <definedName name="TABLE_FACTOR_TYPE_1" localSheetId="23">'x-220'!$B$9</definedName>
    <definedName name="TABLE_FACTOR_TYPE_1" localSheetId="24">'x-221'!$B$9</definedName>
    <definedName name="TABLE_FACTOR_TYPE_1" localSheetId="25">'x-301'!$B$9</definedName>
    <definedName name="TABLE_FACTOR_TYPE_1" localSheetId="26">'x-302'!$B$9</definedName>
    <definedName name="TABLE_FACTOR_TYPE_1" localSheetId="27">'x-303'!$B$9</definedName>
    <definedName name="TABLE_FACTOR_TYPE_1" localSheetId="28">'x-304'!$B$9</definedName>
    <definedName name="TABLE_FACTOR_TYPE_1" localSheetId="29">'x-305'!$B$9</definedName>
    <definedName name="TABLE_FACTOR_TYPE_1" localSheetId="30">'x-306'!$B$9</definedName>
    <definedName name="TABLE_FACTOR_TYPE_1" localSheetId="31">'x-307'!$B$9</definedName>
    <definedName name="TABLE_FACTOR_TYPE_1" localSheetId="32">'x-308'!$B$9</definedName>
    <definedName name="TABLE_FACTOR_TYPE_1" localSheetId="33">'x-309'!$B$9</definedName>
    <definedName name="TABLE_FACTOR_TYPE_1" localSheetId="34">'x-310'!$B$9</definedName>
    <definedName name="TABLE_FACTOR_TYPE_1" localSheetId="35">'x-311'!$B$9</definedName>
    <definedName name="TABLE_FACTOR_TYPE_1" localSheetId="36">'x-312'!$B$9</definedName>
    <definedName name="TABLE_FACTOR_TYPE_1" localSheetId="37">'x-313'!$B$9</definedName>
    <definedName name="TABLE_FACTOR_TYPE_1" localSheetId="38">'x-314'!$B$9</definedName>
    <definedName name="TABLE_FACTOR_TYPE_1" localSheetId="39">'x-315'!$B$9</definedName>
    <definedName name="TABLE_FACTOR_TYPE_1" localSheetId="40">'x-316'!$B$9</definedName>
    <definedName name="TABLE_FACTOR_TYPE_1" localSheetId="42">'x-317'!$B$9</definedName>
    <definedName name="TABLE_FACTOR_TYPE_1" localSheetId="41">'x-321'!$B$9</definedName>
    <definedName name="TABLE_FACTOR_TYPE_1" localSheetId="43">'x-322'!$B$9</definedName>
    <definedName name="TABLE_FACTOR_TYPE_1" localSheetId="44">'x-323'!$B$9</definedName>
    <definedName name="TABLE_FACTOR_TYPE_1" localSheetId="45">'x-324'!$B$9</definedName>
    <definedName name="TABLE_FACTOR_TYPE_1" localSheetId="46">'x-325'!$B$9</definedName>
    <definedName name="TABLE_FACTOR_TYPE_1" localSheetId="47">'x-326'!$B$9</definedName>
    <definedName name="TABLE_FACTOR_TYPE_1" localSheetId="48">'x-327'!$B$9</definedName>
    <definedName name="TABLE_FACTOR_TYPE_1" localSheetId="49">'x-328'!$B$9</definedName>
    <definedName name="TABLE_FACTOR_TYPE_1" localSheetId="50">'x-329'!$B$9</definedName>
    <definedName name="TABLE_FACTOR_TYPE_1" localSheetId="51">'x-330'!$B$9</definedName>
    <definedName name="TABLE_FACTOR_TYPE_1" localSheetId="52">'x-331'!$B$9</definedName>
    <definedName name="TABLE_FACTOR_TYPE_1" localSheetId="53">'x-401'!$B$9</definedName>
    <definedName name="TABLE_FACTOR_TYPE_1" localSheetId="54">'x-402'!$B$9</definedName>
    <definedName name="TABLE_FACTOR_TYPE_1" localSheetId="55">'x-403'!$B$9</definedName>
    <definedName name="TABLE_FACTOR_TYPE_1" localSheetId="56">'x-404'!$B$9</definedName>
    <definedName name="TABLE_FACTOR_TYPE_1" localSheetId="57">'x-405'!$B$9</definedName>
    <definedName name="TABLE_FACTOR_TYPE_1" localSheetId="58">'x-406 '!$B$9</definedName>
    <definedName name="TABLE_FACTOR_TYPE_1" localSheetId="59">'x-407'!$B$9</definedName>
    <definedName name="TABLE_FACTOR_TYPE_1" localSheetId="60">'x-501'!$B$9</definedName>
    <definedName name="TABLE_FACTOR_TYPE_1" localSheetId="61">'x-502'!$B$9</definedName>
    <definedName name="TABLE_FACTOR_TYPE_1" localSheetId="62">'x-503'!$B$9</definedName>
    <definedName name="TABLE_FACTOR_TYPE_1" localSheetId="63">'x-504'!$B$9</definedName>
    <definedName name="TABLE_FACTOR_TYPE_1" localSheetId="64">'x-505'!$B$9</definedName>
    <definedName name="TABLE_FACTOR_TYPE_1" localSheetId="65">'x-506'!$B$9</definedName>
    <definedName name="TABLE_FACTOR_TYPE_1" localSheetId="66">'x-507'!$B$9</definedName>
    <definedName name="TABLE_FACTOR_TYPE_1" localSheetId="67">'x-601'!$B$9</definedName>
    <definedName name="TABLE_FACTOR_TYPE_1" localSheetId="68">'x-602'!$B$9</definedName>
    <definedName name="TABLE_FACTOR_TYPE_1" localSheetId="69">'x-603'!$B$9</definedName>
    <definedName name="TABLE_FACTOR_TYPE_1" localSheetId="70">'x-604'!$B$9</definedName>
    <definedName name="TABLE_FACTOR_TYPE_1" localSheetId="71">'x-605'!$B$9</definedName>
    <definedName name="TABLE_FACTOR_TYPE_1" localSheetId="72">'x-606'!$B$9</definedName>
    <definedName name="TABLE_FACTOR_TYPE_1" localSheetId="73">'x-607'!$B$9</definedName>
    <definedName name="TABLE_FACTOR_TYPE_1" localSheetId="74">'x-608'!$B$9</definedName>
    <definedName name="TABLE_FACTOR_TYPE_1" localSheetId="75">'x-609'!$B$9</definedName>
    <definedName name="TABLE_FACTOR_TYPE_1" localSheetId="76">'x-610'!$B$9</definedName>
    <definedName name="TABLE_FACTOR_TYPE_1" localSheetId="77">'x-611'!$B$9</definedName>
    <definedName name="TABLE_FACTOR_TYPE_1" localSheetId="78">'x-612'!$B$9</definedName>
    <definedName name="TABLE_FACTOR_TYPE_1" localSheetId="79">'x-613'!$B$9</definedName>
    <definedName name="TABLE_FACTOR_TYPE_1" localSheetId="80">'x-614'!$B$9</definedName>
    <definedName name="TABLE_FACTOR_TYPE_1" localSheetId="81">'x-615'!$B$9</definedName>
    <definedName name="TABLE_FACTOR_TYPE_1" localSheetId="82">'x-616'!$B$9</definedName>
    <definedName name="TABLE_FACTOR_TYPE_1" localSheetId="83">'x-617'!$B$9</definedName>
    <definedName name="TABLE_FACTOR_TYPE_1" localSheetId="84">'x-618'!$B$9</definedName>
    <definedName name="TABLE_FACTOR_TYPE_1" localSheetId="85">'x-619'!$B$9</definedName>
    <definedName name="TABLE_FACTOR_TYPE_1" localSheetId="86">'x-620'!$B$9</definedName>
    <definedName name="TABLE_FACTOR_TYPE_1" localSheetId="87">'x-621'!$B$9</definedName>
    <definedName name="TABLE_FACTOR_TYPE_1" localSheetId="88">'x-622'!$B$9</definedName>
    <definedName name="TABLE_FACTOR_TYPE_1" localSheetId="89">'x-626'!$B$9</definedName>
    <definedName name="TABLE_FACTOR_TYPE_1" localSheetId="90">'x-627'!$B$9</definedName>
    <definedName name="TABLE_FACTOR_TYPE_1" localSheetId="91">'x-701'!$B$9</definedName>
    <definedName name="TABLE_FACTOR_TYPE_1" localSheetId="92">'x-702'!$B$9</definedName>
    <definedName name="TABLE_FACTOR_TYPE_2" localSheetId="91">'x-701'!$F$9</definedName>
    <definedName name="TABLE_GENDER">'x-Series Number'!$B$11</definedName>
    <definedName name="TABLE_GENDER_1" localSheetId="8">'x-201'!$B$11</definedName>
    <definedName name="TABLE_GENDER_1" localSheetId="9">'x-202'!$B$11</definedName>
    <definedName name="TABLE_GENDER_1" localSheetId="10">'x-203'!$B$11</definedName>
    <definedName name="TABLE_GENDER_1" localSheetId="11">'x-204'!$B$11</definedName>
    <definedName name="TABLE_GENDER_1" localSheetId="12">'x-205'!$B$11</definedName>
    <definedName name="TABLE_GENDER_1" localSheetId="13">'x-206'!$B$11</definedName>
    <definedName name="TABLE_GENDER_1" localSheetId="14">'x-207'!$B$11</definedName>
    <definedName name="TABLE_GENDER_1" localSheetId="15">'x-208'!$B$11</definedName>
    <definedName name="TABLE_GENDER_1" localSheetId="16">'x-209'!$B$11</definedName>
    <definedName name="TABLE_GENDER_1" localSheetId="17">'x-210'!$B$11</definedName>
    <definedName name="TABLE_GENDER_1" localSheetId="18">'x-211'!$B$11</definedName>
    <definedName name="TABLE_GENDER_1" localSheetId="19">'x-212'!$B$11</definedName>
    <definedName name="TABLE_GENDER_1" localSheetId="20">'x-213'!$B$11</definedName>
    <definedName name="TABLE_GENDER_1" localSheetId="21">'x-214'!$B$11</definedName>
    <definedName name="TABLE_GENDER_1" localSheetId="22">'x-215'!$B$11</definedName>
    <definedName name="TABLE_GENDER_1" localSheetId="23">'x-220'!$B$11</definedName>
    <definedName name="TABLE_GENDER_1" localSheetId="24">'x-221'!$B$11</definedName>
    <definedName name="TABLE_GENDER_1" localSheetId="25">'x-301'!$B$11</definedName>
    <definedName name="TABLE_GENDER_1" localSheetId="26">'x-302'!$B$11</definedName>
    <definedName name="TABLE_GENDER_1" localSheetId="27">'x-303'!$B$11</definedName>
    <definedName name="TABLE_GENDER_1" localSheetId="28">'x-304'!$B$11</definedName>
    <definedName name="TABLE_GENDER_1" localSheetId="29">'x-305'!$B$11</definedName>
    <definedName name="TABLE_GENDER_1" localSheetId="30">'x-306'!$B$11</definedName>
    <definedName name="TABLE_GENDER_1" localSheetId="31">'x-307'!$B$11</definedName>
    <definedName name="TABLE_GENDER_1" localSheetId="32">'x-308'!$B$11</definedName>
    <definedName name="TABLE_GENDER_1" localSheetId="33">'x-309'!$B$11</definedName>
    <definedName name="TABLE_GENDER_1" localSheetId="34">'x-310'!$B$11</definedName>
    <definedName name="TABLE_GENDER_1" localSheetId="35">'x-311'!$B$11</definedName>
    <definedName name="TABLE_GENDER_1" localSheetId="36">'x-312'!$B$11</definedName>
    <definedName name="TABLE_GENDER_1" localSheetId="37">'x-313'!$B$11</definedName>
    <definedName name="TABLE_GENDER_1" localSheetId="38">'x-314'!$B$11</definedName>
    <definedName name="TABLE_GENDER_1" localSheetId="39">'x-315'!$B$11</definedName>
    <definedName name="TABLE_GENDER_1" localSheetId="40">'x-316'!$B$11</definedName>
    <definedName name="TABLE_GENDER_1" localSheetId="42">'x-317'!$B$11</definedName>
    <definedName name="TABLE_GENDER_1" localSheetId="41">'x-321'!$B$11</definedName>
    <definedName name="TABLE_GENDER_1" localSheetId="43">'x-322'!$B$11</definedName>
    <definedName name="TABLE_GENDER_1" localSheetId="44">'x-323'!$B$11</definedName>
    <definedName name="TABLE_GENDER_1" localSheetId="45">'x-324'!$B$11</definedName>
    <definedName name="TABLE_GENDER_1" localSheetId="46">'x-325'!$B$11</definedName>
    <definedName name="TABLE_GENDER_1" localSheetId="47">'x-326'!$B$11</definedName>
    <definedName name="TABLE_GENDER_1" localSheetId="48">'x-327'!$B$11</definedName>
    <definedName name="TABLE_GENDER_1" localSheetId="49">'x-328'!$B$11</definedName>
    <definedName name="TABLE_GENDER_1" localSheetId="50">'x-329'!$B$11</definedName>
    <definedName name="TABLE_GENDER_1" localSheetId="51">'x-330'!$B$11</definedName>
    <definedName name="TABLE_GENDER_1" localSheetId="52">'x-331'!$B$11</definedName>
    <definedName name="TABLE_GENDER_1" localSheetId="53">'x-401'!$B$11</definedName>
    <definedName name="TABLE_GENDER_1" localSheetId="54">'x-402'!$B$11</definedName>
    <definedName name="TABLE_GENDER_1" localSheetId="55">'x-403'!$B$11</definedName>
    <definedName name="TABLE_GENDER_1" localSheetId="56">'x-404'!$B$11</definedName>
    <definedName name="TABLE_GENDER_1" localSheetId="57">'x-405'!$B$11</definedName>
    <definedName name="TABLE_GENDER_1" localSheetId="58">'x-406 '!$B$11</definedName>
    <definedName name="TABLE_GENDER_1" localSheetId="59">'x-407'!$B$11</definedName>
    <definedName name="TABLE_GENDER_1" localSheetId="60">'x-501'!$B$11</definedName>
    <definedName name="TABLE_GENDER_1" localSheetId="61">'x-502'!$B$11</definedName>
    <definedName name="TABLE_GENDER_1" localSheetId="62">'x-503'!$B$11</definedName>
    <definedName name="TABLE_GENDER_1" localSheetId="63">'x-504'!$B$11</definedName>
    <definedName name="TABLE_GENDER_1" localSheetId="64">'x-505'!$B$11</definedName>
    <definedName name="TABLE_GENDER_1" localSheetId="65">'x-506'!$B$11</definedName>
    <definedName name="TABLE_GENDER_1" localSheetId="66">'x-507'!$B$11</definedName>
    <definedName name="TABLE_GENDER_1" localSheetId="67">'x-601'!$B$11</definedName>
    <definedName name="TABLE_GENDER_1" localSheetId="68">'x-602'!$B$11</definedName>
    <definedName name="TABLE_GENDER_1" localSheetId="69">'x-603'!$B$11</definedName>
    <definedName name="TABLE_GENDER_1" localSheetId="70">'x-604'!$B$11</definedName>
    <definedName name="TABLE_GENDER_1" localSheetId="71">'x-605'!$B$11</definedName>
    <definedName name="TABLE_GENDER_1" localSheetId="72">'x-606'!$B$11</definedName>
    <definedName name="TABLE_GENDER_1" localSheetId="73">'x-607'!$B$11</definedName>
    <definedName name="TABLE_GENDER_1" localSheetId="74">'x-608'!$B$11</definedName>
    <definedName name="TABLE_GENDER_1" localSheetId="75">'x-609'!$B$11</definedName>
    <definedName name="TABLE_GENDER_1" localSheetId="76">'x-610'!$B$11</definedName>
    <definedName name="TABLE_GENDER_1" localSheetId="77">'x-611'!$B$11</definedName>
    <definedName name="TABLE_GENDER_1" localSheetId="78">'x-612'!$B$11</definedName>
    <definedName name="TABLE_GENDER_1" localSheetId="79">'x-613'!$B$11</definedName>
    <definedName name="TABLE_GENDER_1" localSheetId="80">'x-614'!$B$11</definedName>
    <definedName name="TABLE_GENDER_1" localSheetId="81">'x-615'!$B$11</definedName>
    <definedName name="TABLE_GENDER_1" localSheetId="82">'x-616'!$B$11</definedName>
    <definedName name="TABLE_GENDER_1" localSheetId="83">'x-617'!$B$11</definedName>
    <definedName name="TABLE_GENDER_1" localSheetId="84">'x-618'!$B$11</definedName>
    <definedName name="TABLE_GENDER_1" localSheetId="85">'x-619'!$B$11</definedName>
    <definedName name="TABLE_GENDER_1" localSheetId="86">'x-620'!$B$11</definedName>
    <definedName name="TABLE_GENDER_1" localSheetId="87">'x-621'!$B$11</definedName>
    <definedName name="TABLE_GENDER_1" localSheetId="88">'x-622'!$B$11</definedName>
    <definedName name="TABLE_GENDER_1" localSheetId="89">'x-626'!$B$11</definedName>
    <definedName name="TABLE_GENDER_1" localSheetId="90">'x-627'!$B$11</definedName>
    <definedName name="TABLE_GENDER_1" localSheetId="91">'x-701'!$B$11</definedName>
    <definedName name="TABLE_GENDER_1" localSheetId="92">'x-702'!$B$11</definedName>
    <definedName name="TABLE_GENDER_2" localSheetId="91">'x-701'!$F$11</definedName>
    <definedName name="TABLE_INFO">'x-Series Number'!$A$6:$B$20</definedName>
    <definedName name="TABLE_INFO_1" localSheetId="8">'x-201'!$A$6:$B$21</definedName>
    <definedName name="TABLE_INFO_1" localSheetId="9">'x-202'!$A$6:$B$21</definedName>
    <definedName name="TABLE_INFO_1" localSheetId="10">'x-203'!$A$6:$B$21</definedName>
    <definedName name="TABLE_INFO_1" localSheetId="11">'x-204'!$A$6:$B$21</definedName>
    <definedName name="TABLE_INFO_1" localSheetId="12">'x-205'!$A$6:$B$21</definedName>
    <definedName name="TABLE_INFO_1" localSheetId="13">'x-206'!$A$6:$B$21</definedName>
    <definedName name="TABLE_INFO_1" localSheetId="14">'x-207'!$A$6:$B$21</definedName>
    <definedName name="TABLE_INFO_1" localSheetId="15">'x-208'!$A$6:$B$21</definedName>
    <definedName name="TABLE_INFO_1" localSheetId="16">'x-209'!$A$6:$B$21</definedName>
    <definedName name="TABLE_INFO_1" localSheetId="17">'x-210'!$A$6:$B$21</definedName>
    <definedName name="TABLE_INFO_1" localSheetId="18">'x-211'!$A$6:$B$21</definedName>
    <definedName name="TABLE_INFO_1" localSheetId="19">'x-212'!$A$6:$B$21</definedName>
    <definedName name="TABLE_INFO_1" localSheetId="20">'x-213'!$A$6:$B$21</definedName>
    <definedName name="TABLE_INFO_1" localSheetId="21">'x-214'!$A$6:$B$21</definedName>
    <definedName name="TABLE_INFO_1" localSheetId="22">'x-215'!$A$6:$B$21</definedName>
    <definedName name="TABLE_INFO_1" localSheetId="23">'x-220'!$A$6:$B$21</definedName>
    <definedName name="TABLE_INFO_1" localSheetId="24">'x-221'!$A$6:$B$21</definedName>
    <definedName name="TABLE_INFO_1" localSheetId="25">'x-301'!$A$6:$B$21</definedName>
    <definedName name="TABLE_INFO_1" localSheetId="26">'x-302'!$A$6:$B$21</definedName>
    <definedName name="TABLE_INFO_1" localSheetId="27">'x-303'!$A$6:$B$21</definedName>
    <definedName name="TABLE_INFO_1" localSheetId="28">'x-304'!$A$6:$B$21</definedName>
    <definedName name="TABLE_INFO_1" localSheetId="29">'x-305'!$A$6:$B$21</definedName>
    <definedName name="TABLE_INFO_1" localSheetId="30">'x-306'!$A$6:$B$21</definedName>
    <definedName name="TABLE_INFO_1" localSheetId="31">'x-307'!$A$6:$B$21</definedName>
    <definedName name="TABLE_INFO_1" localSheetId="32">'x-308'!$A$6:$B$21</definedName>
    <definedName name="TABLE_INFO_1" localSheetId="33">'x-309'!$A$6:$B$21</definedName>
    <definedName name="TABLE_INFO_1" localSheetId="34">'x-310'!$A$6:$B$21</definedName>
    <definedName name="TABLE_INFO_1" localSheetId="35">'x-311'!$A$6:$B$21</definedName>
    <definedName name="TABLE_INFO_1" localSheetId="36">'x-312'!$A$6:$B$21</definedName>
    <definedName name="TABLE_INFO_1" localSheetId="37">'x-313'!$A$6:$B$21</definedName>
    <definedName name="TABLE_INFO_1" localSheetId="38">'x-314'!$A$6:$B$21</definedName>
    <definedName name="TABLE_INFO_1" localSheetId="39">'x-315'!$A$6:$B$21</definedName>
    <definedName name="TABLE_INFO_1" localSheetId="40">'x-316'!$A$6:$B$21</definedName>
    <definedName name="TABLE_INFO_1" localSheetId="42">'x-317'!$A$6:$B$21</definedName>
    <definedName name="TABLE_INFO_1" localSheetId="41">'x-321'!$A$6:$B$21</definedName>
    <definedName name="TABLE_INFO_1" localSheetId="43">'x-322'!$A$6:$B$21</definedName>
    <definedName name="TABLE_INFO_1" localSheetId="44">'x-323'!$A$6:$B$21</definedName>
    <definedName name="TABLE_INFO_1" localSheetId="45">'x-324'!$A$6:$B$21</definedName>
    <definedName name="TABLE_INFO_1" localSheetId="46">'x-325'!$A$6:$B$21</definedName>
    <definedName name="TABLE_INFO_1" localSheetId="47">'x-326'!$A$6:$B$21</definedName>
    <definedName name="TABLE_INFO_1" localSheetId="48">'x-327'!$A$6:$B$21</definedName>
    <definedName name="TABLE_INFO_1" localSheetId="49">'x-328'!$A$6:$B$21</definedName>
    <definedName name="TABLE_INFO_1" localSheetId="50">'x-329'!$A$6:$B$21</definedName>
    <definedName name="TABLE_INFO_1" localSheetId="51">'x-330'!$A$6:$B$21</definedName>
    <definedName name="TABLE_INFO_1" localSheetId="52">'x-331'!$A$6:$B$21</definedName>
    <definedName name="TABLE_INFO_1" localSheetId="53">'x-401'!$A$6:$B$21</definedName>
    <definedName name="TABLE_INFO_1" localSheetId="54">'x-402'!$A$6:$B$21</definedName>
    <definedName name="TABLE_INFO_1" localSheetId="55">'x-403'!$A$6:$B$21</definedName>
    <definedName name="TABLE_INFO_1" localSheetId="56">'x-404'!$A$6:$B$21</definedName>
    <definedName name="TABLE_INFO_1" localSheetId="57">'x-405'!$A$6:$B$21</definedName>
    <definedName name="TABLE_INFO_1" localSheetId="58">'x-406 '!$A$6:$B$21</definedName>
    <definedName name="TABLE_INFO_1" localSheetId="59">'x-407'!$A$6:$B$21</definedName>
    <definedName name="TABLE_INFO_1" localSheetId="60">'x-501'!$A$6:$B$21</definedName>
    <definedName name="TABLE_INFO_1" localSheetId="61">'x-502'!$A$6:$B$21</definedName>
    <definedName name="TABLE_INFO_1" localSheetId="62">'x-503'!$A$6:$B$21</definedName>
    <definedName name="TABLE_INFO_1" localSheetId="63">'x-504'!$A$6:$B$21</definedName>
    <definedName name="TABLE_INFO_1" localSheetId="64">'x-505'!$A$6:$B$21</definedName>
    <definedName name="TABLE_INFO_1" localSheetId="65">'x-506'!$A$6:$B$21</definedName>
    <definedName name="TABLE_INFO_1" localSheetId="66">'x-507'!$A$6:$B$21</definedName>
    <definedName name="TABLE_INFO_1" localSheetId="67">'x-601'!$A$6:$B$21</definedName>
    <definedName name="TABLE_INFO_1" localSheetId="68">'x-602'!$A$6:$B$21</definedName>
    <definedName name="TABLE_INFO_1" localSheetId="69">'x-603'!$A$6:$B$21</definedName>
    <definedName name="TABLE_INFO_1" localSheetId="70">'x-604'!$A$6:$B$21</definedName>
    <definedName name="TABLE_INFO_1" localSheetId="71">'x-605'!$A$6:$B$21</definedName>
    <definedName name="TABLE_INFO_1" localSheetId="72">'x-606'!$A$6:$B$21</definedName>
    <definedName name="TABLE_INFO_1" localSheetId="73">'x-607'!$A$6:$B$21</definedName>
    <definedName name="TABLE_INFO_1" localSheetId="74">'x-608'!$A$6:$B$21</definedName>
    <definedName name="TABLE_INFO_1" localSheetId="75">'x-609'!$A$6:$B$21</definedName>
    <definedName name="TABLE_INFO_1" localSheetId="76">'x-610'!$A$6:$B$21</definedName>
    <definedName name="TABLE_INFO_1" localSheetId="77">'x-611'!$A$6:$B$21</definedName>
    <definedName name="TABLE_INFO_1" localSheetId="78">'x-612'!$A$6:$B$21</definedName>
    <definedName name="TABLE_INFO_1" localSheetId="79">'x-613'!$A$6:$B$21</definedName>
    <definedName name="TABLE_INFO_1" localSheetId="80">'x-614'!$A$6:$B$21</definedName>
    <definedName name="TABLE_INFO_1" localSheetId="81">'x-615'!$A$6:$B$21</definedName>
    <definedName name="TABLE_INFO_1" localSheetId="82">'x-616'!$A$6:$B$21</definedName>
    <definedName name="TABLE_INFO_1" localSheetId="83">'x-617'!$A$6:$B$21</definedName>
    <definedName name="TABLE_INFO_1" localSheetId="84">'x-618'!$A$6:$B$21</definedName>
    <definedName name="TABLE_INFO_1" localSheetId="85">'x-619'!$A$6:$B$21</definedName>
    <definedName name="TABLE_INFO_1" localSheetId="86">'x-620'!$A$6:$B$21</definedName>
    <definedName name="TABLE_INFO_1" localSheetId="87">'x-621'!$A$6:$B$21</definedName>
    <definedName name="TABLE_INFO_1" localSheetId="88">'x-622'!$A$6:$B$21</definedName>
    <definedName name="TABLE_INFO_1" localSheetId="89">'x-626'!$A$6:$B$21</definedName>
    <definedName name="TABLE_INFO_1" localSheetId="90">'x-627'!$A$6:$B$21</definedName>
    <definedName name="TABLE_INFO_1" localSheetId="91">'x-701'!$A$6:$B$21</definedName>
    <definedName name="TABLE_INFO_1" localSheetId="92">'x-702'!$A$6:$B$21</definedName>
    <definedName name="TABLE_INFO_2" localSheetId="91">'x-701'!$E$6:$F$21</definedName>
    <definedName name="TABLE_REFERENCE">'x-Series Number'!$B$15</definedName>
    <definedName name="TABLE_REFERENCE_1" localSheetId="8">'x-201'!$B$15</definedName>
    <definedName name="TABLE_REFERENCE_1" localSheetId="9">'x-202'!$B$15</definedName>
    <definedName name="TABLE_REFERENCE_1" localSheetId="10">'x-203'!$B$15</definedName>
    <definedName name="TABLE_REFERENCE_1" localSheetId="11">'x-204'!$B$15</definedName>
    <definedName name="TABLE_REFERENCE_1" localSheetId="12">'x-205'!$B$15</definedName>
    <definedName name="TABLE_REFERENCE_1" localSheetId="13">'x-206'!$B$15</definedName>
    <definedName name="TABLE_REFERENCE_1" localSheetId="14">'x-207'!$B$15</definedName>
    <definedName name="TABLE_REFERENCE_1" localSheetId="15">'x-208'!$B$15</definedName>
    <definedName name="TABLE_REFERENCE_1" localSheetId="16">'x-209'!$B$15</definedName>
    <definedName name="TABLE_REFERENCE_1" localSheetId="17">'x-210'!$B$15</definedName>
    <definedName name="TABLE_REFERENCE_1" localSheetId="18">'x-211'!$B$15</definedName>
    <definedName name="TABLE_REFERENCE_1" localSheetId="19">'x-212'!$B$15</definedName>
    <definedName name="TABLE_REFERENCE_1" localSheetId="20">'x-213'!$B$15</definedName>
    <definedName name="TABLE_REFERENCE_1" localSheetId="21">'x-214'!$B$15</definedName>
    <definedName name="TABLE_REFERENCE_1" localSheetId="22">'x-215'!$B$15</definedName>
    <definedName name="TABLE_REFERENCE_1" localSheetId="23">'x-220'!$B$15</definedName>
    <definedName name="TABLE_REFERENCE_1" localSheetId="24">'x-221'!$B$15</definedName>
    <definedName name="TABLE_REFERENCE_1" localSheetId="25">'x-301'!$B$15</definedName>
    <definedName name="TABLE_REFERENCE_1" localSheetId="26">'x-302'!$B$15</definedName>
    <definedName name="TABLE_REFERENCE_1" localSheetId="27">'x-303'!$B$15</definedName>
    <definedName name="TABLE_REFERENCE_1" localSheetId="28">'x-304'!$B$15</definedName>
    <definedName name="TABLE_REFERENCE_1" localSheetId="29">'x-305'!$B$15</definedName>
    <definedName name="TABLE_REFERENCE_1" localSheetId="30">'x-306'!$B$15</definedName>
    <definedName name="TABLE_REFERENCE_1" localSheetId="31">'x-307'!$B$15</definedName>
    <definedName name="TABLE_REFERENCE_1" localSheetId="32">'x-308'!$B$15</definedName>
    <definedName name="TABLE_REFERENCE_1" localSheetId="33">'x-309'!$B$15</definedName>
    <definedName name="TABLE_REFERENCE_1" localSheetId="34">'x-310'!$B$15</definedName>
    <definedName name="TABLE_REFERENCE_1" localSheetId="35">'x-311'!$B$15</definedName>
    <definedName name="TABLE_REFERENCE_1" localSheetId="36">'x-312'!$B$15</definedName>
    <definedName name="TABLE_REFERENCE_1" localSheetId="37">'x-313'!$B$15</definedName>
    <definedName name="TABLE_REFERENCE_1" localSheetId="38">'x-314'!$B$15</definedName>
    <definedName name="TABLE_REFERENCE_1" localSheetId="39">'x-315'!$B$15</definedName>
    <definedName name="TABLE_REFERENCE_1" localSheetId="40">'x-316'!$B$15</definedName>
    <definedName name="TABLE_REFERENCE_1" localSheetId="42">'x-317'!$B$15</definedName>
    <definedName name="TABLE_REFERENCE_1" localSheetId="41">'x-321'!$B$15</definedName>
    <definedName name="TABLE_REFERENCE_1" localSheetId="43">'x-322'!$B$15</definedName>
    <definedName name="TABLE_REFERENCE_1" localSheetId="44">'x-323'!$B$15</definedName>
    <definedName name="TABLE_REFERENCE_1" localSheetId="45">'x-324'!$B$15</definedName>
    <definedName name="TABLE_REFERENCE_1" localSheetId="46">'x-325'!$B$15</definedName>
    <definedName name="TABLE_REFERENCE_1" localSheetId="47">'x-326'!$B$15</definedName>
    <definedName name="TABLE_REFERENCE_1" localSheetId="48">'x-327'!$B$15</definedName>
    <definedName name="TABLE_REFERENCE_1" localSheetId="49">'x-328'!$B$15</definedName>
    <definedName name="TABLE_REFERENCE_1" localSheetId="50">'x-329'!$B$15</definedName>
    <definedName name="TABLE_REFERENCE_1" localSheetId="51">'x-330'!$B$15</definedName>
    <definedName name="TABLE_REFERENCE_1" localSheetId="52">'x-331'!$B$15</definedName>
    <definedName name="TABLE_REFERENCE_1" localSheetId="53">'x-401'!$B$15</definedName>
    <definedName name="TABLE_REFERENCE_1" localSheetId="54">'x-402'!$B$15</definedName>
    <definedName name="TABLE_REFERENCE_1" localSheetId="55">'x-403'!$B$15</definedName>
    <definedName name="TABLE_REFERENCE_1" localSheetId="56">'x-404'!$B$15</definedName>
    <definedName name="TABLE_REFERENCE_1" localSheetId="57">'x-405'!$B$15</definedName>
    <definedName name="TABLE_REFERENCE_1" localSheetId="58">'x-406 '!$B$15</definedName>
    <definedName name="TABLE_REFERENCE_1" localSheetId="59">'x-407'!$B$15</definedName>
    <definedName name="TABLE_REFERENCE_1" localSheetId="60">'x-501'!$B$15</definedName>
    <definedName name="TABLE_REFERENCE_1" localSheetId="61">'x-502'!$B$15</definedName>
    <definedName name="TABLE_REFERENCE_1" localSheetId="62">'x-503'!$B$15</definedName>
    <definedName name="TABLE_REFERENCE_1" localSheetId="63">'x-504'!$B$15</definedName>
    <definedName name="TABLE_REFERENCE_1" localSheetId="64">'x-505'!$B$15</definedName>
    <definedName name="TABLE_REFERENCE_1" localSheetId="65">'x-506'!$B$15</definedName>
    <definedName name="TABLE_REFERENCE_1" localSheetId="66">'x-507'!$B$15</definedName>
    <definedName name="TABLE_REFERENCE_1" localSheetId="67">'x-601'!$B$15</definedName>
    <definedName name="TABLE_REFERENCE_1" localSheetId="68">'x-602'!$B$15</definedName>
    <definedName name="TABLE_REFERENCE_1" localSheetId="69">'x-603'!$B$15</definedName>
    <definedName name="TABLE_REFERENCE_1" localSheetId="70">'x-604'!$B$15</definedName>
    <definedName name="TABLE_REFERENCE_1" localSheetId="71">'x-605'!$B$15</definedName>
    <definedName name="TABLE_REFERENCE_1" localSheetId="72">'x-606'!$B$15</definedName>
    <definedName name="TABLE_REFERENCE_1" localSheetId="73">'x-607'!$B$15</definedName>
    <definedName name="TABLE_REFERENCE_1" localSheetId="74">'x-608'!$B$15</definedName>
    <definedName name="TABLE_REFERENCE_1" localSheetId="75">'x-609'!$B$15</definedName>
    <definedName name="TABLE_REFERENCE_1" localSheetId="76">'x-610'!$B$15</definedName>
    <definedName name="TABLE_REFERENCE_1" localSheetId="77">'x-611'!$B$15</definedName>
    <definedName name="TABLE_REFERENCE_1" localSheetId="78">'x-612'!$B$15</definedName>
    <definedName name="TABLE_REFERENCE_1" localSheetId="79">'x-613'!$B$15</definedName>
    <definedName name="TABLE_REFERENCE_1" localSheetId="80">'x-614'!$B$15</definedName>
    <definedName name="TABLE_REFERENCE_1" localSheetId="81">'x-615'!$B$15</definedName>
    <definedName name="TABLE_REFERENCE_1" localSheetId="82">'x-616'!$B$15</definedName>
    <definedName name="TABLE_REFERENCE_1" localSheetId="83">'x-617'!$B$15</definedName>
    <definedName name="TABLE_REFERENCE_1" localSheetId="84">'x-618'!$B$15</definedName>
    <definedName name="TABLE_REFERENCE_1" localSheetId="85">'x-619'!$B$15</definedName>
    <definedName name="TABLE_REFERENCE_1" localSheetId="86">'x-620'!$B$15</definedName>
    <definedName name="TABLE_REFERENCE_1" localSheetId="87">'x-621'!$B$15</definedName>
    <definedName name="TABLE_REFERENCE_1" localSheetId="88">'x-622'!$B$15</definedName>
    <definedName name="TABLE_REFERENCE_1" localSheetId="89">'x-626'!$B$15</definedName>
    <definedName name="TABLE_REFERENCE_1" localSheetId="90">'x-627'!$B$15</definedName>
    <definedName name="TABLE_REFERENCE_1" localSheetId="91">'x-701'!$B$15</definedName>
    <definedName name="TABLE_REFERENCE_1" localSheetId="92">'x-702'!$B$15</definedName>
    <definedName name="TABLE_REFERENCE_2" localSheetId="91">'x-701'!$F$15</definedName>
    <definedName name="TABLE_REFERENCE_GUIDANCE">'x-Series Number'!$B$16</definedName>
    <definedName name="TABLE_REFERENCE_GUIDANCE_1" localSheetId="8">'x-201'!$B$16</definedName>
    <definedName name="TABLE_REFERENCE_GUIDANCE_1" localSheetId="9">'x-202'!$B$16</definedName>
    <definedName name="TABLE_REFERENCE_GUIDANCE_1" localSheetId="10">'x-203'!$B$16</definedName>
    <definedName name="TABLE_REFERENCE_GUIDANCE_1" localSheetId="11">'x-204'!$B$16</definedName>
    <definedName name="TABLE_REFERENCE_GUIDANCE_1" localSheetId="12">'x-205'!$B$16</definedName>
    <definedName name="TABLE_REFERENCE_GUIDANCE_1" localSheetId="13">'x-206'!$B$16</definedName>
    <definedName name="TABLE_REFERENCE_GUIDANCE_1" localSheetId="14">'x-207'!$B$16</definedName>
    <definedName name="TABLE_REFERENCE_GUIDANCE_1" localSheetId="15">'x-208'!$B$16</definedName>
    <definedName name="TABLE_REFERENCE_GUIDANCE_1" localSheetId="16">'x-209'!$B$16</definedName>
    <definedName name="TABLE_REFERENCE_GUIDANCE_1" localSheetId="17">'x-210'!$B$16</definedName>
    <definedName name="TABLE_REFERENCE_GUIDANCE_1" localSheetId="18">'x-211'!$B$16</definedName>
    <definedName name="TABLE_REFERENCE_GUIDANCE_1" localSheetId="19">'x-212'!$B$16</definedName>
    <definedName name="TABLE_REFERENCE_GUIDANCE_1" localSheetId="20">'x-213'!$B$16</definedName>
    <definedName name="TABLE_REFERENCE_GUIDANCE_1" localSheetId="21">'x-214'!$B$16</definedName>
    <definedName name="TABLE_REFERENCE_GUIDANCE_1" localSheetId="22">'x-215'!$B$16</definedName>
    <definedName name="TABLE_REFERENCE_GUIDANCE_1" localSheetId="23">'x-220'!$B$16</definedName>
    <definedName name="TABLE_REFERENCE_GUIDANCE_1" localSheetId="24">'x-221'!$B$16</definedName>
    <definedName name="TABLE_REFERENCE_GUIDANCE_1" localSheetId="25">'x-301'!$B$16</definedName>
    <definedName name="TABLE_REFERENCE_GUIDANCE_1" localSheetId="26">'x-302'!$B$16</definedName>
    <definedName name="TABLE_REFERENCE_GUIDANCE_1" localSheetId="27">'x-303'!$B$16</definedName>
    <definedName name="TABLE_REFERENCE_GUIDANCE_1" localSheetId="28">'x-304'!$B$16</definedName>
    <definedName name="TABLE_REFERENCE_GUIDANCE_1" localSheetId="29">'x-305'!$B$16</definedName>
    <definedName name="TABLE_REFERENCE_GUIDANCE_1" localSheetId="30">'x-306'!$B$16</definedName>
    <definedName name="TABLE_REFERENCE_GUIDANCE_1" localSheetId="31">'x-307'!$B$16</definedName>
    <definedName name="TABLE_REFERENCE_GUIDANCE_1" localSheetId="32">'x-308'!$B$16</definedName>
    <definedName name="TABLE_REFERENCE_GUIDANCE_1" localSheetId="33">'x-309'!$B$16</definedName>
    <definedName name="TABLE_REFERENCE_GUIDANCE_1" localSheetId="34">'x-310'!$B$16</definedName>
    <definedName name="TABLE_REFERENCE_GUIDANCE_1" localSheetId="35">'x-311'!$B$16</definedName>
    <definedName name="TABLE_REFERENCE_GUIDANCE_1" localSheetId="36">'x-312'!$B$16</definedName>
    <definedName name="TABLE_REFERENCE_GUIDANCE_1" localSheetId="37">'x-313'!$B$16</definedName>
    <definedName name="TABLE_REFERENCE_GUIDANCE_1" localSheetId="38">'x-314'!$B$16</definedName>
    <definedName name="TABLE_REFERENCE_GUIDANCE_1" localSheetId="39">'x-315'!$B$16</definedName>
    <definedName name="TABLE_REFERENCE_GUIDANCE_1" localSheetId="40">'x-316'!$B$16</definedName>
    <definedName name="TABLE_REFERENCE_GUIDANCE_1" localSheetId="42">'x-317'!$B$16</definedName>
    <definedName name="TABLE_REFERENCE_GUIDANCE_1" localSheetId="41">'x-321'!$B$16</definedName>
    <definedName name="TABLE_REFERENCE_GUIDANCE_1" localSheetId="43">'x-322'!$B$16</definedName>
    <definedName name="TABLE_REFERENCE_GUIDANCE_1" localSheetId="44">'x-323'!$B$16</definedName>
    <definedName name="TABLE_REFERENCE_GUIDANCE_1" localSheetId="45">'x-324'!$B$16</definedName>
    <definedName name="TABLE_REFERENCE_GUIDANCE_1" localSheetId="46">'x-325'!$B$16</definedName>
    <definedName name="TABLE_REFERENCE_GUIDANCE_1" localSheetId="47">'x-326'!$B$16</definedName>
    <definedName name="TABLE_REFERENCE_GUIDANCE_1" localSheetId="48">'x-327'!$B$16</definedName>
    <definedName name="TABLE_REFERENCE_GUIDANCE_1" localSheetId="49">'x-328'!$B$16</definedName>
    <definedName name="TABLE_REFERENCE_GUIDANCE_1" localSheetId="50">'x-329'!$B$16</definedName>
    <definedName name="TABLE_REFERENCE_GUIDANCE_1" localSheetId="51">'x-330'!$B$16</definedName>
    <definedName name="TABLE_REFERENCE_GUIDANCE_1" localSheetId="52">'x-331'!$B$16</definedName>
    <definedName name="TABLE_REFERENCE_GUIDANCE_1" localSheetId="53">'x-401'!$B$16</definedName>
    <definedName name="TABLE_REFERENCE_GUIDANCE_1" localSheetId="54">'x-402'!$B$16</definedName>
    <definedName name="TABLE_REFERENCE_GUIDANCE_1" localSheetId="55">'x-403'!$B$16</definedName>
    <definedName name="TABLE_REFERENCE_GUIDANCE_1" localSheetId="56">'x-404'!$B$16</definedName>
    <definedName name="TABLE_REFERENCE_GUIDANCE_1" localSheetId="57">'x-405'!$B$16</definedName>
    <definedName name="TABLE_REFERENCE_GUIDANCE_1" localSheetId="58">'x-406 '!$B$16</definedName>
    <definedName name="TABLE_REFERENCE_GUIDANCE_1" localSheetId="59">'x-407'!$B$16</definedName>
    <definedName name="TABLE_REFERENCE_GUIDANCE_1" localSheetId="60">'x-501'!$B$16</definedName>
    <definedName name="TABLE_REFERENCE_GUIDANCE_1" localSheetId="61">'x-502'!$B$16</definedName>
    <definedName name="TABLE_REFERENCE_GUIDANCE_1" localSheetId="62">'x-503'!$B$16</definedName>
    <definedName name="TABLE_REFERENCE_GUIDANCE_1" localSheetId="63">'x-504'!$B$16</definedName>
    <definedName name="TABLE_REFERENCE_GUIDANCE_1" localSheetId="64">'x-505'!$B$16</definedName>
    <definedName name="TABLE_REFERENCE_GUIDANCE_1" localSheetId="65">'x-506'!$B$16</definedName>
    <definedName name="TABLE_REFERENCE_GUIDANCE_1" localSheetId="66">'x-507'!$B$16</definedName>
    <definedName name="TABLE_REFERENCE_GUIDANCE_1" localSheetId="67">'x-601'!$B$16</definedName>
    <definedName name="TABLE_REFERENCE_GUIDANCE_1" localSheetId="68">'x-602'!$B$16</definedName>
    <definedName name="TABLE_REFERENCE_GUIDANCE_1" localSheetId="69">'x-603'!$B$16</definedName>
    <definedName name="TABLE_REFERENCE_GUIDANCE_1" localSheetId="70">'x-604'!$B$16</definedName>
    <definedName name="TABLE_REFERENCE_GUIDANCE_1" localSheetId="71">'x-605'!$B$16</definedName>
    <definedName name="TABLE_REFERENCE_GUIDANCE_1" localSheetId="72">'x-606'!$B$16</definedName>
    <definedName name="TABLE_REFERENCE_GUIDANCE_1" localSheetId="73">'x-607'!$B$16</definedName>
    <definedName name="TABLE_REFERENCE_GUIDANCE_1" localSheetId="74">'x-608'!$B$16</definedName>
    <definedName name="TABLE_REFERENCE_GUIDANCE_1" localSheetId="75">'x-609'!$B$16</definedName>
    <definedName name="TABLE_REFERENCE_GUIDANCE_1" localSheetId="76">'x-610'!$B$16</definedName>
    <definedName name="TABLE_REFERENCE_GUIDANCE_1" localSheetId="77">'x-611'!$B$16</definedName>
    <definedName name="TABLE_REFERENCE_GUIDANCE_1" localSheetId="78">'x-612'!$B$16</definedName>
    <definedName name="TABLE_REFERENCE_GUIDANCE_1" localSheetId="79">'x-613'!$B$16</definedName>
    <definedName name="TABLE_REFERENCE_GUIDANCE_1" localSheetId="80">'x-614'!$B$16</definedName>
    <definedName name="TABLE_REFERENCE_GUIDANCE_1" localSheetId="81">'x-615'!$B$16</definedName>
    <definedName name="TABLE_REFERENCE_GUIDANCE_1" localSheetId="82">'x-616'!$B$16</definedName>
    <definedName name="TABLE_REFERENCE_GUIDANCE_1" localSheetId="83">'x-617'!$B$16</definedName>
    <definedName name="TABLE_REFERENCE_GUIDANCE_1" localSheetId="84">'x-618'!$B$16</definedName>
    <definedName name="TABLE_REFERENCE_GUIDANCE_1" localSheetId="85">'x-619'!$B$16</definedName>
    <definedName name="TABLE_REFERENCE_GUIDANCE_1" localSheetId="86">'x-620'!$B$16</definedName>
    <definedName name="TABLE_REFERENCE_GUIDANCE_1" localSheetId="87">'x-621'!$B$16</definedName>
    <definedName name="TABLE_REFERENCE_GUIDANCE_1" localSheetId="88">'x-622'!$B$16</definedName>
    <definedName name="TABLE_REFERENCE_GUIDANCE_1" localSheetId="89">'x-626'!$B$16</definedName>
    <definedName name="TABLE_REFERENCE_GUIDANCE_1" localSheetId="90">'x-627'!$B$16</definedName>
    <definedName name="TABLE_REFERENCE_GUIDANCE_1" localSheetId="91">'x-701'!$B$16</definedName>
    <definedName name="TABLE_REFERENCE_GUIDANCE_1" localSheetId="92">'x-702'!$B$16</definedName>
    <definedName name="TABLE_REFERENCE_GUIDANCE_2" localSheetId="91">'x-701'!$F$16</definedName>
    <definedName name="TABLE_RELATED">'x-Series Number'!$B$17</definedName>
    <definedName name="TABLE_RELATED_1" localSheetId="8">'x-201'!$B$17</definedName>
    <definedName name="TABLE_RELATED_1" localSheetId="9">'x-202'!$B$17</definedName>
    <definedName name="TABLE_RELATED_1" localSheetId="10">'x-203'!$B$17</definedName>
    <definedName name="TABLE_RELATED_1" localSheetId="11">'x-204'!$B$17</definedName>
    <definedName name="TABLE_RELATED_1" localSheetId="12">'x-205'!$B$17</definedName>
    <definedName name="TABLE_RELATED_1" localSheetId="13">'x-206'!$B$17</definedName>
    <definedName name="TABLE_RELATED_1" localSheetId="14">'x-207'!$B$17</definedName>
    <definedName name="TABLE_RELATED_1" localSheetId="15">'x-208'!$B$17</definedName>
    <definedName name="TABLE_RELATED_1" localSheetId="16">'x-209'!$B$17</definedName>
    <definedName name="TABLE_RELATED_1" localSheetId="17">'x-210'!$B$17</definedName>
    <definedName name="TABLE_RELATED_1" localSheetId="18">'x-211'!$B$17</definedName>
    <definedName name="TABLE_RELATED_1" localSheetId="19">'x-212'!$B$17</definedName>
    <definedName name="TABLE_RELATED_1" localSheetId="20">'x-213'!$B$17</definedName>
    <definedName name="TABLE_RELATED_1" localSheetId="21">'x-214'!$B$17</definedName>
    <definedName name="TABLE_RELATED_1" localSheetId="22">'x-215'!$B$17</definedName>
    <definedName name="TABLE_RELATED_1" localSheetId="23">'x-220'!$B$17</definedName>
    <definedName name="TABLE_RELATED_1" localSheetId="24">'x-221'!$B$17</definedName>
    <definedName name="TABLE_RELATED_1" localSheetId="25">'x-301'!$B$17</definedName>
    <definedName name="TABLE_RELATED_1" localSheetId="26">'x-302'!$B$17</definedName>
    <definedName name="TABLE_RELATED_1" localSheetId="27">'x-303'!$B$17</definedName>
    <definedName name="TABLE_RELATED_1" localSheetId="28">'x-304'!$B$17</definedName>
    <definedName name="TABLE_RELATED_1" localSheetId="29">'x-305'!$B$17</definedName>
    <definedName name="TABLE_RELATED_1" localSheetId="30">'x-306'!$B$17</definedName>
    <definedName name="TABLE_RELATED_1" localSheetId="31">'x-307'!$B$17</definedName>
    <definedName name="TABLE_RELATED_1" localSheetId="32">'x-308'!$B$17</definedName>
    <definedName name="TABLE_RELATED_1" localSheetId="33">'x-309'!$B$17</definedName>
    <definedName name="TABLE_RELATED_1" localSheetId="34">'x-310'!$B$17</definedName>
    <definedName name="TABLE_RELATED_1" localSheetId="35">'x-311'!$B$17</definedName>
    <definedName name="TABLE_RELATED_1" localSheetId="36">'x-312'!$B$17</definedName>
    <definedName name="TABLE_RELATED_1" localSheetId="37">'x-313'!$B$17</definedName>
    <definedName name="TABLE_RELATED_1" localSheetId="38">'x-314'!$B$17</definedName>
    <definedName name="TABLE_RELATED_1" localSheetId="39">'x-315'!$B$17</definedName>
    <definedName name="TABLE_RELATED_1" localSheetId="40">'x-316'!$B$17</definedName>
    <definedName name="TABLE_RELATED_1" localSheetId="42">'x-317'!$B$17</definedName>
    <definedName name="TABLE_RELATED_1" localSheetId="41">'x-321'!$B$17</definedName>
    <definedName name="TABLE_RELATED_1" localSheetId="43">'x-322'!$B$17</definedName>
    <definedName name="TABLE_RELATED_1" localSheetId="44">'x-323'!$B$17</definedName>
    <definedName name="TABLE_RELATED_1" localSheetId="45">'x-324'!$B$17</definedName>
    <definedName name="TABLE_RELATED_1" localSheetId="46">'x-325'!$B$17</definedName>
    <definedName name="TABLE_RELATED_1" localSheetId="47">'x-326'!$B$17</definedName>
    <definedName name="TABLE_RELATED_1" localSheetId="48">'x-327'!$B$17</definedName>
    <definedName name="TABLE_RELATED_1" localSheetId="49">'x-328'!$B$17</definedName>
    <definedName name="TABLE_RELATED_1" localSheetId="50">'x-329'!$B$17</definedName>
    <definedName name="TABLE_RELATED_1" localSheetId="51">'x-330'!$B$17</definedName>
    <definedName name="TABLE_RELATED_1" localSheetId="52">'x-331'!$B$17</definedName>
    <definedName name="TABLE_RELATED_1" localSheetId="53">'x-401'!$B$17</definedName>
    <definedName name="TABLE_RELATED_1" localSheetId="54">'x-402'!$B$17</definedName>
    <definedName name="TABLE_RELATED_1" localSheetId="55">'x-403'!$B$17</definedName>
    <definedName name="TABLE_RELATED_1" localSheetId="56">'x-404'!$B$17</definedName>
    <definedName name="TABLE_RELATED_1" localSheetId="57">'x-405'!$B$17</definedName>
    <definedName name="TABLE_RELATED_1" localSheetId="58">'x-406 '!$B$17</definedName>
    <definedName name="TABLE_RELATED_1" localSheetId="59">'x-407'!$B$17</definedName>
    <definedName name="TABLE_RELATED_1" localSheetId="60">'x-501'!$B$17</definedName>
    <definedName name="TABLE_RELATED_1" localSheetId="61">'x-502'!$B$17</definedName>
    <definedName name="TABLE_RELATED_1" localSheetId="62">'x-503'!$B$17</definedName>
    <definedName name="TABLE_RELATED_1" localSheetId="63">'x-504'!$B$17</definedName>
    <definedName name="TABLE_RELATED_1" localSheetId="64">'x-505'!$B$17</definedName>
    <definedName name="TABLE_RELATED_1" localSheetId="65">'x-506'!$B$17</definedName>
    <definedName name="TABLE_RELATED_1" localSheetId="66">'x-507'!$B$17</definedName>
    <definedName name="TABLE_RELATED_1" localSheetId="67">'x-601'!$B$17</definedName>
    <definedName name="TABLE_RELATED_1" localSheetId="68">'x-602'!$B$17</definedName>
    <definedName name="TABLE_RELATED_1" localSheetId="69">'x-603'!$B$17</definedName>
    <definedName name="TABLE_RELATED_1" localSheetId="70">'x-604'!$B$17</definedName>
    <definedName name="TABLE_RELATED_1" localSheetId="71">'x-605'!$B$17</definedName>
    <definedName name="TABLE_RELATED_1" localSheetId="72">'x-606'!$B$17</definedName>
    <definedName name="TABLE_RELATED_1" localSheetId="73">'x-607'!$B$17</definedName>
    <definedName name="TABLE_RELATED_1" localSheetId="74">'x-608'!$B$17</definedName>
    <definedName name="TABLE_RELATED_1" localSheetId="75">'x-609'!$B$17</definedName>
    <definedName name="TABLE_RELATED_1" localSheetId="76">'x-610'!$B$17</definedName>
    <definedName name="TABLE_RELATED_1" localSheetId="77">'x-611'!$B$17</definedName>
    <definedName name="TABLE_RELATED_1" localSheetId="78">'x-612'!$B$17</definedName>
    <definedName name="TABLE_RELATED_1" localSheetId="79">'x-613'!$B$17</definedName>
    <definedName name="TABLE_RELATED_1" localSheetId="80">'x-614'!$B$17</definedName>
    <definedName name="TABLE_RELATED_1" localSheetId="81">'x-615'!$B$17</definedName>
    <definedName name="TABLE_RELATED_1" localSheetId="82">'x-616'!$B$17</definedName>
    <definedName name="TABLE_RELATED_1" localSheetId="83">'x-617'!$B$17</definedName>
    <definedName name="TABLE_RELATED_1" localSheetId="84">'x-618'!$B$17</definedName>
    <definedName name="TABLE_RELATED_1" localSheetId="85">'x-619'!$B$17</definedName>
    <definedName name="TABLE_RELATED_1" localSheetId="86">'x-620'!$B$17</definedName>
    <definedName name="TABLE_RELATED_1" localSheetId="87">'x-621'!$B$17</definedName>
    <definedName name="TABLE_RELATED_1" localSheetId="88">'x-622'!$B$17</definedName>
    <definedName name="TABLE_RELATED_1" localSheetId="89">'x-626'!$B$17</definedName>
    <definedName name="TABLE_RELATED_1" localSheetId="90">'x-627'!$B$17</definedName>
    <definedName name="TABLE_RELATED_1" localSheetId="91">'x-701'!$B$17</definedName>
    <definedName name="TABLE_RELATED_1" localSheetId="92">'x-702'!$B$17</definedName>
    <definedName name="TABLE_RELATED_2" localSheetId="91">'x-701'!$F$17</definedName>
    <definedName name="TABLE_SECTION">'x-Series Number'!$B$8</definedName>
    <definedName name="TABLE_SECTION_1" localSheetId="8">'x-201'!$B$8</definedName>
    <definedName name="TABLE_SECTION_1" localSheetId="9">'x-202'!$B$8</definedName>
    <definedName name="TABLE_SECTION_1" localSheetId="10">'x-203'!$B$8</definedName>
    <definedName name="TABLE_SECTION_1" localSheetId="11">'x-204'!$B$8</definedName>
    <definedName name="TABLE_SECTION_1" localSheetId="12">'x-205'!$B$8</definedName>
    <definedName name="TABLE_SECTION_1" localSheetId="13">'x-206'!$B$8</definedName>
    <definedName name="TABLE_SECTION_1" localSheetId="14">'x-207'!$B$8</definedName>
    <definedName name="TABLE_SECTION_1" localSheetId="15">'x-208'!$B$8</definedName>
    <definedName name="TABLE_SECTION_1" localSheetId="16">'x-209'!$B$8</definedName>
    <definedName name="TABLE_SECTION_1" localSheetId="17">'x-210'!$B$8</definedName>
    <definedName name="TABLE_SECTION_1" localSheetId="18">'x-211'!$B$8</definedName>
    <definedName name="TABLE_SECTION_1" localSheetId="19">'x-212'!$B$8</definedName>
    <definedName name="TABLE_SECTION_1" localSheetId="20">'x-213'!$B$8</definedName>
    <definedName name="TABLE_SECTION_1" localSheetId="21">'x-214'!$B$8</definedName>
    <definedName name="TABLE_SECTION_1" localSheetId="22">'x-215'!$B$8</definedName>
    <definedName name="TABLE_SECTION_1" localSheetId="23">'x-220'!$B$8</definedName>
    <definedName name="TABLE_SECTION_1" localSheetId="24">'x-221'!$B$8</definedName>
    <definedName name="TABLE_SECTION_1" localSheetId="25">'x-301'!$B$8</definedName>
    <definedName name="TABLE_SECTION_1" localSheetId="26">'x-302'!$B$8</definedName>
    <definedName name="TABLE_SECTION_1" localSheetId="27">'x-303'!$B$8</definedName>
    <definedName name="TABLE_SECTION_1" localSheetId="28">'x-304'!$B$8</definedName>
    <definedName name="TABLE_SECTION_1" localSheetId="29">'x-305'!$B$8</definedName>
    <definedName name="TABLE_SECTION_1" localSheetId="30">'x-306'!$B$8</definedName>
    <definedName name="TABLE_SECTION_1" localSheetId="31">'x-307'!$B$8</definedName>
    <definedName name="TABLE_SECTION_1" localSheetId="32">'x-308'!$B$8</definedName>
    <definedName name="TABLE_SECTION_1" localSheetId="33">'x-309'!$B$8</definedName>
    <definedName name="TABLE_SECTION_1" localSheetId="34">'x-310'!$B$8</definedName>
    <definedName name="TABLE_SECTION_1" localSheetId="35">'x-311'!$B$8</definedName>
    <definedName name="TABLE_SECTION_1" localSheetId="36">'x-312'!$B$8</definedName>
    <definedName name="TABLE_SECTION_1" localSheetId="37">'x-313'!$B$8</definedName>
    <definedName name="TABLE_SECTION_1" localSheetId="38">'x-314'!$B$8</definedName>
    <definedName name="TABLE_SECTION_1" localSheetId="39">'x-315'!$B$8</definedName>
    <definedName name="TABLE_SECTION_1" localSheetId="40">'x-316'!$B$8</definedName>
    <definedName name="TABLE_SECTION_1" localSheetId="42">'x-317'!$B$8</definedName>
    <definedName name="TABLE_SECTION_1" localSheetId="41">'x-321'!$B$8</definedName>
    <definedName name="TABLE_SECTION_1" localSheetId="43">'x-322'!$B$8</definedName>
    <definedName name="TABLE_SECTION_1" localSheetId="44">'x-323'!$B$8</definedName>
    <definedName name="TABLE_SECTION_1" localSheetId="45">'x-324'!$B$8</definedName>
    <definedName name="TABLE_SECTION_1" localSheetId="46">'x-325'!$B$8</definedName>
    <definedName name="TABLE_SECTION_1" localSheetId="47">'x-326'!$B$8</definedName>
    <definedName name="TABLE_SECTION_1" localSheetId="48">'x-327'!$B$8</definedName>
    <definedName name="TABLE_SECTION_1" localSheetId="49">'x-328'!$B$8</definedName>
    <definedName name="TABLE_SECTION_1" localSheetId="50">'x-329'!$B$8</definedName>
    <definedName name="TABLE_SECTION_1" localSheetId="51">'x-330'!$B$8</definedName>
    <definedName name="TABLE_SECTION_1" localSheetId="52">'x-331'!$B$8</definedName>
    <definedName name="TABLE_SECTION_1" localSheetId="53">'x-401'!$B$8</definedName>
    <definedName name="TABLE_SECTION_1" localSheetId="54">'x-402'!$B$8</definedName>
    <definedName name="TABLE_SECTION_1" localSheetId="55">'x-403'!$B$8</definedName>
    <definedName name="TABLE_SECTION_1" localSheetId="56">'x-404'!$B$8</definedName>
    <definedName name="TABLE_SECTION_1" localSheetId="57">'x-405'!$B$8</definedName>
    <definedName name="TABLE_SECTION_1" localSheetId="58">'x-406 '!$B$8</definedName>
    <definedName name="TABLE_SECTION_1" localSheetId="59">'x-407'!$B$8</definedName>
    <definedName name="TABLE_SECTION_1" localSheetId="60">'x-501'!$B$8</definedName>
    <definedName name="TABLE_SECTION_1" localSheetId="61">'x-502'!$B$8</definedName>
    <definedName name="TABLE_SECTION_1" localSheetId="62">'x-503'!$B$8</definedName>
    <definedName name="TABLE_SECTION_1" localSheetId="63">'x-504'!$B$8</definedName>
    <definedName name="TABLE_SECTION_1" localSheetId="64">'x-505'!$B$8</definedName>
    <definedName name="TABLE_SECTION_1" localSheetId="65">'x-506'!$B$8</definedName>
    <definedName name="TABLE_SECTION_1" localSheetId="66">'x-507'!$B$8</definedName>
    <definedName name="TABLE_SECTION_1" localSheetId="67">'x-601'!$B$8</definedName>
    <definedName name="TABLE_SECTION_1" localSheetId="68">'x-602'!$B$8</definedName>
    <definedName name="TABLE_SECTION_1" localSheetId="69">'x-603'!$B$8</definedName>
    <definedName name="TABLE_SECTION_1" localSheetId="70">'x-604'!$B$8</definedName>
    <definedName name="TABLE_SECTION_1" localSheetId="71">'x-605'!$B$8</definedName>
    <definedName name="TABLE_SECTION_1" localSheetId="72">'x-606'!$B$8</definedName>
    <definedName name="TABLE_SECTION_1" localSheetId="73">'x-607'!$B$8</definedName>
    <definedName name="TABLE_SECTION_1" localSheetId="74">'x-608'!$B$8</definedName>
    <definedName name="TABLE_SECTION_1" localSheetId="75">'x-609'!$B$8</definedName>
    <definedName name="TABLE_SECTION_1" localSheetId="76">'x-610'!$B$8</definedName>
    <definedName name="TABLE_SECTION_1" localSheetId="77">'x-611'!$B$8</definedName>
    <definedName name="TABLE_SECTION_1" localSheetId="78">'x-612'!$B$8</definedName>
    <definedName name="TABLE_SECTION_1" localSheetId="79">'x-613'!$B$8</definedName>
    <definedName name="TABLE_SECTION_1" localSheetId="80">'x-614'!$B$8</definedName>
    <definedName name="TABLE_SECTION_1" localSheetId="81">'x-615'!$B$8</definedName>
    <definedName name="TABLE_SECTION_1" localSheetId="82">'x-616'!$B$8</definedName>
    <definedName name="TABLE_SECTION_1" localSheetId="83">'x-617'!$B$8</definedName>
    <definedName name="TABLE_SECTION_1" localSheetId="84">'x-618'!$B$8</definedName>
    <definedName name="TABLE_SECTION_1" localSheetId="85">'x-619'!$B$8</definedName>
    <definedName name="TABLE_SECTION_1" localSheetId="86">'x-620'!$B$8</definedName>
    <definedName name="TABLE_SECTION_1" localSheetId="87">'x-621'!$B$8</definedName>
    <definedName name="TABLE_SECTION_1" localSheetId="88">'x-622'!$B$8</definedName>
    <definedName name="TABLE_SECTION_1" localSheetId="89">'x-626'!$B$8</definedName>
    <definedName name="TABLE_SECTION_1" localSheetId="90">'x-627'!$B$8</definedName>
    <definedName name="TABLE_SECTION_1" localSheetId="91">'x-701'!$B$8</definedName>
    <definedName name="TABLE_SECTION_1" localSheetId="92">'x-702'!$B$8</definedName>
    <definedName name="TABLE_SECTION_2" localSheetId="91">'x-701'!$F$8</definedName>
    <definedName name="TABLE_SECTION_NUMBER">'x-Series Number'!$B$13</definedName>
    <definedName name="TABLE_SECTION_NUMBER_1" localSheetId="8">'x-201'!$B$13</definedName>
    <definedName name="TABLE_SECTION_NUMBER_1" localSheetId="9">'x-202'!$B$13</definedName>
    <definedName name="TABLE_SECTION_NUMBER_1" localSheetId="10">'x-203'!$B$13</definedName>
    <definedName name="TABLE_SECTION_NUMBER_1" localSheetId="11">'x-204'!$B$13</definedName>
    <definedName name="TABLE_SECTION_NUMBER_1" localSheetId="12">'x-205'!$B$13</definedName>
    <definedName name="TABLE_SECTION_NUMBER_1" localSheetId="13">'x-206'!$B$13</definedName>
    <definedName name="TABLE_SECTION_NUMBER_1" localSheetId="14">'x-207'!$B$13</definedName>
    <definedName name="TABLE_SECTION_NUMBER_1" localSheetId="15">'x-208'!$B$13</definedName>
    <definedName name="TABLE_SECTION_NUMBER_1" localSheetId="16">'x-209'!$B$13</definedName>
    <definedName name="TABLE_SECTION_NUMBER_1" localSheetId="17">'x-210'!$B$13</definedName>
    <definedName name="TABLE_SECTION_NUMBER_1" localSheetId="18">'x-211'!$B$13</definedName>
    <definedName name="TABLE_SECTION_NUMBER_1" localSheetId="19">'x-212'!$B$13</definedName>
    <definedName name="TABLE_SECTION_NUMBER_1" localSheetId="20">'x-213'!$B$13</definedName>
    <definedName name="TABLE_SECTION_NUMBER_1" localSheetId="21">'x-214'!$B$13</definedName>
    <definedName name="TABLE_SECTION_NUMBER_1" localSheetId="22">'x-215'!$B$13</definedName>
    <definedName name="TABLE_SECTION_NUMBER_1" localSheetId="23">'x-220'!$B$13</definedName>
    <definedName name="TABLE_SECTION_NUMBER_1" localSheetId="24">'x-221'!$B$13</definedName>
    <definedName name="TABLE_SECTION_NUMBER_1" localSheetId="25">'x-301'!$B$13</definedName>
    <definedName name="TABLE_SECTION_NUMBER_1" localSheetId="26">'x-302'!$B$13</definedName>
    <definedName name="TABLE_SECTION_NUMBER_1" localSheetId="27">'x-303'!$B$13</definedName>
    <definedName name="TABLE_SECTION_NUMBER_1" localSheetId="28">'x-304'!$B$13</definedName>
    <definedName name="TABLE_SECTION_NUMBER_1" localSheetId="29">'x-305'!$B$13</definedName>
    <definedName name="TABLE_SECTION_NUMBER_1" localSheetId="30">'x-306'!$B$13</definedName>
    <definedName name="TABLE_SECTION_NUMBER_1" localSheetId="31">'x-307'!$B$13</definedName>
    <definedName name="TABLE_SECTION_NUMBER_1" localSheetId="32">'x-308'!$B$13</definedName>
    <definedName name="TABLE_SECTION_NUMBER_1" localSheetId="33">'x-309'!$B$13</definedName>
    <definedName name="TABLE_SECTION_NUMBER_1" localSheetId="34">'x-310'!$B$13</definedName>
    <definedName name="TABLE_SECTION_NUMBER_1" localSheetId="35">'x-311'!$B$13</definedName>
    <definedName name="TABLE_SECTION_NUMBER_1" localSheetId="36">'x-312'!$B$13</definedName>
    <definedName name="TABLE_SECTION_NUMBER_1" localSheetId="37">'x-313'!$B$13</definedName>
    <definedName name="TABLE_SECTION_NUMBER_1" localSheetId="38">'x-314'!$B$13</definedName>
    <definedName name="TABLE_SECTION_NUMBER_1" localSheetId="39">'x-315'!$B$13</definedName>
    <definedName name="TABLE_SECTION_NUMBER_1" localSheetId="40">'x-316'!$B$13</definedName>
    <definedName name="TABLE_SECTION_NUMBER_1" localSheetId="42">'x-317'!$B$13</definedName>
    <definedName name="TABLE_SECTION_NUMBER_1" localSheetId="41">'x-321'!$B$13</definedName>
    <definedName name="TABLE_SECTION_NUMBER_1" localSheetId="43">'x-322'!$B$13</definedName>
    <definedName name="TABLE_SECTION_NUMBER_1" localSheetId="44">'x-323'!$B$13</definedName>
    <definedName name="TABLE_SECTION_NUMBER_1" localSheetId="45">'x-324'!$B$13</definedName>
    <definedName name="TABLE_SECTION_NUMBER_1" localSheetId="46">'x-325'!$B$13</definedName>
    <definedName name="TABLE_SECTION_NUMBER_1" localSheetId="47">'x-326'!$B$13</definedName>
    <definedName name="TABLE_SECTION_NUMBER_1" localSheetId="48">'x-327'!$B$13</definedName>
    <definedName name="TABLE_SECTION_NUMBER_1" localSheetId="49">'x-328'!$B$13</definedName>
    <definedName name="TABLE_SECTION_NUMBER_1" localSheetId="50">'x-329'!$B$13</definedName>
    <definedName name="TABLE_SECTION_NUMBER_1" localSheetId="51">'x-330'!$B$13</definedName>
    <definedName name="TABLE_SECTION_NUMBER_1" localSheetId="52">'x-331'!$B$13</definedName>
    <definedName name="TABLE_SECTION_NUMBER_1" localSheetId="53">'x-401'!$B$13</definedName>
    <definedName name="TABLE_SECTION_NUMBER_1" localSheetId="54">'x-402'!$B$13</definedName>
    <definedName name="TABLE_SECTION_NUMBER_1" localSheetId="55">'x-403'!$B$13</definedName>
    <definedName name="TABLE_SECTION_NUMBER_1" localSheetId="56">'x-404'!$B$13</definedName>
    <definedName name="TABLE_SECTION_NUMBER_1" localSheetId="57">'x-405'!$B$13</definedName>
    <definedName name="TABLE_SECTION_NUMBER_1" localSheetId="58">'x-406 '!$B$13</definedName>
    <definedName name="TABLE_SECTION_NUMBER_1" localSheetId="59">'x-407'!$B$13</definedName>
    <definedName name="TABLE_SECTION_NUMBER_1" localSheetId="60">'x-501'!$B$13</definedName>
    <definedName name="TABLE_SECTION_NUMBER_1" localSheetId="61">'x-502'!$B$13</definedName>
    <definedName name="TABLE_SECTION_NUMBER_1" localSheetId="62">'x-503'!$B$13</definedName>
    <definedName name="TABLE_SECTION_NUMBER_1" localSheetId="63">'x-504'!$B$13</definedName>
    <definedName name="TABLE_SECTION_NUMBER_1" localSheetId="64">'x-505'!$B$13</definedName>
    <definedName name="TABLE_SECTION_NUMBER_1" localSheetId="65">'x-506'!$B$13</definedName>
    <definedName name="TABLE_SECTION_NUMBER_1" localSheetId="66">'x-507'!$B$13</definedName>
    <definedName name="TABLE_SECTION_NUMBER_1" localSheetId="67">'x-601'!$B$13</definedName>
    <definedName name="TABLE_SECTION_NUMBER_1" localSheetId="68">'x-602'!$B$13</definedName>
    <definedName name="TABLE_SECTION_NUMBER_1" localSheetId="69">'x-603'!$B$13</definedName>
    <definedName name="TABLE_SECTION_NUMBER_1" localSheetId="70">'x-604'!$B$13</definedName>
    <definedName name="TABLE_SECTION_NUMBER_1" localSheetId="71">'x-605'!$B$13</definedName>
    <definedName name="TABLE_SECTION_NUMBER_1" localSheetId="72">'x-606'!$B$13</definedName>
    <definedName name="TABLE_SECTION_NUMBER_1" localSheetId="73">'x-607'!$B$13</definedName>
    <definedName name="TABLE_SECTION_NUMBER_1" localSheetId="74">'x-608'!$B$13</definedName>
    <definedName name="TABLE_SECTION_NUMBER_1" localSheetId="75">'x-609'!$B$13</definedName>
    <definedName name="TABLE_SECTION_NUMBER_1" localSheetId="76">'x-610'!$B$13</definedName>
    <definedName name="TABLE_SECTION_NUMBER_1" localSheetId="77">'x-611'!$B$13</definedName>
    <definedName name="TABLE_SECTION_NUMBER_1" localSheetId="78">'x-612'!$B$13</definedName>
    <definedName name="TABLE_SECTION_NUMBER_1" localSheetId="79">'x-613'!$B$13</definedName>
    <definedName name="TABLE_SECTION_NUMBER_1" localSheetId="80">'x-614'!$B$13</definedName>
    <definedName name="TABLE_SECTION_NUMBER_1" localSheetId="81">'x-615'!$B$13</definedName>
    <definedName name="TABLE_SECTION_NUMBER_1" localSheetId="82">'x-616'!$B$13</definedName>
    <definedName name="TABLE_SECTION_NUMBER_1" localSheetId="83">'x-617'!$B$13</definedName>
    <definedName name="TABLE_SECTION_NUMBER_1" localSheetId="84">'x-618'!$B$13</definedName>
    <definedName name="TABLE_SECTION_NUMBER_1" localSheetId="85">'x-619'!$B$13</definedName>
    <definedName name="TABLE_SECTION_NUMBER_1" localSheetId="86">'x-620'!$B$13</definedName>
    <definedName name="TABLE_SECTION_NUMBER_1" localSheetId="87">'x-621'!$B$13</definedName>
    <definedName name="TABLE_SECTION_NUMBER_1" localSheetId="88">'x-622'!$B$13</definedName>
    <definedName name="TABLE_SECTION_NUMBER_1" localSheetId="89">'x-626'!$B$13</definedName>
    <definedName name="TABLE_SECTION_NUMBER_1" localSheetId="90">'x-627'!$B$13</definedName>
    <definedName name="TABLE_SECTION_NUMBER_1" localSheetId="91">'x-701'!$B$13</definedName>
    <definedName name="TABLE_SECTION_NUMBER_1" localSheetId="92">'x-702'!$B$13</definedName>
    <definedName name="TABLE_SECTION_NUMBER_2" localSheetId="91">'x-701'!$F$13</definedName>
    <definedName name="TABLE_SERIES_NUMBER" localSheetId="7">'[2]x-Series Number'!$B$14</definedName>
    <definedName name="TABLE_SERIES_NUMBER">'x-Series Number'!$B$14</definedName>
    <definedName name="TABLE_SERIES_NUMBER_1" localSheetId="8">'x-201'!$B$14</definedName>
    <definedName name="TABLE_SERIES_NUMBER_1" localSheetId="9">'x-202'!$B$14</definedName>
    <definedName name="TABLE_SERIES_NUMBER_1" localSheetId="10">'x-203'!$B$14</definedName>
    <definedName name="TABLE_SERIES_NUMBER_1" localSheetId="11">'x-204'!$B$14</definedName>
    <definedName name="TABLE_SERIES_NUMBER_1" localSheetId="12">'x-205'!$B$14</definedName>
    <definedName name="TABLE_SERIES_NUMBER_1" localSheetId="13">'x-206'!$B$14</definedName>
    <definedName name="TABLE_SERIES_NUMBER_1" localSheetId="14">'x-207'!$B$14</definedName>
    <definedName name="TABLE_SERIES_NUMBER_1" localSheetId="15">'x-208'!$B$14</definedName>
    <definedName name="TABLE_SERIES_NUMBER_1" localSheetId="16">'x-209'!$B$14</definedName>
    <definedName name="TABLE_SERIES_NUMBER_1" localSheetId="17">'x-210'!$B$14</definedName>
    <definedName name="TABLE_SERIES_NUMBER_1" localSheetId="18">'x-211'!$B$14</definedName>
    <definedName name="TABLE_SERIES_NUMBER_1" localSheetId="19">'x-212'!$B$14</definedName>
    <definedName name="TABLE_SERIES_NUMBER_1" localSheetId="20">'x-213'!$B$14</definedName>
    <definedName name="TABLE_SERIES_NUMBER_1" localSheetId="21">'x-214'!$B$14</definedName>
    <definedName name="TABLE_SERIES_NUMBER_1" localSheetId="22">'x-215'!$B$14</definedName>
    <definedName name="TABLE_SERIES_NUMBER_1" localSheetId="23">'x-220'!$B$14</definedName>
    <definedName name="TABLE_SERIES_NUMBER_1" localSheetId="24">'x-221'!$B$14</definedName>
    <definedName name="TABLE_SERIES_NUMBER_1" localSheetId="25">'x-301'!$B$14</definedName>
    <definedName name="TABLE_SERIES_NUMBER_1" localSheetId="26">'x-302'!$B$14</definedName>
    <definedName name="TABLE_SERIES_NUMBER_1" localSheetId="27">'x-303'!$B$14</definedName>
    <definedName name="TABLE_SERIES_NUMBER_1" localSheetId="28">'x-304'!$B$14</definedName>
    <definedName name="TABLE_SERIES_NUMBER_1" localSheetId="29">'x-305'!$B$14</definedName>
    <definedName name="TABLE_SERIES_NUMBER_1" localSheetId="30">'x-306'!$B$14</definedName>
    <definedName name="TABLE_SERIES_NUMBER_1" localSheetId="31">'x-307'!$B$14</definedName>
    <definedName name="TABLE_SERIES_NUMBER_1" localSheetId="32">'x-308'!$B$14</definedName>
    <definedName name="TABLE_SERIES_NUMBER_1" localSheetId="33">'x-309'!$B$14</definedName>
    <definedName name="TABLE_SERIES_NUMBER_1" localSheetId="34">'x-310'!$B$14</definedName>
    <definedName name="TABLE_SERIES_NUMBER_1" localSheetId="35">'x-311'!$B$14</definedName>
    <definedName name="TABLE_SERIES_NUMBER_1" localSheetId="36">'x-312'!$B$14</definedName>
    <definedName name="TABLE_SERIES_NUMBER_1" localSheetId="37">'x-313'!$B$14</definedName>
    <definedName name="TABLE_SERIES_NUMBER_1" localSheetId="38">'x-314'!$B$14</definedName>
    <definedName name="TABLE_SERIES_NUMBER_1" localSheetId="39">'x-315'!$B$14</definedName>
    <definedName name="TABLE_SERIES_NUMBER_1" localSheetId="40">'x-316'!$B$14</definedName>
    <definedName name="TABLE_SERIES_NUMBER_1" localSheetId="42">'x-317'!$B$14</definedName>
    <definedName name="TABLE_SERIES_NUMBER_1" localSheetId="41">'x-321'!$B$14</definedName>
    <definedName name="TABLE_SERIES_NUMBER_1" localSheetId="43">'x-322'!$B$14</definedName>
    <definedName name="TABLE_SERIES_NUMBER_1" localSheetId="44">'x-323'!$B$14</definedName>
    <definedName name="TABLE_SERIES_NUMBER_1" localSheetId="45">'x-324'!$B$14</definedName>
    <definedName name="TABLE_SERIES_NUMBER_1" localSheetId="46">'x-325'!$B$14</definedName>
    <definedName name="TABLE_SERIES_NUMBER_1" localSheetId="47">'x-326'!$B$14</definedName>
    <definedName name="TABLE_SERIES_NUMBER_1" localSheetId="48">'x-327'!$B$14</definedName>
    <definedName name="TABLE_SERIES_NUMBER_1" localSheetId="49">'x-328'!$B$14</definedName>
    <definedName name="TABLE_SERIES_NUMBER_1" localSheetId="50">'x-329'!$B$14</definedName>
    <definedName name="TABLE_SERIES_NUMBER_1" localSheetId="51">'x-330'!$B$14</definedName>
    <definedName name="TABLE_SERIES_NUMBER_1" localSheetId="52">'x-331'!$B$14</definedName>
    <definedName name="TABLE_SERIES_NUMBER_1" localSheetId="53">'x-401'!$B$14</definedName>
    <definedName name="TABLE_SERIES_NUMBER_1" localSheetId="54">'x-402'!$B$14</definedName>
    <definedName name="TABLE_SERIES_NUMBER_1" localSheetId="55">'x-403'!$B$14</definedName>
    <definedName name="TABLE_SERIES_NUMBER_1" localSheetId="56">'x-404'!$B$14</definedName>
    <definedName name="TABLE_SERIES_NUMBER_1" localSheetId="57">'x-405'!$B$14</definedName>
    <definedName name="TABLE_SERIES_NUMBER_1" localSheetId="58">'x-406 '!$B$14</definedName>
    <definedName name="TABLE_SERIES_NUMBER_1" localSheetId="59">'x-407'!$B$14</definedName>
    <definedName name="TABLE_SERIES_NUMBER_1" localSheetId="60">'x-501'!$B$14</definedName>
    <definedName name="TABLE_SERIES_NUMBER_1" localSheetId="61">'x-502'!$B$14</definedName>
    <definedName name="TABLE_SERIES_NUMBER_1" localSheetId="62">'x-503'!$B$14</definedName>
    <definedName name="TABLE_SERIES_NUMBER_1" localSheetId="63">'x-504'!$B$14</definedName>
    <definedName name="TABLE_SERIES_NUMBER_1" localSheetId="64">'x-505'!$B$14</definedName>
    <definedName name="TABLE_SERIES_NUMBER_1" localSheetId="65">'x-506'!$B$14</definedName>
    <definedName name="TABLE_SERIES_NUMBER_1" localSheetId="66">'x-507'!$B$14</definedName>
    <definedName name="TABLE_SERIES_NUMBER_1" localSheetId="67">'x-601'!$B$14</definedName>
    <definedName name="TABLE_SERIES_NUMBER_1" localSheetId="68">'x-602'!$B$14</definedName>
    <definedName name="TABLE_SERIES_NUMBER_1" localSheetId="69">'x-603'!$B$14</definedName>
    <definedName name="TABLE_SERIES_NUMBER_1" localSheetId="70">'x-604'!$B$14</definedName>
    <definedName name="TABLE_SERIES_NUMBER_1" localSheetId="71">'x-605'!$B$14</definedName>
    <definedName name="TABLE_SERIES_NUMBER_1" localSheetId="72">'x-606'!$B$14</definedName>
    <definedName name="TABLE_SERIES_NUMBER_1" localSheetId="73">'x-607'!$B$14</definedName>
    <definedName name="TABLE_SERIES_NUMBER_1" localSheetId="74">'x-608'!$B$14</definedName>
    <definedName name="TABLE_SERIES_NUMBER_1" localSheetId="75">'x-609'!$B$14</definedName>
    <definedName name="TABLE_SERIES_NUMBER_1" localSheetId="76">'x-610'!$B$14</definedName>
    <definedName name="TABLE_SERIES_NUMBER_1" localSheetId="77">'x-611'!$B$14</definedName>
    <definedName name="TABLE_SERIES_NUMBER_1" localSheetId="78">'x-612'!$B$14</definedName>
    <definedName name="TABLE_SERIES_NUMBER_1" localSheetId="79">'x-613'!$B$14</definedName>
    <definedName name="TABLE_SERIES_NUMBER_1" localSheetId="80">'x-614'!$B$14</definedName>
    <definedName name="TABLE_SERIES_NUMBER_1" localSheetId="81">'x-615'!$B$14</definedName>
    <definedName name="TABLE_SERIES_NUMBER_1" localSheetId="82">'x-616'!$B$14</definedName>
    <definedName name="TABLE_SERIES_NUMBER_1" localSheetId="83">'x-617'!$B$14</definedName>
    <definedName name="TABLE_SERIES_NUMBER_1" localSheetId="84">'x-618'!$B$14</definedName>
    <definedName name="TABLE_SERIES_NUMBER_1" localSheetId="85">'x-619'!$B$14</definedName>
    <definedName name="TABLE_SERIES_NUMBER_1" localSheetId="86">'x-620'!$B$14</definedName>
    <definedName name="TABLE_SERIES_NUMBER_1" localSheetId="87">'x-621'!$B$14</definedName>
    <definedName name="TABLE_SERIES_NUMBER_1" localSheetId="88">'x-622'!$B$14</definedName>
    <definedName name="TABLE_SERIES_NUMBER_1" localSheetId="89">'x-626'!$B$14</definedName>
    <definedName name="TABLE_SERIES_NUMBER_1" localSheetId="90">'x-627'!$B$14</definedName>
    <definedName name="TABLE_SERIES_NUMBER_1" localSheetId="91">'x-701'!$B$14</definedName>
    <definedName name="TABLE_SERIES_NUMBER_1" localSheetId="92">'x-702'!$B$14</definedName>
    <definedName name="TABLE_SERIES_NUMBER_2" localSheetId="91">'x-701'!$F$14</definedName>
    <definedName name="title" localSheetId="7">[2]Cover!$A$2</definedName>
    <definedName name="title" localSheetId="58">[3]Cover!$A$2</definedName>
    <definedName name="title" localSheetId="66">[4]Cover!$A$2</definedName>
    <definedName name="title" localSheetId="91">[5]Cover!$A$2</definedName>
    <definedName name="title" localSheetId="92">[5]Cover!$A$2</definedName>
    <definedName name="title">Cover!$A$2</definedName>
    <definedName name="title_new">[6]Cover!$A$2</definedName>
    <definedName name="tn">[6]Cover!$A$2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05" l="1"/>
  <c r="A3" i="106"/>
  <c r="A3" i="107"/>
  <c r="A3" i="108"/>
  <c r="A3" i="109"/>
  <c r="A3" i="110"/>
  <c r="A3" i="111"/>
  <c r="A3" i="112"/>
  <c r="A3" i="113"/>
  <c r="A3" i="114"/>
  <c r="A3" i="115"/>
  <c r="A3" i="116"/>
  <c r="A3" i="117"/>
  <c r="A3" i="118"/>
  <c r="A3" i="140"/>
  <c r="A3" i="141"/>
  <c r="A3" i="119"/>
  <c r="A3" i="120"/>
  <c r="A3" i="121"/>
  <c r="A3" i="122"/>
  <c r="A3" i="123"/>
  <c r="A3" i="124"/>
  <c r="A3" i="125"/>
  <c r="A3" i="126"/>
  <c r="A3" i="127"/>
  <c r="A3" i="128"/>
  <c r="A3" i="129"/>
  <c r="A3" i="130"/>
  <c r="A3" i="181"/>
  <c r="A3" i="182"/>
  <c r="A3" i="183"/>
  <c r="A3" i="184"/>
  <c r="A3" i="186"/>
  <c r="A3" i="185"/>
  <c r="A3" i="187"/>
  <c r="A3" i="188"/>
  <c r="A3" i="189"/>
  <c r="A3" i="190"/>
  <c r="A3" i="191"/>
  <c r="A3" i="192"/>
  <c r="A3" i="193"/>
  <c r="A3" i="194"/>
  <c r="A3" i="195"/>
  <c r="A3" i="196"/>
  <c r="A3" i="166"/>
  <c r="A3" i="167"/>
  <c r="A3" i="168"/>
  <c r="A3" i="169"/>
  <c r="A3" i="170"/>
  <c r="A3" i="200"/>
  <c r="A3" i="172"/>
  <c r="A3" i="173"/>
  <c r="A3" i="174"/>
  <c r="A3" i="175"/>
  <c r="A3" i="176"/>
  <c r="A3" i="198"/>
  <c r="A3" i="199"/>
  <c r="A3" i="202"/>
  <c r="A3" i="142"/>
  <c r="A3" i="143"/>
  <c r="A3" i="144"/>
  <c r="A3" i="145"/>
  <c r="A3" i="146"/>
  <c r="A3" i="147"/>
  <c r="A3" i="148"/>
  <c r="A3" i="149"/>
  <c r="A3" i="150"/>
  <c r="A3" i="151"/>
  <c r="A3" i="152"/>
  <c r="A3" i="153"/>
  <c r="A3" i="154"/>
  <c r="A3" i="155"/>
  <c r="A3" i="156"/>
  <c r="A3" i="157"/>
  <c r="A3" i="158"/>
  <c r="A3" i="159"/>
  <c r="A3" i="160"/>
  <c r="A3" i="161"/>
  <c r="A3" i="162"/>
  <c r="A3" i="163"/>
  <c r="A3" i="164"/>
  <c r="A3" i="165"/>
  <c r="A3" i="131"/>
  <c r="A3" i="132"/>
  <c r="A3" i="104"/>
  <c r="A93" i="55"/>
  <c r="A92" i="55"/>
  <c r="A91" i="55"/>
  <c r="A90" i="55"/>
  <c r="A89" i="55"/>
  <c r="A88" i="55"/>
  <c r="A87" i="55"/>
  <c r="A86" i="55"/>
  <c r="A85" i="55"/>
  <c r="A84" i="55"/>
  <c r="A83" i="55"/>
  <c r="A82" i="55"/>
  <c r="A81" i="55"/>
  <c r="A80" i="55"/>
  <c r="A79" i="55"/>
  <c r="A78" i="55"/>
  <c r="A77" i="55"/>
  <c r="A76" i="55"/>
  <c r="A75" i="55"/>
  <c r="A74" i="55"/>
  <c r="A73" i="55"/>
  <c r="A72" i="55"/>
  <c r="A71" i="55"/>
  <c r="A70" i="55"/>
  <c r="A69" i="55"/>
  <c r="A68" i="55"/>
  <c r="A67" i="55"/>
  <c r="A66" i="55"/>
  <c r="A65" i="55"/>
  <c r="A64" i="55"/>
  <c r="A63" i="55"/>
  <c r="A62" i="55"/>
  <c r="A61" i="55"/>
  <c r="A60" i="55"/>
  <c r="A59" i="55"/>
  <c r="A58" i="55"/>
  <c r="A57" i="55"/>
  <c r="A56" i="55"/>
  <c r="A55" i="55"/>
  <c r="A54" i="55"/>
  <c r="A53" i="55"/>
  <c r="A52" i="55"/>
  <c r="A51" i="55"/>
  <c r="A50" i="55"/>
  <c r="A49" i="55"/>
  <c r="A48" i="55"/>
  <c r="A47" i="55"/>
  <c r="A46" i="55"/>
  <c r="A45" i="55"/>
  <c r="A44" i="55"/>
  <c r="A43" i="55"/>
  <c r="A42" i="55"/>
  <c r="A41" i="55"/>
  <c r="A40" i="55"/>
  <c r="A39" i="55"/>
  <c r="A38" i="55"/>
  <c r="A37" i="55"/>
  <c r="A36" i="55"/>
  <c r="A35" i="55"/>
  <c r="A34" i="55"/>
  <c r="A33" i="55"/>
  <c r="A32" i="55"/>
  <c r="A31" i="55"/>
  <c r="A30" i="55"/>
  <c r="A29" i="55"/>
  <c r="A28" i="55"/>
  <c r="A27" i="55"/>
  <c r="A26" i="55"/>
  <c r="A25" i="55"/>
  <c r="A24" i="55"/>
  <c r="A23" i="55"/>
  <c r="A22" i="55"/>
  <c r="A21" i="55"/>
  <c r="A20" i="55"/>
  <c r="A19" i="55"/>
  <c r="A18" i="55"/>
  <c r="A17" i="55"/>
  <c r="A16" i="55"/>
  <c r="A15" i="55"/>
  <c r="A14" i="55"/>
  <c r="A13" i="55"/>
  <c r="A12" i="55"/>
  <c r="A11" i="55"/>
  <c r="A10" i="55"/>
  <c r="A9" i="55"/>
  <c r="A8" i="55"/>
  <c r="B23" i="202"/>
  <c r="B24" i="131" l="1"/>
  <c r="B23" i="131"/>
  <c r="B24" i="199"/>
  <c r="B23" i="199"/>
  <c r="B24" i="198"/>
  <c r="B23" i="198"/>
  <c r="B24" i="105"/>
  <c r="B24" i="106"/>
  <c r="B24" i="107"/>
  <c r="B24" i="108"/>
  <c r="B24" i="109"/>
  <c r="B24" i="110"/>
  <c r="B24" i="111"/>
  <c r="B24" i="112"/>
  <c r="B24" i="113"/>
  <c r="B24" i="114"/>
  <c r="B24" i="115"/>
  <c r="B24" i="116"/>
  <c r="B24" i="117"/>
  <c r="B24" i="118"/>
  <c r="B24" i="140"/>
  <c r="B24" i="141"/>
  <c r="B24" i="119"/>
  <c r="B24" i="120"/>
  <c r="B24" i="121"/>
  <c r="B24" i="122"/>
  <c r="B24" i="123"/>
  <c r="B24" i="124"/>
  <c r="B24" i="125"/>
  <c r="B24" i="126"/>
  <c r="B24" i="127"/>
  <c r="B24" i="128"/>
  <c r="B24" i="129"/>
  <c r="B24" i="130"/>
  <c r="B24" i="181"/>
  <c r="B24" i="182"/>
  <c r="B24" i="183"/>
  <c r="B24" i="184"/>
  <c r="B24" i="186"/>
  <c r="B24" i="185"/>
  <c r="B24" i="187"/>
  <c r="B24" i="188"/>
  <c r="B24" i="189"/>
  <c r="B24" i="190"/>
  <c r="B24" i="191"/>
  <c r="B24" i="192"/>
  <c r="B24" i="193"/>
  <c r="B24" i="194"/>
  <c r="B24" i="195"/>
  <c r="B24" i="196"/>
  <c r="B24" i="166"/>
  <c r="B24" i="167"/>
  <c r="B24" i="168"/>
  <c r="B24" i="169"/>
  <c r="B24" i="170"/>
  <c r="B24" i="200"/>
  <c r="B24" i="172"/>
  <c r="B24" i="173"/>
  <c r="B24" i="174"/>
  <c r="B24" i="175"/>
  <c r="B24" i="176"/>
  <c r="B24" i="142"/>
  <c r="B24" i="143"/>
  <c r="B24" i="144"/>
  <c r="B24" i="145"/>
  <c r="B24" i="146"/>
  <c r="B24" i="147"/>
  <c r="B24" i="148"/>
  <c r="B24" i="149"/>
  <c r="B24" i="150"/>
  <c r="B24" i="151"/>
  <c r="B24" i="152"/>
  <c r="B24" i="153"/>
  <c r="B24" i="154"/>
  <c r="B24" i="155"/>
  <c r="B24" i="156"/>
  <c r="B24" i="157"/>
  <c r="B24" i="158"/>
  <c r="B24" i="159"/>
  <c r="B24" i="160"/>
  <c r="B24" i="161"/>
  <c r="B24" i="162"/>
  <c r="B24" i="163"/>
  <c r="B24" i="164"/>
  <c r="B24" i="165"/>
  <c r="B24" i="132"/>
  <c r="B24" i="104"/>
  <c r="A2" i="201"/>
  <c r="A2" i="55" l="1"/>
  <c r="B23" i="132"/>
  <c r="B23" i="165"/>
  <c r="B23" i="164"/>
  <c r="B23" i="163"/>
  <c r="B23" i="162"/>
  <c r="B23" i="161"/>
  <c r="B23" i="160"/>
  <c r="B23" i="159"/>
  <c r="B23" i="158"/>
  <c r="B23" i="157"/>
  <c r="B23" i="156"/>
  <c r="B23" i="155"/>
  <c r="B23" i="154"/>
  <c r="B23" i="153"/>
  <c r="B23" i="152"/>
  <c r="B23" i="151"/>
  <c r="B23" i="150"/>
  <c r="B23" i="149"/>
  <c r="B23" i="148"/>
  <c r="B23" i="147"/>
  <c r="B23" i="146"/>
  <c r="B23" i="145"/>
  <c r="B23" i="144"/>
  <c r="B23" i="143"/>
  <c r="B23" i="142"/>
  <c r="B23" i="176"/>
  <c r="B23" i="175"/>
  <c r="B23" i="174"/>
  <c r="B23" i="173"/>
  <c r="B23" i="172"/>
  <c r="B23" i="200"/>
  <c r="B23" i="170"/>
  <c r="B23" i="169"/>
  <c r="B23" i="168"/>
  <c r="B23" i="167"/>
  <c r="B23" i="166"/>
  <c r="B23" i="196"/>
  <c r="B23" i="195"/>
  <c r="B23" i="194"/>
  <c r="B23" i="193"/>
  <c r="B23" i="192"/>
  <c r="B23" i="191"/>
  <c r="B23" i="190"/>
  <c r="B23" i="189"/>
  <c r="B23" i="188"/>
  <c r="B23" i="187"/>
  <c r="B23" i="186"/>
  <c r="B23" i="185"/>
  <c r="B23" i="184"/>
  <c r="B23" i="183"/>
  <c r="B23" i="182"/>
  <c r="B23" i="181"/>
  <c r="B23" i="130"/>
  <c r="B23" i="129"/>
  <c r="B23" i="128"/>
  <c r="B23" i="127"/>
  <c r="B23" i="126"/>
  <c r="B23" i="125"/>
  <c r="B23" i="124"/>
  <c r="B23" i="123"/>
  <c r="B23" i="122"/>
  <c r="B23" i="121"/>
  <c r="B23" i="120"/>
  <c r="B23" i="119"/>
  <c r="B23" i="141"/>
  <c r="B23" i="140"/>
  <c r="B23" i="118"/>
  <c r="B23" i="117"/>
  <c r="B23" i="116"/>
  <c r="B23" i="115"/>
  <c r="B23" i="114"/>
  <c r="B23" i="113"/>
  <c r="B23" i="112"/>
  <c r="B23" i="111"/>
  <c r="B23" i="110"/>
  <c r="B23" i="109"/>
  <c r="B23" i="108"/>
  <c r="B23" i="107"/>
  <c r="B23" i="106"/>
  <c r="B23" i="105"/>
  <c r="B23" i="104"/>
  <c r="B22" i="102"/>
  <c r="C26" i="172" l="1"/>
  <c r="D26" i="172" s="1"/>
  <c r="E26" i="172" s="1"/>
  <c r="F26" i="172" s="1"/>
  <c r="G26" i="172" s="1"/>
  <c r="H26" i="172" s="1"/>
  <c r="I26" i="172" s="1"/>
  <c r="J26" i="172" s="1"/>
  <c r="K26" i="172" s="1"/>
  <c r="L26" i="172" s="1"/>
  <c r="C26" i="200"/>
  <c r="D26" i="200" s="1"/>
  <c r="E26" i="200" s="1"/>
  <c r="F26" i="200" s="1"/>
  <c r="G26" i="200" s="1"/>
  <c r="H26" i="200" s="1"/>
  <c r="I26" i="200" s="1"/>
  <c r="J26" i="200" s="1"/>
  <c r="K26" i="200" s="1"/>
  <c r="L26" i="200" s="1"/>
  <c r="A2" i="200"/>
  <c r="A2" i="199" l="1"/>
  <c r="A2" i="198"/>
  <c r="A2" i="196" l="1"/>
  <c r="A2" i="195"/>
  <c r="A2" i="194"/>
  <c r="A2" i="193"/>
  <c r="A2" i="192"/>
  <c r="A2" i="191"/>
  <c r="A2" i="190"/>
  <c r="A2" i="189"/>
  <c r="A2" i="188"/>
  <c r="A2" i="187"/>
  <c r="A2" i="186"/>
  <c r="A2" i="185"/>
  <c r="A2" i="184"/>
  <c r="A2" i="183"/>
  <c r="A2" i="182"/>
  <c r="A2" i="181"/>
  <c r="A2" i="176" l="1"/>
  <c r="A2" i="175"/>
  <c r="A2" i="174"/>
  <c r="A2" i="173"/>
  <c r="A2" i="172" l="1"/>
  <c r="A2" i="170"/>
  <c r="A2" i="169"/>
  <c r="A2" i="168"/>
  <c r="A2" i="167"/>
  <c r="A2" i="166"/>
  <c r="A2" i="165" l="1"/>
  <c r="A2" i="164"/>
  <c r="A2" i="163"/>
  <c r="A2" i="162"/>
  <c r="A2" i="161"/>
  <c r="A2" i="160"/>
  <c r="A2" i="159"/>
  <c r="A2" i="158"/>
  <c r="A2" i="157"/>
  <c r="A2" i="156"/>
  <c r="A2" i="155"/>
  <c r="A2" i="154"/>
  <c r="A2" i="153"/>
  <c r="A2" i="152"/>
  <c r="A2" i="151"/>
  <c r="A2" i="150"/>
  <c r="A2" i="149"/>
  <c r="A2" i="148"/>
  <c r="A2" i="147"/>
  <c r="A2" i="146"/>
  <c r="A2" i="145"/>
  <c r="A2" i="144"/>
  <c r="A2" i="143"/>
  <c r="A2" i="142"/>
  <c r="A2" i="141" l="1"/>
  <c r="A2" i="140"/>
  <c r="A2" i="132" l="1"/>
  <c r="A2" i="131"/>
  <c r="A2" i="130" l="1"/>
  <c r="A2" i="129"/>
  <c r="A2" i="128"/>
  <c r="A2" i="127"/>
  <c r="A2" i="126"/>
  <c r="A2" i="125"/>
  <c r="A2" i="124"/>
  <c r="A2" i="123"/>
  <c r="A2" i="122"/>
  <c r="A2" i="121"/>
  <c r="A2" i="120"/>
  <c r="A2" i="119"/>
  <c r="A2" i="118"/>
  <c r="A2" i="117"/>
  <c r="A2" i="116"/>
  <c r="A2" i="115"/>
  <c r="A2" i="114"/>
  <c r="A2" i="113"/>
  <c r="A2" i="112"/>
  <c r="A2" i="111"/>
  <c r="A2" i="110"/>
  <c r="A2" i="109"/>
  <c r="A2" i="108"/>
  <c r="A2" i="107"/>
  <c r="A2" i="106"/>
  <c r="A2" i="105"/>
  <c r="A2" i="104"/>
  <c r="A3" i="102" l="1"/>
  <c r="A4" i="102" l="1"/>
  <c r="A2" i="102"/>
  <c r="A4" i="96" l="1"/>
  <c r="A2" i="96"/>
  <c r="A4" i="78"/>
  <c r="A2" i="78"/>
  <c r="A4" i="77"/>
  <c r="A2" i="77"/>
  <c r="A4" i="1" l="1"/>
</calcChain>
</file>

<file path=xl/sharedStrings.xml><?xml version="1.0" encoding="utf-8"?>
<sst xmlns="http://schemas.openxmlformats.org/spreadsheetml/2006/main" count="3954" uniqueCount="659">
  <si>
    <t>Government Actuary's Department</t>
  </si>
  <si>
    <t>Fire_S - Consolidated Factor Spreadsheet</t>
  </si>
  <si>
    <t>Cover</t>
  </si>
  <si>
    <t>Specification</t>
  </si>
  <si>
    <t>This spreadsheet contains the full suite of factors that are in force for the Fire_S.</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</si>
  <si>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</si>
  <si>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</si>
  <si>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</si>
  <si>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</si>
  <si>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</si>
  <si>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</si>
  <si>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Factor List</t>
  </si>
  <si>
    <t xml:space="preserve">This sheet lists the full suite of factors that are in force together with the following information: </t>
  </si>
  <si>
    <t>Assumptions</t>
  </si>
  <si>
    <t>This sheet lists the suite of key assumptions underlying the factors set out in this speadsheet.</t>
  </si>
  <si>
    <t>x-101 and onwards</t>
  </si>
  <si>
    <t xml:space="preserve">The 100 series factors contain the club transfer factors. Each different type of club transfer factor is set out on a separate sheet starting with sheet x-101, where x relates to the scheme section (if applicable). </t>
  </si>
  <si>
    <t>x-201 and onwards</t>
  </si>
  <si>
    <t xml:space="preserve">The 200 series factors contain the non club transfer factors. Each different type of non club transfer factor is set out on a separate sheet starting with sheet x-201, where x relates to the scheme section (if applicable). </t>
  </si>
  <si>
    <t>x-301 and onwards</t>
  </si>
  <si>
    <t xml:space="preserve">The 300 series factors contain the pension sharing on divorce factors. Each different type of pension sharing on divorce factor is set out on a separate sheet starting with sheet x-301, where x relates to the scheme section (if applicable). </t>
  </si>
  <si>
    <t>x-401 and onwards</t>
  </si>
  <si>
    <t xml:space="preserve">The 400 series factors contain the early of late retirement factors. Each different type of early or late retirement factor is set out on a separate sheet starting with sheet x-401, where x relates to the scheme section (if applicable). </t>
  </si>
  <si>
    <t>x-501 and onwards</t>
  </si>
  <si>
    <t xml:space="preserve">The 500 series factors contain the commutation factors. Each different type of commutation factor is set out on a separate sheet starting with sheet x-501, where x relates to the scheme section (if applicable). </t>
  </si>
  <si>
    <t>x-601 and onwards</t>
  </si>
  <si>
    <t xml:space="preserve">The 600 series factors contain the scheme pays factors. Each different type of scheme pays factor is set out on a separate sheet starting with sheet x-601, where x relates to the scheme section (if applicable). </t>
  </si>
  <si>
    <t>x-701 and onwards</t>
  </si>
  <si>
    <t xml:space="preserve">The 700 series factors contain the additional benefit or additional contribution factors. Each different type of additional benefit or additional contribution factor is set out on a separate sheet starting with sheet x-701, where x relates to the scheme section (if applicable). </t>
  </si>
  <si>
    <t>x-801 and onwards</t>
  </si>
  <si>
    <t xml:space="preserve">The 800 series factors contain the other scheme specific factors. Each different type of other scheme specific factor is set out on a separate sheet starting with sheet x-801, where x relates to the scheme section (if applicable). </t>
  </si>
  <si>
    <t>Purpose of Spreadsheet</t>
  </si>
  <si>
    <t>Purpose of the Scottish Public Pensions Agency ("SPPA") Consolidated Factor Spreadsheet</t>
  </si>
  <si>
    <t xml:space="preserve">This spreadsheet is provided by GAD at the request of SPPA.  Its purpose is to set out in one place for convenience the actuarial factors provided by GAD to SPPA from time to time in respect of Firefighters' Pension Schemes (Scotland)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Scottish Public Pensions Agency ("SPPA"))].   
GAD has no liability for any changes made to this spreadsheet whilst being used by Scottish Public Pensions Agency ("SPPA") or any other third party.
This spreadsheet should not be made available online without the express permission of GAD. 
This spreadsheet is password protected. 
</t>
  </si>
  <si>
    <t>Version Control</t>
  </si>
  <si>
    <t>Version control</t>
  </si>
  <si>
    <t xml:space="preserve">This sheet is intended to assist SPPA in understanding which factors have changed and when. </t>
  </si>
  <si>
    <t>Version control on this sheet commences with the 2017/18 factor review (version 2018-1)</t>
  </si>
  <si>
    <t>Version 20190308</t>
  </si>
  <si>
    <t>Provides the following new factor tables:</t>
  </si>
  <si>
    <t>none</t>
  </si>
  <si>
    <t>Provides the following revised factors:</t>
  </si>
  <si>
    <t>201 - 215, 301 - 312</t>
  </si>
  <si>
    <t>(added on 17/1/19)</t>
  </si>
  <si>
    <t>x-701, x-702 and x-801. Note that x-703 and x-704 have not changed.</t>
  </si>
  <si>
    <t>added on 24/1/2017</t>
  </si>
  <si>
    <t>216-221. Note tables 216 - 219 have been withdrawn</t>
  </si>
  <si>
    <t>added on 24/1/19</t>
  </si>
  <si>
    <t>601-622, 626-627</t>
  </si>
  <si>
    <t>added on 25/1/19</t>
  </si>
  <si>
    <t>401 - 407</t>
  </si>
  <si>
    <t>added on 15/2/19</t>
  </si>
  <si>
    <t>501-504</t>
  </si>
  <si>
    <t>added on 8/3/19</t>
  </si>
  <si>
    <t>313-317, 321-331. Pension Debit adjustment and pension credit factors.</t>
  </si>
  <si>
    <t>Confirms that the following factor table is no longer required by SPPA:</t>
  </si>
  <si>
    <t>Factors still to follow:</t>
  </si>
  <si>
    <t>Methodology changes:</t>
  </si>
  <si>
    <t>Date modified:</t>
  </si>
  <si>
    <t>Michael Rae, GAD</t>
  </si>
  <si>
    <t>Version 2023-01</t>
  </si>
  <si>
    <t>Provides the following updated factor tables:</t>
  </si>
  <si>
    <t>x-201 to x-215, x-301 to x-317, x-321 to x-331</t>
  </si>
  <si>
    <t>Date Modified:</t>
  </si>
  <si>
    <t>Version 2023-02</t>
  </si>
  <si>
    <t xml:space="preserve"> x-220 to x-221, x-401 to x-407
</t>
  </si>
  <si>
    <t>Withdrawn factor tables:</t>
  </si>
  <si>
    <t xml:space="preserve"> x-216 to x-219 (final salary transfer in tables)</t>
  </si>
  <si>
    <t>Version 2023-03</t>
  </si>
  <si>
    <t>x-501 to x-504
x-601 to x-622 
x-626 to x-627</t>
  </si>
  <si>
    <t>Version 2023-04</t>
  </si>
  <si>
    <t>x-701 to x-702,
x-608 (table range extended)</t>
  </si>
  <si>
    <t>x-703 to x-704  (Purchase of Increased Benefits - 2006 scheme), 
x-801 (CPD factors)</t>
  </si>
  <si>
    <t>Version 2025-01</t>
  </si>
  <si>
    <t>x-606, x-607, x-626, x-627</t>
  </si>
  <si>
    <t>Other changes:</t>
  </si>
  <si>
    <t>The key assumptions underlying the factors have been added on a separate tab called "Assumptions".</t>
  </si>
  <si>
    <t xml:space="preserve">Summary of Factors </t>
  </si>
  <si>
    <t>x=0</t>
  </si>
  <si>
    <t>x=1</t>
  </si>
  <si>
    <t>x=2</t>
  </si>
  <si>
    <t>Fire_S</t>
  </si>
  <si>
    <t>100 Series - Club Transfer</t>
  </si>
  <si>
    <t>x-</t>
  </si>
  <si>
    <t>200 Series - Non Club Transfers</t>
  </si>
  <si>
    <t>300 Series - Pension Sharing on divorce</t>
  </si>
  <si>
    <t>400 Series - Early or Late Retirement</t>
  </si>
  <si>
    <t>500 Series - Commutation</t>
  </si>
  <si>
    <t>600 Series - Scheme Pays</t>
  </si>
  <si>
    <t>700 Series - Additional Benefits or Additional Contributions</t>
  </si>
  <si>
    <t>800 Series - Other Scheme Specific</t>
  </si>
  <si>
    <t>DO NOT REMOVE WORKSHEET</t>
  </si>
  <si>
    <t>BaseTablesList</t>
  </si>
  <si>
    <t>ImprovementsList</t>
  </si>
  <si>
    <t>PCFA00</t>
  </si>
  <si>
    <t>CMI2016F-07-1pt5</t>
  </si>
  <si>
    <t>PCMA00</t>
  </si>
  <si>
    <t>CMI2016M-07-1pt5</t>
  </si>
  <si>
    <t>PFA80</t>
  </si>
  <si>
    <t>Long Cohort</t>
  </si>
  <si>
    <t>PFA92</t>
  </si>
  <si>
    <t>Medium Cohort</t>
  </si>
  <si>
    <t>PFA92 - 08</t>
  </si>
  <si>
    <t>PFA80imp</t>
  </si>
  <si>
    <t>PFA92-10</t>
  </si>
  <si>
    <t>PMA80</t>
  </si>
  <si>
    <t>PMA80imp</t>
  </si>
  <si>
    <t>PMA92</t>
  </si>
  <si>
    <t>PMA92 - 08</t>
  </si>
  <si>
    <t>Short Cohort</t>
  </si>
  <si>
    <t>PMA92-10</t>
  </si>
  <si>
    <t>SMPI-2018imp</t>
  </si>
  <si>
    <t>PNFA00</t>
  </si>
  <si>
    <t>UKF2004imp</t>
  </si>
  <si>
    <t>PNFA00-06</t>
  </si>
  <si>
    <t>UKF2006imp</t>
  </si>
  <si>
    <t>PNFA00-08</t>
  </si>
  <si>
    <t>UKF2006imp_HLE</t>
  </si>
  <si>
    <t>PNFA00-10</t>
  </si>
  <si>
    <t>UKF2006imp_LLE</t>
  </si>
  <si>
    <t>PNMA00</t>
  </si>
  <si>
    <t>UKF2008imp</t>
  </si>
  <si>
    <t>PNMA00-06</t>
  </si>
  <si>
    <t>UKF2010imp</t>
  </si>
  <si>
    <t>PNMA00-08</t>
  </si>
  <si>
    <t>UKF2012imp</t>
  </si>
  <si>
    <t>PNMA00-10</t>
  </si>
  <si>
    <t>UKF2014imp</t>
  </si>
  <si>
    <t>S1DFA</t>
  </si>
  <si>
    <t>UKf2016HLEimp</t>
  </si>
  <si>
    <t>S1DFA-06</t>
  </si>
  <si>
    <t>UKF2016imp</t>
  </si>
  <si>
    <t>S1DFA-08</t>
  </si>
  <si>
    <t>UKf2016LLEimp</t>
  </si>
  <si>
    <t>S1DFA-10</t>
  </si>
  <si>
    <t>UKM2004imp</t>
  </si>
  <si>
    <t>S1DFA-12</t>
  </si>
  <si>
    <t>UKM2006imp</t>
  </si>
  <si>
    <t>S1DFA-14</t>
  </si>
  <si>
    <t>UKM2006imp_HLE</t>
  </si>
  <si>
    <t>S1DFA-16</t>
  </si>
  <si>
    <t>UKM2006imp_LLE</t>
  </si>
  <si>
    <t>S1DFA-L</t>
  </si>
  <si>
    <t>UKM2008imp</t>
  </si>
  <si>
    <t>S1DFA-L-06</t>
  </si>
  <si>
    <t>UKM2010imp</t>
  </si>
  <si>
    <t>S1DFA-L-08</t>
  </si>
  <si>
    <t>UKM2012imp</t>
  </si>
  <si>
    <t>S1DFA-L-10</t>
  </si>
  <si>
    <t>UKM2014imp</t>
  </si>
  <si>
    <t>S1DFA-L-12</t>
  </si>
  <si>
    <t>UKm2016HLEimp</t>
  </si>
  <si>
    <t>S1IFA</t>
  </si>
  <si>
    <t>UKM2016imp</t>
  </si>
  <si>
    <t>S1IFA-06</t>
  </si>
  <si>
    <t>UKm2016LLEimp</t>
  </si>
  <si>
    <t>S1IFA-08</t>
  </si>
  <si>
    <t>None</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</si>
  <si>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</si>
  <si>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</si>
  <si>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</si>
  <si>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</si>
  <si>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</si>
  <si>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</si>
  <si>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</si>
  <si>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</si>
  <si>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</si>
  <si>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</si>
  <si>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</si>
  <si>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</si>
  <si>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</si>
  <si>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</si>
  <si>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</si>
  <si>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</si>
  <si>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</si>
  <si>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</si>
  <si>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</si>
  <si>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</si>
  <si>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</si>
  <si>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</si>
  <si>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</si>
  <si>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</si>
  <si>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</si>
  <si>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</si>
  <si>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</si>
  <si>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</si>
  <si>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</si>
  <si>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</si>
  <si>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</si>
  <si>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</si>
  <si>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</si>
  <si>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</si>
  <si>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</si>
  <si>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</si>
  <si>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</si>
  <si>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</si>
  <si>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</si>
  <si>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</si>
  <si>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</si>
  <si>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</si>
  <si>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</si>
  <si>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</si>
  <si>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</si>
  <si>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</si>
  <si>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</si>
  <si>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</si>
  <si>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</si>
  <si>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</si>
  <si>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</si>
  <si>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</si>
  <si>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</si>
  <si>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</si>
  <si>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</si>
  <si>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</si>
  <si>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</si>
  <si>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</si>
  <si>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</si>
  <si>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</si>
  <si>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</si>
  <si>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</si>
  <si>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</si>
  <si>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</si>
  <si>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</si>
  <si>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</si>
  <si>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</si>
  <si>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</si>
  <si>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</si>
  <si>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</si>
  <si>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</si>
  <si>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</si>
  <si>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</si>
  <si>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</si>
  <si>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</si>
  <si>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</si>
  <si>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</si>
  <si>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</si>
  <si>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</si>
  <si>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</si>
  <si>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</si>
  <si>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</si>
  <si>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</si>
  <si>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</si>
  <si>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</si>
  <si>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</si>
  <si>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</si>
  <si>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</si>
  <si>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</si>
  <si>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</si>
  <si>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</si>
  <si>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</si>
  <si>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</si>
  <si>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</si>
  <si>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</si>
  <si>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</si>
  <si>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</si>
  <si>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</si>
  <si>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</si>
  <si>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</si>
  <si>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</si>
  <si>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</si>
  <si>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</si>
  <si>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</si>
  <si>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</si>
  <si>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</si>
  <si>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</si>
  <si>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</si>
  <si>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</si>
  <si>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</si>
  <si>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</si>
  <si>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</si>
  <si>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</si>
  <si>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</si>
  <si>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</si>
  <si>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</si>
  <si>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</si>
  <si>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</si>
  <si>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</si>
  <si>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</si>
  <si>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</si>
  <si>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</si>
  <si>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</si>
  <si>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</si>
  <si>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Section</t>
  </si>
  <si>
    <t>Factor Type</t>
  </si>
  <si>
    <t>Gender</t>
  </si>
  <si>
    <t>Factor Age/Period Definition</t>
  </si>
  <si>
    <t>Section Number (x)</t>
  </si>
  <si>
    <t>Series Number</t>
  </si>
  <si>
    <t>Table Reference in Guidance</t>
  </si>
  <si>
    <t>Related Factor Table Reference (where the factor uses the same table as another factor in this spreadsheet)</t>
  </si>
  <si>
    <t>Date Factors Implemented (if known)</t>
  </si>
  <si>
    <t>Factor Status</t>
  </si>
  <si>
    <t>CETV</t>
  </si>
  <si>
    <t>Transfer value factors for deferred benefits payable from 60</t>
  </si>
  <si>
    <t>Male</t>
  </si>
  <si>
    <t>Age last birthday at relevant date</t>
  </si>
  <si>
    <t>Table A1</t>
  </si>
  <si>
    <t>2023 factor review set</t>
  </si>
  <si>
    <t>Issued</t>
  </si>
  <si>
    <t>Female</t>
  </si>
  <si>
    <t>Table A2</t>
  </si>
  <si>
    <t>Transfer value factors for deferred benefits payable from 65</t>
  </si>
  <si>
    <t>Transfer value factors for deferred benefits payable from 65 - Females ages 60 and above</t>
  </si>
  <si>
    <t>Table A3</t>
  </si>
  <si>
    <t>Table B1</t>
  </si>
  <si>
    <t>Table B2</t>
  </si>
  <si>
    <t>CETV transfer factors based on DPA 65</t>
  </si>
  <si>
    <t>Table 3</t>
  </si>
  <si>
    <t>Table 4</t>
  </si>
  <si>
    <t>CETV transfer factors based on DPA 66</t>
  </si>
  <si>
    <t>Table 5</t>
  </si>
  <si>
    <t>Table 6</t>
  </si>
  <si>
    <t>CETV transfer factors based on DPA 67</t>
  </si>
  <si>
    <t>Table 7</t>
  </si>
  <si>
    <t>Table 8</t>
  </si>
  <si>
    <t>CETV transfer factors based on DPA 68</t>
  </si>
  <si>
    <t>Table 9</t>
  </si>
  <si>
    <t>Table 10</t>
  </si>
  <si>
    <t>TV In (non-club)</t>
  </si>
  <si>
    <t>Factors for non-club transfers - in based on NPA60</t>
  </si>
  <si>
    <t>x-220</t>
  </si>
  <si>
    <t>Table NM60</t>
  </si>
  <si>
    <t>x-221</t>
  </si>
  <si>
    <t>Table NF60</t>
  </si>
  <si>
    <t>PenCE</t>
  </si>
  <si>
    <t>Pensioner cash equivalent factors for divorce purposes - retirement not on grounds of ill health</t>
  </si>
  <si>
    <t>Table F1</t>
  </si>
  <si>
    <t>Table F2</t>
  </si>
  <si>
    <t>Pensioner cash equivalent factors for divorce purposes - retirement on grounds of ill health</t>
  </si>
  <si>
    <t>Table G1</t>
  </si>
  <si>
    <t>Table G2</t>
  </si>
  <si>
    <t>Ill health pensioner cash equivalent factors for divorce purposes - retirement on grounds of ill health</t>
  </si>
  <si>
    <t>Pension Credit</t>
  </si>
  <si>
    <t>Factors for calculating the pension credit</t>
  </si>
  <si>
    <t>Male and Female</t>
  </si>
  <si>
    <t>x-313</t>
  </si>
  <si>
    <t>Table J</t>
  </si>
  <si>
    <t>x-314</t>
  </si>
  <si>
    <t>Factors for calculating the pension credit (special members)</t>
  </si>
  <si>
    <t>x-315</t>
  </si>
  <si>
    <t>Table J1</t>
  </si>
  <si>
    <t>Factors for calculating pension credit - Females</t>
  </si>
  <si>
    <t>x-316</t>
  </si>
  <si>
    <t>Table C1</t>
  </si>
  <si>
    <t>Factors for calculating pension credit - Males</t>
  </si>
  <si>
    <t>x-317</t>
  </si>
  <si>
    <t>Table C2</t>
  </si>
  <si>
    <t>Pension Debit</t>
  </si>
  <si>
    <t>Reduction to pension debit on retirement before age 60 - Adjustment to pension</t>
  </si>
  <si>
    <t>Unisex</t>
  </si>
  <si>
    <t>Age of the member when benefits come into payment</t>
  </si>
  <si>
    <t>x-321</t>
  </si>
  <si>
    <t>Table L1</t>
  </si>
  <si>
    <t>Increase to pension debit on retirement after age 60 - Adjustment to pension</t>
  </si>
  <si>
    <t>x-322</t>
  </si>
  <si>
    <t>Table L2</t>
  </si>
  <si>
    <t>Reduction to pension debit on ill health retirement - Adjustment to pension</t>
  </si>
  <si>
    <t>x-323</t>
  </si>
  <si>
    <t>Table M1</t>
  </si>
  <si>
    <t>Reduction to pension debit on retirement before age 65</t>
  </si>
  <si>
    <t>Age of the member in years and complete months when benefits come into payment</t>
  </si>
  <si>
    <t>x-324</t>
  </si>
  <si>
    <t>Reduction to pension debit on retirement before age 60 (special members)</t>
  </si>
  <si>
    <t>x-325</t>
  </si>
  <si>
    <t>Table L1S</t>
  </si>
  <si>
    <t>Increase to pension debit on retirement after age 65</t>
  </si>
  <si>
    <t>x-326</t>
  </si>
  <si>
    <t>Increase to pension debit on retirement after age 60 (special members)</t>
  </si>
  <si>
    <t>x-327</t>
  </si>
  <si>
    <t>Table L2S</t>
  </si>
  <si>
    <t>Reduction to pension debit on ill health retirement</t>
  </si>
  <si>
    <t>x-328</t>
  </si>
  <si>
    <t>Reduction to pension debit on ill health retirement (special members)</t>
  </si>
  <si>
    <t>x-329</t>
  </si>
  <si>
    <t>Table M1S</t>
  </si>
  <si>
    <t>Early payment reduction - males and females (normal health)</t>
  </si>
  <si>
    <t xml:space="preserve">Years until DPA at date of retirement </t>
  </si>
  <si>
    <t>x-330</t>
  </si>
  <si>
    <t>Table D</t>
  </si>
  <si>
    <t>Early payment reduction - males and females (ill-health)</t>
  </si>
  <si>
    <t>x-331</t>
  </si>
  <si>
    <t>Table E</t>
  </si>
  <si>
    <t>ERF</t>
  </si>
  <si>
    <t>x-401</t>
  </si>
  <si>
    <t>Table A</t>
  </si>
  <si>
    <t>Period to the active member's normal pension age</t>
  </si>
  <si>
    <t>x-402</t>
  </si>
  <si>
    <t>Period to the member's deferred pension age</t>
  </si>
  <si>
    <t>x-403</t>
  </si>
  <si>
    <t>LRF</t>
  </si>
  <si>
    <t>Age at Start of Scheme Year</t>
  </si>
  <si>
    <t>x-404</t>
  </si>
  <si>
    <t>x-405</t>
  </si>
  <si>
    <t>Table B</t>
  </si>
  <si>
    <t>Age (in complete years at the start of the Scheme Year or normal pension age if later)
Term in months between normal pension age (or start of Scheme Year if later) and date of leaving or retirement</t>
  </si>
  <si>
    <t>Table C</t>
  </si>
  <si>
    <t>x-407</t>
  </si>
  <si>
    <t>1992/2006</t>
  </si>
  <si>
    <t>Triv Comm</t>
  </si>
  <si>
    <t xml:space="preserve">Factors for commutation of small pension </t>
  </si>
  <si>
    <t>Age in completed years</t>
  </si>
  <si>
    <t>x-501</t>
  </si>
  <si>
    <t>Table 1</t>
  </si>
  <si>
    <t>Factors for commutation of small pension and for capitalisation of survivor pension for determination of death gratuity</t>
  </si>
  <si>
    <t>x-502</t>
  </si>
  <si>
    <t>Table 2</t>
  </si>
  <si>
    <t xml:space="preserve">Trivial commutation factors for former firefighters </t>
  </si>
  <si>
    <t>x-503</t>
  </si>
  <si>
    <t>Trivial commutation for surviving spouse or partner</t>
  </si>
  <si>
    <t>x-504</t>
  </si>
  <si>
    <t>Commutation</t>
  </si>
  <si>
    <t>Factors for commutation of pension to lump sum (for all members except pension credit members)</t>
  </si>
  <si>
    <t>Age in years and completed months on day pension commences</t>
  </si>
  <si>
    <t>x-505</t>
  </si>
  <si>
    <t>Factors for commutation of pension to lump sum for pension credit members</t>
  </si>
  <si>
    <t>x-506</t>
  </si>
  <si>
    <t>Table 1A</t>
  </si>
  <si>
    <t>N/A</t>
  </si>
  <si>
    <t>x-507</t>
  </si>
  <si>
    <t>Scheme Pays AA</t>
  </si>
  <si>
    <t>Factors for calculating annual allowance pension debit for members below age 60</t>
  </si>
  <si>
    <t>Age last birthday at implementation date</t>
  </si>
  <si>
    <t>x-601</t>
  </si>
  <si>
    <t>Factors for calculating annual allowance pension debit for members aged 60 or above</t>
  </si>
  <si>
    <t>x-602</t>
  </si>
  <si>
    <t>Retirement timing factor - annual allowance pension debit on normal health before age 60</t>
  </si>
  <si>
    <t>x-603</t>
  </si>
  <si>
    <t>Retirement timing factor - annual allowance pension debit on normal health after age 60</t>
  </si>
  <si>
    <t>x-604</t>
  </si>
  <si>
    <t>Retirement timing factor - annual allowance pension debit on ill health retirement before age 60</t>
  </si>
  <si>
    <t>x-605</t>
  </si>
  <si>
    <t>Scheme Pays LTA</t>
  </si>
  <si>
    <t>Factors for calculating Lifetime Allowance debit</t>
  </si>
  <si>
    <t>Age last birthday at retirement</t>
  </si>
  <si>
    <t>x-606</t>
  </si>
  <si>
    <t>Withdrawn</t>
  </si>
  <si>
    <t>Factors for calculating Lifetime Allowance debit (retirement in ill health)</t>
  </si>
  <si>
    <t>x-607</t>
  </si>
  <si>
    <t>Factors for calculating annual allowance debit</t>
  </si>
  <si>
    <t>x-608</t>
  </si>
  <si>
    <t>28/07/2023 (extended 27/09/23)</t>
  </si>
  <si>
    <t>Retirement timing factor - annual allowance pension debit on retirement before age 65 - retirement not on grounds of ill health</t>
  </si>
  <si>
    <t>x-609</t>
  </si>
  <si>
    <t>Retirement timing factor - annual allowance pension debit on retirement before age 60 (Special members) - retirement not on grounds of ill health</t>
  </si>
  <si>
    <t>x-610</t>
  </si>
  <si>
    <t>Table B1S</t>
  </si>
  <si>
    <t>Retirement timing factor - annual allowance pension debit on retirement after age 65 (retirement not on grounds of ill health)</t>
  </si>
  <si>
    <t>x-611</t>
  </si>
  <si>
    <t>x-612</t>
  </si>
  <si>
    <t>Table B2S</t>
  </si>
  <si>
    <t>Retirement timing factor - annual allowance pension debit on ill health retirement before age 65 - Adjustment to pension</t>
  </si>
  <si>
    <t>x-613</t>
  </si>
  <si>
    <t>Retirement timing factor - annual allowance pension debit on ill health retirement before age 60 (Special members)</t>
  </si>
  <si>
    <t>x-614</t>
  </si>
  <si>
    <t>Table CS</t>
  </si>
  <si>
    <t>x-615</t>
  </si>
  <si>
    <t>Factors for calculating lifetime allowance debit (retirement in ill health)</t>
  </si>
  <si>
    <t>x-616</t>
  </si>
  <si>
    <t>Scheme pays factors</t>
  </si>
  <si>
    <t>x-617</t>
  </si>
  <si>
    <t>x-618</t>
  </si>
  <si>
    <t>Retirement timing factor - ill health retirement before deferred pension age - early payment reduction</t>
  </si>
  <si>
    <t>Years until deferred pension age at date of retirement</t>
  </si>
  <si>
    <t>x-619</t>
  </si>
  <si>
    <t>Retirement timing factor - normal health retirement before deferred pension age - early payment reduction</t>
  </si>
  <si>
    <t>Years until DPA at date of retirement</t>
  </si>
  <si>
    <t>x-620</t>
  </si>
  <si>
    <t>Age pensioner pension offset factors</t>
  </si>
  <si>
    <t>x-621</t>
  </si>
  <si>
    <t>Ill health pensioner pension offset factors</t>
  </si>
  <si>
    <t>x-622</t>
  </si>
  <si>
    <t>Table D1</t>
  </si>
  <si>
    <t>Scheme pays LTA</t>
  </si>
  <si>
    <t>Factors for calculating LTA debit</t>
  </si>
  <si>
    <t>Male &amp; Female</t>
  </si>
  <si>
    <t>x-626</t>
  </si>
  <si>
    <t>Factors for calculating LTA debit (ill health retirement)</t>
  </si>
  <si>
    <t>x-627</t>
  </si>
  <si>
    <t>Added pension</t>
  </si>
  <si>
    <t>Added Pension Lump Sum factors</t>
  </si>
  <si>
    <t>Age Last Birthday</t>
  </si>
  <si>
    <t>Added pension revaluation factors</t>
  </si>
  <si>
    <t>Number of Complete Scheme Years before NRA</t>
  </si>
  <si>
    <t>x-702</t>
  </si>
  <si>
    <t>Data Item</t>
  </si>
  <si>
    <t>Factor Table Information</t>
  </si>
  <si>
    <t>Client</t>
  </si>
  <si>
    <t>Enter the client name eg NHSPS_EW</t>
  </si>
  <si>
    <t>Enter the section name eg NHSPS 2015</t>
  </si>
  <si>
    <t>Enter the factor type (which should be consistent with the series header types found on the summary sheet (eg early or late retirement)</t>
  </si>
  <si>
    <t>Enter a description of the factor (eg use description from factor table in guidance)</t>
  </si>
  <si>
    <t>Enter either "unisex" or "m and f"</t>
  </si>
  <si>
    <t>Enter in age definition</t>
  </si>
  <si>
    <t>Section Number</t>
  </si>
  <si>
    <t>Enter section number (this relates to the number used to identify the scheme section - see top of summary tab for section number)</t>
  </si>
  <si>
    <t>Enter series number (this reflects the number in the relevant series eg if it’s the first ER/LR factor then it would be "401")</t>
  </si>
  <si>
    <t>Table Reference</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</si>
  <si>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</si>
  <si>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</si>
  <si>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</si>
  <si>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Date Factors Issued to Client</t>
  </si>
  <si>
    <t>Enter the date the factors are issued to the client</t>
  </si>
  <si>
    <t xml:space="preserve">Enter the date the factors are implemented </t>
  </si>
  <si>
    <t>Enter whether table is inforce, withdrawn, refer to gad etc</t>
  </si>
  <si>
    <t>Copy the relevant factor table and foot notes here. Unisex or male factor table in this grey box.</t>
  </si>
  <si>
    <t>Assumptions underlying factors (Note 1 &amp; 2)</t>
  </si>
  <si>
    <t>Financial assumptions</t>
  </si>
  <si>
    <t>Nominal discount rate p.a.</t>
  </si>
  <si>
    <t>Consumer Price Indexation (CPI) p.a.</t>
  </si>
  <si>
    <t>Retail Price Indexation (RPI) - pre 2030 p.a.</t>
  </si>
  <si>
    <t>Not applicable</t>
  </si>
  <si>
    <t>Retail Price Indexation (RPI) - post 2030 p.a.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</si>
  <si>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</si>
  <si>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</si>
  <si>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</si>
  <si>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</si>
  <si>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</si>
  <si>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</si>
  <si>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</si>
  <si>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</si>
  <si>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</si>
  <si>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</si>
  <si>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</si>
  <si>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126% of S3NMA_M</t>
  </si>
  <si>
    <t>Normal health pensioner - female</t>
  </si>
  <si>
    <t>126% of S3NFA_M</t>
  </si>
  <si>
    <t>Ill health pensioner - male</t>
  </si>
  <si>
    <t>Ill health pensioner - female</t>
  </si>
  <si>
    <t>Dependant - male</t>
  </si>
  <si>
    <t>Dependant - female</t>
  </si>
  <si>
    <t>114% of S3DFA</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</si>
  <si>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</si>
  <si>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</si>
  <si>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</si>
  <si>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</si>
  <si>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</si>
  <si>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</si>
  <si>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</si>
  <si>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</si>
  <si>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3 years older than partner.</t>
  </si>
  <si>
    <t>Age difference between member and spouse/dependant/partner, where member is female</t>
  </si>
  <si>
    <t>3 years younger than partner.</t>
  </si>
  <si>
    <t>Proportion married or partnered</t>
  </si>
  <si>
    <t>Generally in line with proposed 2020 valuation assumptions (Note 3): 75% of member’s assumed married at retirement (80% assumed partnered).
100% for options where the member can purchase additional dependant benefits.</t>
  </si>
  <si>
    <t>Allowance for commutation</t>
  </si>
  <si>
    <t>Expense loading</t>
  </si>
  <si>
    <t>Allowance for short-term dependants pension</t>
  </si>
  <si>
    <t>Normal pension age in the 2015 scheme</t>
  </si>
  <si>
    <t>In line with HMT valuation directions.</t>
  </si>
  <si>
    <t>Rates of ill health retirement</t>
  </si>
  <si>
    <t>In line with proposed 2020 valuation assumptions (Note 3).</t>
  </si>
  <si>
    <t>Ill health benefit enhancements</t>
  </si>
  <si>
    <t>Mortality before retirement</t>
  </si>
  <si>
    <t>Rates of leaving service</t>
  </si>
  <si>
    <t>Retirement ages</t>
  </si>
  <si>
    <t>All retirements from active service assumed to take place at normal pension age. 
All retirements from deferred assumed to take place at deferred pension age.</t>
  </si>
  <si>
    <t>Salary scales</t>
  </si>
  <si>
    <t>Not applicable.</t>
  </si>
  <si>
    <t>Guarantee periods</t>
  </si>
  <si>
    <t>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t>
  </si>
  <si>
    <t>Notes to the assumptions</t>
  </si>
  <si>
    <t>1. Advice underlying these assumptions</t>
  </si>
  <si>
    <t>Assumptions bulletin to SPPA dated 31 March 2023.</t>
  </si>
  <si>
    <t xml:space="preserve">2. Assumption summary </t>
  </si>
  <si>
    <t>The above assumptions were provided in the note dated 27 September 2023.</t>
  </si>
  <si>
    <t>3. 2020 valuation assumptions</t>
  </si>
  <si>
    <t>The 2020 valuation assumption report dated 26 January 2024.</t>
  </si>
  <si>
    <t>x-201</t>
  </si>
  <si>
    <t>Related Factor Guidance</t>
  </si>
  <si>
    <t>Assumption Set</t>
  </si>
  <si>
    <t>Age</t>
  </si>
  <si>
    <t>Gross pension of £1 per annum</t>
  </si>
  <si>
    <t>Surviving Partner's Pension of £1 per annum</t>
  </si>
  <si>
    <t>Deduction for NI modification of £1 per annum</t>
  </si>
  <si>
    <t>x-202</t>
  </si>
  <si>
    <t>x-203</t>
  </si>
  <si>
    <t>x-204</t>
  </si>
  <si>
    <t>x-205</t>
  </si>
  <si>
    <t>Gross Pension of £1 per annum</t>
  </si>
  <si>
    <t>x-206</t>
  </si>
  <si>
    <t>x-207</t>
  </si>
  <si>
    <t>x-208</t>
  </si>
  <si>
    <t>x-209</t>
  </si>
  <si>
    <t>x-210</t>
  </si>
  <si>
    <t>x-211</t>
  </si>
  <si>
    <t>x-212</t>
  </si>
  <si>
    <t>x-213</t>
  </si>
  <si>
    <t>x-214</t>
  </si>
  <si>
    <t>x-215</t>
  </si>
  <si>
    <t>Surviving partner's pension of £1 per annum</t>
  </si>
  <si>
    <t>x-301</t>
  </si>
  <si>
    <t>Member's pension of £1 per annum</t>
  </si>
  <si>
    <t>Accrued P.I. below age 55</t>
  </si>
  <si>
    <t>Deduction for GMP of £1 per annum</t>
  </si>
  <si>
    <t>x-302</t>
  </si>
  <si>
    <t>x-303</t>
  </si>
  <si>
    <t>x-304</t>
  </si>
  <si>
    <t>x-305</t>
  </si>
  <si>
    <t>x-306</t>
  </si>
  <si>
    <t>x-307</t>
  </si>
  <si>
    <t>x-308</t>
  </si>
  <si>
    <t>x-309</t>
  </si>
  <si>
    <t>x-310</t>
  </si>
  <si>
    <t>x-311</t>
  </si>
  <si>
    <t>x-312</t>
  </si>
  <si>
    <t>Pension of £1 per annum - Males</t>
  </si>
  <si>
    <t>Pension of £1 per annum - Females</t>
  </si>
  <si>
    <t>DPA 65</t>
  </si>
  <si>
    <t>DPA 66</t>
  </si>
  <si>
    <t>DPA 67</t>
  </si>
  <si>
    <t>DPA 68</t>
  </si>
  <si>
    <t>Months/Age</t>
  </si>
  <si>
    <t>Years Early</t>
  </si>
  <si>
    <t>Early payment reduction</t>
  </si>
  <si>
    <t>Age/Months</t>
  </si>
  <si>
    <t>Years/Months Early</t>
  </si>
  <si>
    <t>Age (in complete years at the start of the Scheme Year or normal pension age if later)</t>
  </si>
  <si>
    <t>0-406</t>
  </si>
  <si>
    <t>Months / Age</t>
  </si>
  <si>
    <t>Factors for benefits in payment to former firefighter</t>
  </si>
  <si>
    <t>Factors for spouse or partner pension</t>
  </si>
  <si>
    <t>Widow/Widower or other survivor</t>
  </si>
  <si>
    <t>Unisex factor for benefits in payment (Fpen)</t>
  </si>
  <si>
    <t>Unisex factor for spouse or partner's pension (Fspen)</t>
  </si>
  <si>
    <t>Survivng spouse or partner unisex (Fwpen)</t>
  </si>
  <si>
    <t>Below 50</t>
  </si>
  <si>
    <t>Contains the 1992 Scheme commutation factors calculated for the Firefighters’ Pension Scheme (Scotland), which apply to pension credit members</t>
  </si>
  <si>
    <t>Fire Scotland - Consolidated Factor Spreadsheet</t>
  </si>
  <si>
    <t>Factor</t>
  </si>
  <si>
    <t>Value</t>
  </si>
  <si>
    <t>RTCF</t>
  </si>
  <si>
    <t>Annual allowance debit factor per £1 of pension per annum Fpen - Males</t>
  </si>
  <si>
    <t>Annual allowance debit factor per £1 of pension per annum Fpen - Females</t>
  </si>
  <si>
    <t>Annual allowance debit (Standard members) - FP - Males</t>
  </si>
  <si>
    <t>Annual allowance debit (Standard members) - FP - Females</t>
  </si>
  <si>
    <t>Annual allowance debit (Special Members) - FP - Males</t>
  </si>
  <si>
    <t>Annual allowance debit (Special Members) - FP - Females</t>
  </si>
  <si>
    <t>Retirement timing factor - annual allowance pension debit on retirement after age 60 - Special members (retirement not on grounds of ill health)</t>
  </si>
  <si>
    <t>Early payment Reduction - Males and Females</t>
  </si>
  <si>
    <t>Male Factor</t>
  </si>
  <si>
    <t>Female Factor</t>
  </si>
  <si>
    <t>701A</t>
  </si>
  <si>
    <t>701B</t>
  </si>
  <si>
    <t>x-701A</t>
  </si>
  <si>
    <t>x-701B</t>
  </si>
  <si>
    <t>Lump Sum factor</t>
  </si>
  <si>
    <t>Adj</t>
  </si>
  <si>
    <t>Revaluation Factor</t>
  </si>
  <si>
    <t>1992, 2006</t>
  </si>
  <si>
    <t>Rule of thumb capitalisation factors for adult survivor pensions where there is a GMP entitlement and the deceased member reached State Pension age before 6 April 2016</t>
  </si>
  <si>
    <t>Early retirement factors for members retiring without entitlement to immediate benefits but with deferred benefits payable from 65</t>
  </si>
  <si>
    <t>Early payment reduction factors for members retiring from active service – 2015 Scheme</t>
  </si>
  <si>
    <t>Early payment reduction factors for members retiring from deferred status (also applicable to members retiring from active status or deferred status with added pension) – 2015 Scheme</t>
  </si>
  <si>
    <t>Age addition percentage factors for members retiring from active service – 2015 scheme (active member account)</t>
  </si>
  <si>
    <t>Age addition percentage factors for members retiring from active service –2015 scheme (added pension account)</t>
  </si>
  <si>
    <t>Assumed age addition percentage factors for members retiring from active service – 2015 scheme (active member account)</t>
  </si>
  <si>
    <t>Assumed age addition percentage factors for members retiring from active service – 2015 scheme (added pension account)</t>
  </si>
  <si>
    <t>Table Location</t>
  </si>
  <si>
    <t>Table Reference (Section-Series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</si>
</sst>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
    <numFmt numFmtId="167" formatCode="[$-F800]dddd\,\ mmmm\ dd\,\ yyyy"/>
  </numFmts>
  <fonts count="26"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2"/>
      <color rgb="FF000000"/>
      <name val="Arial"/>
      <family val="2"/>
    </font>
    <font>
      <b/>
      <sz val="12"/>
      <name val="Arial"/>
      <family val="2"/>
    </font>
    <font>
      <b/>
      <u/>
      <sz val="12"/>
      <name val="Arial"/>
      <family val="2"/>
    </font>
    <font>
      <sz val="12"/>
      <color rgb="FF000000"/>
      <name val="Arial"/>
      <family val="2"/>
    </font>
    <font>
      <sz val="12"/>
      <name val="Arial"/>
      <family val="2"/>
    </font>
    <font>
      <b/>
      <sz val="12"/>
      <color rgb="FFFF0000"/>
      <name val="Arial"/>
      <family val="2"/>
    </font>
    <font>
      <sz val="10"/>
      <color theme="0" tint="-0.34998626667073579"/>
      <name val="Arial"/>
      <family val="2"/>
    </font>
    <font>
      <b/>
      <sz val="10"/>
      <color theme="0" tint="-0.34998626667073579"/>
      <name val="Arial"/>
      <family val="2"/>
    </font>
  </fonts>
  <fills count="10">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rgb="FFFFFF00"/>
        <bgColor indexed="64"/>
      </patternFill>
    </fill>
    <fill>
      <patternFill patternType="solid">
        <fgColor theme="4"/>
        <bgColor indexed="64"/>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7">
    <xf numFmtId="0" fontId="0" fillId="0" borderId="0"/>
    <xf numFmtId="0" fontId="1" fillId="0" borderId="0"/>
    <xf numFmtId="0" fontId="2" fillId="0" borderId="0"/>
    <xf numFmtId="0" fontId="14" fillId="0" borderId="0" applyNumberForma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1">
    <xf numFmtId="0" fontId="0" fillId="0" borderId="0" xfId="0"/>
    <xf numFmtId="0" fontId="4" fillId="0" borderId="0" xfId="0" applyFont="1"/>
    <xf numFmtId="0" fontId="2" fillId="0" borderId="0" xfId="0" applyFont="1" applyAlignment="1">
      <alignment vertical="top" wrapText="1"/>
    </xf>
    <xf numFmtId="0" fontId="0" fillId="0" borderId="0" xfId="0" applyAlignment="1">
      <alignment vertical="top"/>
    </xf>
    <xf numFmtId="0" fontId="5" fillId="2" borderId="1" xfId="0" applyFont="1" applyFill="1" applyBorder="1"/>
    <xf numFmtId="0" fontId="6" fillId="3" borderId="2" xfId="0" applyFont="1" applyFill="1" applyBorder="1"/>
    <xf numFmtId="0" fontId="7" fillId="3" borderId="0" xfId="0" applyFont="1" applyFill="1"/>
    <xf numFmtId="0" fontId="3" fillId="0" borderId="0" xfId="0" applyFont="1"/>
    <xf numFmtId="14" fontId="0" fillId="0" borderId="0" xfId="0" applyNumberFormat="1"/>
    <xf numFmtId="0" fontId="0" fillId="3" borderId="0" xfId="0" applyFill="1"/>
    <xf numFmtId="0" fontId="0" fillId="2" borderId="1" xfId="0" applyFill="1" applyBorder="1"/>
    <xf numFmtId="0" fontId="6"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2" fillId="0" borderId="0" xfId="0" applyFont="1"/>
    <xf numFmtId="0" fontId="0" fillId="0" borderId="0" xfId="0" applyAlignment="1">
      <alignment wrapText="1"/>
    </xf>
    <xf numFmtId="0" fontId="2" fillId="0" borderId="0" xfId="2"/>
    <xf numFmtId="0" fontId="0" fillId="0" borderId="11" xfId="0" applyBorder="1"/>
    <xf numFmtId="0" fontId="0" fillId="0" borderId="14" xfId="0" applyBorder="1"/>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left"/>
    </xf>
    <xf numFmtId="0" fontId="4" fillId="0" borderId="11" xfId="0" applyFont="1" applyBorder="1" applyAlignment="1">
      <alignment horizontal="left"/>
    </xf>
    <xf numFmtId="0" fontId="4"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5" fillId="2" borderId="1" xfId="2" applyFont="1" applyFill="1" applyBorder="1"/>
    <xf numFmtId="0" fontId="2" fillId="2" borderId="1" xfId="2" applyFill="1" applyBorder="1"/>
    <xf numFmtId="0" fontId="6" fillId="3" borderId="2" xfId="2" applyFont="1" applyFill="1" applyBorder="1"/>
    <xf numFmtId="0" fontId="2" fillId="3" borderId="0" xfId="2" applyFill="1"/>
    <xf numFmtId="0" fontId="7" fillId="3" borderId="0" xfId="2" applyFont="1" applyFill="1"/>
    <xf numFmtId="0" fontId="3" fillId="0" borderId="0" xfId="2" applyFont="1"/>
    <xf numFmtId="0" fontId="4" fillId="4" borderId="15" xfId="2" applyFont="1" applyFill="1" applyBorder="1" applyAlignment="1">
      <alignment vertical="top"/>
    </xf>
    <xf numFmtId="0" fontId="4" fillId="4" borderId="15" xfId="2" applyFont="1" applyFill="1" applyBorder="1" applyAlignment="1">
      <alignment vertical="top" wrapText="1"/>
    </xf>
    <xf numFmtId="0" fontId="2" fillId="4" borderId="15" xfId="2" applyFill="1" applyBorder="1" applyAlignment="1">
      <alignment horizontal="left" vertical="top"/>
    </xf>
    <xf numFmtId="0" fontId="9" fillId="4" borderId="6" xfId="2" applyFont="1" applyFill="1" applyBorder="1" applyAlignment="1">
      <alignment vertical="top" wrapText="1"/>
    </xf>
    <xf numFmtId="0" fontId="9" fillId="4" borderId="6" xfId="2" applyFont="1" applyFill="1" applyBorder="1" applyAlignment="1">
      <alignment horizontal="left" vertical="top" wrapText="1"/>
    </xf>
    <xf numFmtId="0" fontId="9" fillId="4" borderId="15" xfId="2" applyFont="1" applyFill="1" applyBorder="1" applyAlignment="1">
      <alignment vertical="top" wrapText="1"/>
    </xf>
    <xf numFmtId="0" fontId="2" fillId="4" borderId="4" xfId="2" applyFill="1" applyBorder="1" applyAlignment="1">
      <alignment horizontal="left" vertical="top"/>
    </xf>
    <xf numFmtId="0" fontId="9" fillId="4" borderId="15" xfId="2" applyFont="1" applyFill="1" applyBorder="1" applyAlignment="1">
      <alignment horizontal="left" vertical="top" wrapText="1"/>
    </xf>
    <xf numFmtId="0" fontId="2" fillId="4" borderId="15" xfId="2" applyFill="1" applyBorder="1" applyAlignment="1">
      <alignment horizontal="left" vertical="top" wrapText="1"/>
    </xf>
    <xf numFmtId="0" fontId="2" fillId="4" borderId="4" xfId="2" applyFill="1" applyBorder="1" applyAlignment="1">
      <alignment horizontal="left" vertical="top" wrapText="1"/>
    </xf>
    <xf numFmtId="14" fontId="9" fillId="4" borderId="15" xfId="2" applyNumberFormat="1" applyFont="1" applyFill="1" applyBorder="1" applyAlignment="1">
      <alignment horizontal="left" vertical="top" wrapText="1"/>
    </xf>
    <xf numFmtId="0" fontId="10" fillId="4" borderId="8" xfId="2" applyFont="1" applyFill="1" applyBorder="1"/>
    <xf numFmtId="0" fontId="10" fillId="4" borderId="10" xfId="2" applyFont="1" applyFill="1" applyBorder="1"/>
    <xf numFmtId="0" fontId="10" fillId="4" borderId="11" xfId="2" applyFont="1" applyFill="1" applyBorder="1"/>
    <xf numFmtId="0" fontId="10" fillId="4" borderId="12" xfId="2" applyFont="1" applyFill="1" applyBorder="1"/>
    <xf numFmtId="0" fontId="10" fillId="4" borderId="11" xfId="2" applyFont="1" applyFill="1" applyBorder="1" applyAlignment="1">
      <alignment horizontal="left"/>
    </xf>
    <xf numFmtId="0" fontId="10" fillId="4" borderId="12" xfId="2" applyFont="1" applyFill="1" applyBorder="1" applyAlignment="1">
      <alignment horizontal="left"/>
    </xf>
    <xf numFmtId="0" fontId="9" fillId="4" borderId="11" xfId="2" applyFont="1" applyFill="1" applyBorder="1"/>
    <xf numFmtId="0" fontId="9" fillId="4" borderId="12" xfId="2" applyFont="1" applyFill="1" applyBorder="1"/>
    <xf numFmtId="164" fontId="11" fillId="4" borderId="11" xfId="2" applyNumberFormat="1" applyFont="1" applyFill="1" applyBorder="1" applyAlignment="1">
      <alignment horizontal="right"/>
    </xf>
    <xf numFmtId="164" fontId="11" fillId="4" borderId="12" xfId="2" applyNumberFormat="1" applyFont="1" applyFill="1" applyBorder="1" applyAlignment="1">
      <alignment horizontal="right"/>
    </xf>
    <xf numFmtId="1" fontId="9" fillId="4" borderId="11" xfId="2" applyNumberFormat="1" applyFont="1" applyFill="1" applyBorder="1" applyAlignment="1">
      <alignment horizontal="right"/>
    </xf>
    <xf numFmtId="1" fontId="9" fillId="4" borderId="12" xfId="2" applyNumberFormat="1" applyFont="1" applyFill="1" applyBorder="1" applyAlignment="1">
      <alignment horizontal="right"/>
    </xf>
    <xf numFmtId="0" fontId="9" fillId="4" borderId="11" xfId="2" applyFont="1" applyFill="1" applyBorder="1" applyAlignment="1">
      <alignment vertical="top"/>
    </xf>
    <xf numFmtId="0" fontId="9" fillId="4" borderId="12" xfId="2" applyFont="1" applyFill="1" applyBorder="1" applyAlignment="1">
      <alignment vertical="top"/>
    </xf>
    <xf numFmtId="0" fontId="9" fillId="4" borderId="16" xfId="2" applyFont="1" applyFill="1" applyBorder="1"/>
    <xf numFmtId="0" fontId="9" fillId="4" borderId="13" xfId="2" applyFont="1" applyFill="1" applyBorder="1"/>
    <xf numFmtId="1" fontId="13" fillId="0" borderId="0" xfId="0" applyNumberFormat="1" applyFont="1" applyAlignment="1">
      <alignment vertical="top" wrapText="1"/>
    </xf>
    <xf numFmtId="0" fontId="12" fillId="0" borderId="0" xfId="0" applyFont="1"/>
    <xf numFmtId="2" fontId="12" fillId="0" borderId="0" xfId="0" applyNumberFormat="1" applyFont="1"/>
    <xf numFmtId="0" fontId="13" fillId="0" borderId="0" xfId="0" applyFont="1" applyAlignment="1">
      <alignment horizontal="left" wrapText="1"/>
    </xf>
    <xf numFmtId="0" fontId="12" fillId="0" borderId="0" xfId="0" applyFont="1" applyAlignment="1">
      <alignment horizontal="left" wrapText="1"/>
    </xf>
    <xf numFmtId="0" fontId="13" fillId="0" borderId="0" xfId="0" applyFont="1" applyAlignment="1">
      <alignment horizontal="centerContinuous" wrapText="1"/>
    </xf>
    <xf numFmtId="0" fontId="12" fillId="0" borderId="0" xfId="0" applyFont="1" applyAlignment="1">
      <alignment horizontal="centerContinuous" wrapText="1"/>
    </xf>
    <xf numFmtId="0" fontId="0" fillId="2" borderId="1" xfId="0" applyFill="1" applyBorder="1" applyAlignment="1">
      <alignment wrapText="1"/>
    </xf>
    <xf numFmtId="0" fontId="0" fillId="3" borderId="0" xfId="0" applyFill="1" applyAlignment="1">
      <alignment wrapText="1"/>
    </xf>
    <xf numFmtId="0" fontId="0" fillId="0" borderId="0" xfId="0" applyAlignment="1">
      <alignment vertical="top" wrapText="1"/>
    </xf>
    <xf numFmtId="0" fontId="12" fillId="0" borderId="0" xfId="2" applyFont="1" applyAlignment="1">
      <alignment horizontal="centerContinuous" wrapText="1"/>
    </xf>
    <xf numFmtId="14" fontId="12" fillId="0" borderId="0" xfId="2" applyNumberFormat="1" applyFont="1" applyAlignment="1">
      <alignment horizontal="centerContinuous" wrapText="1"/>
    </xf>
    <xf numFmtId="164" fontId="2" fillId="0" borderId="0" xfId="2" applyNumberFormat="1"/>
    <xf numFmtId="0" fontId="13" fillId="0" borderId="0" xfId="2" applyFont="1" applyAlignment="1">
      <alignment horizontal="left" wrapText="1"/>
    </xf>
    <xf numFmtId="0" fontId="13" fillId="0" borderId="0" xfId="2" applyFont="1" applyAlignment="1">
      <alignment horizontal="centerContinuous" wrapText="1"/>
    </xf>
    <xf numFmtId="1" fontId="13" fillId="0" borderId="0" xfId="0" applyNumberFormat="1" applyFont="1" applyAlignment="1">
      <alignment horizontal="center" vertical="center" wrapText="1"/>
    </xf>
    <xf numFmtId="0" fontId="12" fillId="0" borderId="0" xfId="0" applyFont="1" applyAlignment="1">
      <alignment horizontal="center" vertical="center"/>
    </xf>
    <xf numFmtId="2" fontId="12" fillId="0" borderId="0" xfId="0" applyNumberFormat="1" applyFont="1" applyAlignment="1">
      <alignment horizontal="center" vertical="center"/>
    </xf>
    <xf numFmtId="164" fontId="12" fillId="0" borderId="0" xfId="0" applyNumberFormat="1" applyFont="1" applyAlignment="1">
      <alignment horizontal="center" vertical="center"/>
    </xf>
    <xf numFmtId="0" fontId="14" fillId="0" borderId="0" xfId="3"/>
    <xf numFmtId="0" fontId="18" fillId="0" borderId="0" xfId="0" applyFont="1" applyAlignment="1">
      <alignment horizontal="left" vertical="center" wrapText="1"/>
    </xf>
    <xf numFmtId="0" fontId="18" fillId="0" borderId="0" xfId="0" applyFont="1" applyAlignment="1">
      <alignment vertical="center" wrapText="1"/>
    </xf>
    <xf numFmtId="0" fontId="0" fillId="5" borderId="0" xfId="0" applyFill="1" applyAlignment="1">
      <alignment vertical="center"/>
    </xf>
    <xf numFmtId="0" fontId="0" fillId="6" borderId="0" xfId="0" applyFill="1" applyAlignment="1">
      <alignment vertical="center"/>
    </xf>
    <xf numFmtId="0" fontId="2" fillId="7" borderId="0" xfId="0" applyFont="1" applyFill="1" applyAlignment="1">
      <alignment vertical="center"/>
    </xf>
    <xf numFmtId="0" fontId="2"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left" vertical="center" wrapText="1"/>
    </xf>
    <xf numFmtId="1" fontId="13" fillId="0" borderId="0" xfId="2" applyNumberFormat="1" applyFont="1" applyAlignment="1">
      <alignment vertical="top" wrapText="1"/>
    </xf>
    <xf numFmtId="1" fontId="13" fillId="0" borderId="0" xfId="2" applyNumberFormat="1" applyFont="1"/>
    <xf numFmtId="0" fontId="12" fillId="0" borderId="0" xfId="2" applyFont="1" applyAlignment="1">
      <alignment horizontal="right"/>
    </xf>
    <xf numFmtId="2" fontId="12" fillId="0" borderId="0" xfId="2" applyNumberFormat="1" applyFont="1"/>
    <xf numFmtId="0" fontId="12" fillId="0" borderId="0" xfId="2" applyFont="1"/>
    <xf numFmtId="1" fontId="13" fillId="0" borderId="0" xfId="2" applyNumberFormat="1" applyFont="1" applyAlignment="1">
      <alignment horizontal="right" vertical="top" wrapText="1"/>
    </xf>
    <xf numFmtId="165" fontId="12" fillId="0" borderId="0" xfId="2" applyNumberFormat="1" applyFont="1"/>
    <xf numFmtId="1" fontId="13" fillId="0" borderId="0" xfId="2" applyNumberFormat="1" applyFont="1" applyAlignment="1">
      <alignment horizontal="center" vertical="center" wrapText="1"/>
    </xf>
    <xf numFmtId="0" fontId="12" fillId="0" borderId="0" xfId="2" applyFont="1" applyAlignment="1">
      <alignment horizontal="center" vertical="center"/>
    </xf>
    <xf numFmtId="165" fontId="12" fillId="0" borderId="0" xfId="2" applyNumberFormat="1" applyFont="1" applyAlignment="1">
      <alignment horizontal="center" vertical="center"/>
    </xf>
    <xf numFmtId="165" fontId="12" fillId="0" borderId="0" xfId="0" applyNumberFormat="1" applyFont="1" applyAlignment="1">
      <alignment horizontal="center" vertical="center"/>
    </xf>
    <xf numFmtId="0" fontId="0" fillId="0" borderId="0" xfId="0" applyAlignment="1">
      <alignment horizontal="left"/>
    </xf>
    <xf numFmtId="0" fontId="15" fillId="0" borderId="0" xfId="0" applyFont="1"/>
    <xf numFmtId="0" fontId="16" fillId="0" borderId="0" xfId="0" applyFont="1" applyAlignment="1">
      <alignment vertical="top" wrapText="1"/>
    </xf>
    <xf numFmtId="0" fontId="16" fillId="0" borderId="0" xfId="0" applyFont="1"/>
    <xf numFmtId="0" fontId="16" fillId="0" borderId="0" xfId="0" applyFont="1" applyAlignment="1">
      <alignment wrapText="1"/>
    </xf>
    <xf numFmtId="0" fontId="17" fillId="0" borderId="0" xfId="0" applyFont="1" applyAlignment="1">
      <alignment vertical="top" wrapText="1"/>
    </xf>
    <xf numFmtId="0" fontId="17" fillId="0" borderId="0" xfId="0" applyFont="1" applyAlignment="1">
      <alignment horizontal="left" vertical="top" wrapText="1"/>
    </xf>
    <xf numFmtId="22" fontId="16" fillId="0" borderId="0" xfId="0" applyNumberFormat="1" applyFont="1"/>
    <xf numFmtId="14" fontId="16" fillId="0" borderId="0" xfId="0" applyNumberFormat="1" applyFont="1" applyAlignment="1">
      <alignment wrapText="1"/>
    </xf>
    <xf numFmtId="0" fontId="16" fillId="0" borderId="0" xfId="0" applyFont="1" applyAlignment="1">
      <alignment horizontal="left"/>
    </xf>
    <xf numFmtId="14" fontId="16" fillId="0" borderId="0" xfId="0" applyNumberFormat="1" applyFont="1"/>
    <xf numFmtId="0" fontId="0" fillId="2" borderId="1" xfId="0" applyFill="1" applyBorder="1" applyAlignment="1">
      <alignment horizontal="left"/>
    </xf>
    <xf numFmtId="0" fontId="0" fillId="3" borderId="0" xfId="0" applyFill="1" applyAlignment="1">
      <alignment horizontal="left"/>
    </xf>
    <xf numFmtId="0" fontId="2" fillId="2" borderId="1" xfId="0" applyFont="1" applyFill="1" applyBorder="1"/>
    <xf numFmtId="14" fontId="2" fillId="2" borderId="0" xfId="0" applyNumberFormat="1" applyFont="1" applyFill="1"/>
    <xf numFmtId="0" fontId="2" fillId="3" borderId="0" xfId="0" applyFont="1" applyFill="1"/>
    <xf numFmtId="14" fontId="2" fillId="3" borderId="0" xfId="0" applyNumberFormat="1" applyFont="1" applyFill="1"/>
    <xf numFmtId="14" fontId="2" fillId="0" borderId="0" xfId="0" applyNumberFormat="1" applyFont="1"/>
    <xf numFmtId="0" fontId="2" fillId="0" borderId="0" xfId="2" applyAlignment="1">
      <alignment horizontal="center"/>
    </xf>
    <xf numFmtId="0" fontId="14" fillId="0" borderId="0" xfId="3" applyFill="1" applyAlignment="1">
      <alignment vertical="center"/>
    </xf>
    <xf numFmtId="166" fontId="18" fillId="0" borderId="0" xfId="2" applyNumberFormat="1" applyFont="1" applyAlignment="1">
      <alignment wrapText="1"/>
    </xf>
    <xf numFmtId="166" fontId="18" fillId="0" borderId="0" xfId="2" applyNumberFormat="1" applyFont="1" applyAlignment="1">
      <alignment horizontal="left" wrapText="1"/>
    </xf>
    <xf numFmtId="166" fontId="21" fillId="0" borderId="0" xfId="2" applyNumberFormat="1" applyFont="1" applyAlignment="1">
      <alignment horizontal="left" wrapText="1"/>
    </xf>
    <xf numFmtId="10" fontId="21" fillId="0" borderId="0" xfId="2" applyNumberFormat="1" applyFont="1" applyAlignment="1">
      <alignment horizontal="left" wrapText="1"/>
    </xf>
    <xf numFmtId="10" fontId="21" fillId="0" borderId="0" xfId="2" applyNumberFormat="1" applyFont="1" applyAlignment="1">
      <alignment horizontal="left"/>
    </xf>
    <xf numFmtId="10" fontId="22" fillId="0" borderId="0" xfId="2" applyNumberFormat="1" applyFont="1" applyAlignment="1">
      <alignment horizontal="left" wrapText="1"/>
    </xf>
    <xf numFmtId="10" fontId="18" fillId="0" borderId="0" xfId="2" applyNumberFormat="1" applyFont="1" applyAlignment="1">
      <alignment horizontal="left" wrapText="1"/>
    </xf>
    <xf numFmtId="9" fontId="21" fillId="0" borderId="0" xfId="2" applyNumberFormat="1" applyFont="1" applyAlignment="1">
      <alignment horizontal="left" wrapText="1"/>
    </xf>
    <xf numFmtId="9" fontId="22" fillId="0" borderId="0" xfId="2" applyNumberFormat="1" applyFont="1" applyAlignment="1">
      <alignment horizontal="left" wrapText="1"/>
    </xf>
    <xf numFmtId="166" fontId="22" fillId="0" borderId="0" xfId="2" applyNumberFormat="1" applyFont="1" applyAlignment="1">
      <alignment horizontal="left" wrapText="1"/>
    </xf>
    <xf numFmtId="166" fontId="22" fillId="8" borderId="0" xfId="2" applyNumberFormat="1" applyFont="1" applyFill="1" applyAlignment="1">
      <alignment horizontal="left" wrapText="1"/>
    </xf>
    <xf numFmtId="0" fontId="23" fillId="0" borderId="0" xfId="2" applyFont="1" applyAlignment="1">
      <alignment horizontal="left"/>
    </xf>
    <xf numFmtId="0" fontId="10" fillId="0" borderId="0" xfId="2" applyFont="1" applyAlignment="1">
      <alignment horizontal="left"/>
    </xf>
    <xf numFmtId="0" fontId="2" fillId="9" borderId="0" xfId="0" applyFont="1" applyFill="1" applyAlignment="1">
      <alignment vertical="center"/>
    </xf>
    <xf numFmtId="0" fontId="24" fillId="0" borderId="0" xfId="0" applyFont="1"/>
    <xf numFmtId="0" fontId="25" fillId="0" borderId="0" xfId="0" applyFont="1"/>
    <xf numFmtId="0" fontId="24" fillId="0" borderId="0" xfId="0" applyFont="1" applyAlignment="1">
      <alignment wrapText="1"/>
    </xf>
    <xf numFmtId="14" fontId="24" fillId="0" borderId="0" xfId="0" applyNumberFormat="1" applyFont="1"/>
    <xf numFmtId="1" fontId="21" fillId="0" borderId="0" xfId="2" applyNumberFormat="1" applyFont="1" applyAlignment="1">
      <alignment horizontal="left" wrapText="1"/>
    </xf>
    <xf numFmtId="0" fontId="12" fillId="0" borderId="0" xfId="2" applyFont="1" applyAlignment="1">
      <alignment horizontal="left" vertical="top" wrapText="1"/>
    </xf>
    <xf numFmtId="1" fontId="13" fillId="0" borderId="0" xfId="2" applyNumberFormat="1" applyFont="1" applyAlignment="1">
      <alignment horizontal="center" vertical="top" wrapText="1"/>
    </xf>
    <xf numFmtId="0" fontId="4" fillId="0" borderId="0" xfId="0" applyFont="1" applyAlignment="1">
      <alignment horizontal="center"/>
    </xf>
    <xf numFmtId="0" fontId="2" fillId="0" borderId="0" xfId="0" applyFont="1" applyAlignment="1">
      <alignment wrapText="1"/>
    </xf>
    <xf numFmtId="0" fontId="12" fillId="0" borderId="0" xfId="2" applyFont="1" applyAlignment="1">
      <alignment horizontal="right" wrapText="1"/>
    </xf>
    <xf numFmtId="0" fontId="13" fillId="0" borderId="0" xfId="2" applyFont="1" applyAlignment="1">
      <alignment wrapText="1"/>
    </xf>
    <xf numFmtId="0" fontId="12" fillId="0" borderId="0" xfId="2" applyFont="1" applyAlignment="1">
      <alignment wrapText="1"/>
    </xf>
    <xf numFmtId="14" fontId="12" fillId="0" borderId="0" xfId="2" applyNumberFormat="1" applyFont="1" applyAlignment="1">
      <alignment wrapText="1"/>
    </xf>
    <xf numFmtId="14" fontId="12" fillId="0" borderId="0" xfId="0" applyNumberFormat="1" applyFont="1" applyAlignment="1">
      <alignment wrapText="1"/>
    </xf>
    <xf numFmtId="1" fontId="12" fillId="0" borderId="0" xfId="2" applyNumberFormat="1" applyFont="1" applyAlignment="1">
      <alignment vertical="top" wrapText="1"/>
    </xf>
    <xf numFmtId="0" fontId="4" fillId="0" borderId="0" xfId="0" applyFont="1" applyAlignment="1">
      <alignment wrapText="1"/>
    </xf>
    <xf numFmtId="0" fontId="13" fillId="0" borderId="0" xfId="0" applyFont="1" applyAlignment="1">
      <alignment horizontal="left"/>
    </xf>
    <xf numFmtId="0" fontId="12" fillId="0" borderId="0" xfId="0" applyFont="1" applyAlignment="1">
      <alignment horizontal="left"/>
    </xf>
    <xf numFmtId="0" fontId="12" fillId="0" borderId="0" xfId="2" applyFont="1" applyAlignment="1">
      <alignment horizontal="left"/>
    </xf>
    <xf numFmtId="14" fontId="12" fillId="0" borderId="0" xfId="0" applyNumberFormat="1" applyFont="1" applyAlignment="1">
      <alignment horizontal="left"/>
    </xf>
    <xf numFmtId="0" fontId="12" fillId="0" borderId="0" xfId="2" applyFont="1" applyAlignment="1">
      <alignment horizontal="left" wrapText="1"/>
    </xf>
    <xf numFmtId="14" fontId="12" fillId="0" borderId="0" xfId="2" applyNumberFormat="1" applyFont="1" applyAlignment="1">
      <alignment horizontal="left"/>
    </xf>
    <xf numFmtId="0" fontId="14" fillId="0" borderId="0" xfId="3"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wrapText="1"/>
    </xf>
    <xf numFmtId="167" fontId="12" fillId="0" borderId="0" xfId="0" applyNumberFormat="1" applyFont="1" applyAlignment="1">
      <alignment horizontal="left" vertical="center" wrapText="1"/>
    </xf>
    <xf numFmtId="0" fontId="19" fillId="0" borderId="8" xfId="0" applyFont="1" applyBorder="1" applyAlignment="1">
      <alignment wrapText="1"/>
    </xf>
    <xf numFmtId="0" fontId="20" fillId="0" borderId="9" xfId="0" applyFont="1" applyBorder="1" applyAlignment="1">
      <alignment wrapText="1"/>
    </xf>
    <xf numFmtId="0" fontId="20" fillId="0" borderId="10" xfId="0" applyFont="1" applyBorder="1" applyAlignment="1">
      <alignment wrapText="1"/>
    </xf>
    <xf numFmtId="0" fontId="8"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16"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cellXfs>
  <cellStyles count="7">
    <cellStyle name="Hyperlink" xfId="3" builtinId="8"/>
    <cellStyle name="Normal" xfId="0" builtinId="0"/>
    <cellStyle name="Normal 2" xfId="1" xr:uid="{00000000-0005-0000-0000-000001000000}"/>
    <cellStyle name="Normal 2 2" xfId="2" xr:uid="{00000000-0005-0000-0000-000002000000}"/>
    <cellStyle name="Percent 2" xfId="4" xr:uid="{F9EC46E5-B06B-4E9C-BDAA-A632E93CE818}"/>
    <cellStyle name="Percent 3" xfId="6" xr:uid="{F91DF783-B084-4184-917F-206FE91196C7}"/>
    <cellStyle name="Percent 4" xfId="5" xr:uid="{EA7EE898-DEB4-4CE2-A15B-3CD4F54673AB}"/>
  </cellStyles>
  <dxfs count="851">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00FFFF"/>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customXml" Target="../customXml/item4.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externalLink" Target="externalLinks/externalLink6.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4.xml"/><Relationship Id="rId104"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theme" Target="theme/theme1.xml"/><Relationship Id="rId105"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externalLink" Target="externalLinks/externalLink5.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d-ast\ast\Factors\2017\2012\Tranche%201\TPS\TPS%20EW\SCAPE%202.4%25\CETV%20bespoke%20outputs%20TPS%20EW%20-%20A%20+%20B%20-%20C%20v0.11_SCAPE%202.4%25.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entral/Factors%20&amp;%20Guidance/2024%20Guidance%20Review/1.%20Project%20management/2.%20Planning/5.%20Assumption%20considerations/TPS%20EW%20Consolidated%20Factors%202023-04%20-%20%20Assumption%20Template.xlsm" TargetMode="External"/><Relationship Id="rId2" Type="http://schemas.microsoft.com/office/2019/04/relationships/externalLinkLongPath" Target="/sites/gad_wrkgrp_actuarial/pspsactuarialwork/Central/Factors%20&amp;%20Guidance/2024%20Guidance%20Review/1.%20Project%20management/2.%20Planning/5.%20Assumption%20considerations/TPS%20EW%20Consolidated%20Factors%202023-04%20-%20%20Assumption%20Template.xlsm?F576D6AF" TargetMode="External"/><Relationship Id="rId1" Type="http://schemas.openxmlformats.org/officeDocument/2006/relationships/externalLinkPath" Target="file:///\\F576D6AF\TPS%20EW%20Consolidated%20Factors%202023-04%20-%20%20Assumption%20Template.xlsm" TargetMode="External"/><Relationship Id="rId4" Type="http://schemas.openxmlformats.org/officeDocument/2006/relationships/externalLinkPath" Target="../../../../../../1.%20Project%20management/2.%20Planning/5.%20Assumption%20considerations/TPS%20EW%20Consolidated%20Factors%202023-04%20-%20%20Assumption%20Templat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ast\ast\Factors\2022\2022%20Factor%20Review\Fire%20S\Documentation%20Output\Batch%202\Factors%20Documentation%20Fire_S%20Batch%202%20-%20Step%204%20v0.0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ad-psps\psps\Fire_E\Factors\2018\Main%20Factor%20Review\Consolidation\Fire%20E%20Consolidated%20Factors%20-%20March%202019.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re_S/Factors/2018/Main%20Factor%20Review/ConsolidatedWorkbook/Fire%20S%20Added%20Pension%20&amp;%20CPD%20Factors%20-%20January%202019.xlsm" TargetMode="External"/><Relationship Id="rId1" Type="http://schemas.openxmlformats.org/officeDocument/2006/relationships/externalLinkPath" Target="/Fire_S/Factors/2018/Main%20Factor%20Review/ConsolidatedWorkbook/Fire%20S%20Added%20Pension%20&amp;%20CPD%20Factors%20-%20January%202019.xlsm"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lient%20Work/Fire%20NI/Factors%20&amp;%20Guidance/2024%20Guidance%20Review/3.%20Guidance%20updates/0.%20Consolidated%20factor%20workbook%20for%20website/Fire%20NI%20Consolidated%20Factors%202025-01.xlsm" TargetMode="External"/><Relationship Id="rId2" Type="http://schemas.microsoft.com/office/2019/04/relationships/externalLinkLongPath" Target="/sites/gad_wrkgrp_actuarial/pspsactuarialwork/Client%20Work/Fire%20NI/Factors%20&amp;%20Guidance/2024%20Guidance%20Review/3.%20Guidance%20updates/0.%20Consolidated%20factor%20workbook%20for%20website/Fire%20NI%20Consolidated%20Factors%202025-01.xlsm?E094562C" TargetMode="External"/><Relationship Id="rId1" Type="http://schemas.openxmlformats.org/officeDocument/2006/relationships/externalLinkPath" Target="file:///\\E094562C\Fire%20NI%20Consolidated%20Factors%202025-01.xlsm" TargetMode="External"/><Relationship Id="rId4" Type="http://schemas.openxmlformats.org/officeDocument/2006/relationships/externalLinkPath" Target="../../../../../../../../../Client%20Work/Fire%20NI/Factors%20&amp;%20Guidance/2024%20Guidance%20Review/3.%20Guidance%20updates/0.%20Consolidated%20factor%20workbook%20for%20website/Fire%20NI%20Consolidated%20Factors%202025-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Version control"/>
      <sheetName val="Assumptions"/>
      <sheetName val="Inputs"/>
      <sheetName val="Scaling Factors"/>
      <sheetName val="AnnGenHiddenLists"/>
      <sheetName val="Table 911"/>
      <sheetName val="A + B - C"/>
      <sheetName val="Table TA1a"/>
      <sheetName val="Individual Factor"/>
      <sheetName val="Replication report"/>
      <sheetName val="Updated Factors"/>
      <sheetName val="List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Cover"/>
      <sheetName val="Purpose of spreadsheet"/>
      <sheetName val="Version Control"/>
      <sheetName val="Summary - TPS_EW"/>
      <sheetName val="AnnGenHiddenLists"/>
      <sheetName val="Factor List"/>
      <sheetName val="x-Series Number"/>
      <sheetName val="Assumptions"/>
      <sheetName val="x-1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220"/>
      <sheetName val="x-221"/>
      <sheetName val="x-222"/>
      <sheetName val="x-224"/>
      <sheetName val="x-225"/>
      <sheetName val="x-226"/>
      <sheetName val="x-231"/>
      <sheetName val="x-232"/>
      <sheetName val="x-233"/>
      <sheetName val="x-234"/>
      <sheetName val="x-235"/>
      <sheetName val="x-236"/>
      <sheetName val="x-237"/>
      <sheetName val="x-238"/>
      <sheetName val="x-239"/>
      <sheetName val="x-240"/>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401"/>
      <sheetName val="x-402"/>
      <sheetName val="x-403"/>
      <sheetName val="x-404"/>
      <sheetName val="x-405"/>
      <sheetName val="x-406"/>
      <sheetName val="x-407"/>
      <sheetName val="x-408"/>
      <sheetName val="x-409"/>
      <sheetName val="x-410"/>
      <sheetName val="x-411"/>
      <sheetName val="x-412"/>
      <sheetName val="x-413"/>
      <sheetName val="x-414"/>
      <sheetName val="x-501"/>
      <sheetName val="x-502"/>
      <sheetName val="x-503"/>
      <sheetName val="x-504"/>
      <sheetName val="x-505"/>
      <sheetName val="x-601"/>
      <sheetName val="x-602"/>
      <sheetName val="x-603"/>
      <sheetName val="x-604"/>
      <sheetName val="x-605"/>
      <sheetName val="x-606"/>
      <sheetName val="x-607"/>
      <sheetName val="x-608"/>
      <sheetName val="x-609"/>
      <sheetName val="x-610"/>
      <sheetName val="x-61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2"/>
      <sheetName val="x-723"/>
      <sheetName val="x-724"/>
      <sheetName val="x-725"/>
      <sheetName val="x-726"/>
      <sheetName val="x-727"/>
      <sheetName val="x-728"/>
      <sheetName val="x-729"/>
      <sheetName val="x-801"/>
      <sheetName val="x-802"/>
      <sheetName val="x-803"/>
      <sheetName val="x-804"/>
      <sheetName val="x-805"/>
    </sheetNames>
    <sheetDataSet>
      <sheetData sheetId="0">
        <row r="2">
          <cell r="A2" t="str">
            <v>TPS (England &amp; Wales) - Consolidated Factor Spreadsheet</v>
          </cell>
        </row>
      </sheetData>
      <sheetData sheetId="1"/>
      <sheetData sheetId="2"/>
      <sheetData sheetId="3"/>
      <sheetData sheetId="4"/>
      <sheetData sheetId="5"/>
      <sheetData sheetId="6">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Fire_S"/>
      <sheetName val="AnnGenHiddenLists"/>
      <sheetName val="Factor List"/>
      <sheetName val="x-Series Number"/>
      <sheetName val="x-406 "/>
      <sheetName val="x-407"/>
      <sheetName val="x-220"/>
      <sheetName val="x-221"/>
      <sheetName val="x-401"/>
      <sheetName val="x-402"/>
      <sheetName val="x-403"/>
      <sheetName val="x-404"/>
      <sheetName val="x-405"/>
    </sheetNames>
    <sheetDataSet>
      <sheetData sheetId="0">
        <row r="2">
          <cell r="A2" t="str">
            <v>Fire_S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Fire_E"/>
      <sheetName val="Factor List"/>
      <sheetName val="x-Series Number"/>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20"/>
      <sheetName val="x-221"/>
      <sheetName val="x-222"/>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325"/>
      <sheetName val="x-326"/>
      <sheetName val="x-327"/>
      <sheetName val="x-328"/>
      <sheetName val="x-401"/>
      <sheetName val="x-402"/>
      <sheetName val="x-403"/>
      <sheetName val="x-404"/>
      <sheetName val="x-405"/>
      <sheetName val="x-406"/>
      <sheetName val="x-407"/>
      <sheetName val="x-501"/>
      <sheetName val="x-502"/>
      <sheetName val="x-503"/>
      <sheetName val="x-504"/>
      <sheetName val="x-505"/>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618"/>
      <sheetName val="x-619"/>
      <sheetName val="x-620"/>
      <sheetName val="x-621"/>
      <sheetName val="x-622"/>
      <sheetName val="x-623"/>
      <sheetName val="x-624"/>
      <sheetName val="x-625"/>
      <sheetName val="x-626"/>
      <sheetName val="x-627"/>
      <sheetName val="x-701"/>
      <sheetName val="x-702"/>
      <sheetName val="x-703"/>
      <sheetName val="x-704"/>
      <sheetName val="x-801"/>
      <sheetName val="AnnGenHiddenLists"/>
    </sheetNames>
    <sheetDataSet>
      <sheetData sheetId="0">
        <row r="2">
          <cell r="A2" t="str">
            <v>Fire England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Purpose of spreadsheet"/>
      <sheetName val="Version Control"/>
      <sheetName val="Summary - Fire_E"/>
      <sheetName val="AnnGenHiddenLists"/>
      <sheetName val="Factor List"/>
      <sheetName val="x-Series Number"/>
      <sheetName val="x-701"/>
      <sheetName val="x-702"/>
      <sheetName val="x-703"/>
      <sheetName val="x-704"/>
      <sheetName val="x-801"/>
    </sheetNames>
    <sheetDataSet>
      <sheetData sheetId="0">
        <row r="2">
          <cell r="A2" t="str">
            <v>Fire_S - Added Pension &amp; CPD Factors</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AnnGenHiddenLists"/>
      <sheetName val="Cover"/>
      <sheetName val="Purpose of spreadsheet"/>
      <sheetName val="Version Control"/>
      <sheetName val="Summary - Fire_E"/>
      <sheetName val="Factor List"/>
      <sheetName val="x-Series Number"/>
      <sheetName val="Assumptions"/>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20"/>
      <sheetName val="x-221"/>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325"/>
      <sheetName val="x-326"/>
      <sheetName val="x-327"/>
      <sheetName val="x-328"/>
      <sheetName val="x-401"/>
      <sheetName val="x-403"/>
      <sheetName val="x-404"/>
      <sheetName val="x-405"/>
      <sheetName val="x-406"/>
      <sheetName val="x-407"/>
      <sheetName val="x-501"/>
      <sheetName val="x-502"/>
      <sheetName val="x-503"/>
      <sheetName val="x-504"/>
      <sheetName val="x-505"/>
      <sheetName val="x-506"/>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618"/>
      <sheetName val="x-619"/>
      <sheetName val="x-620"/>
      <sheetName val="x-621"/>
      <sheetName val="x-622"/>
      <sheetName val="x-623"/>
      <sheetName val="x-624"/>
      <sheetName val="x-625"/>
      <sheetName val="x-626"/>
      <sheetName val="x-627"/>
      <sheetName val="x-701"/>
      <sheetName val="x-702"/>
      <sheetName val="x-802"/>
    </sheetNames>
    <sheetDataSet>
      <sheetData sheetId="0"/>
      <sheetData sheetId="1">
        <row r="2">
          <cell r="A2" t="str">
            <v>Fire Northern Ireland - Consolidated Factor Spreadsheet</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4AAA188-F312-4395-8CE1-ECB040F4431A}">
  <we:reference id="81ae7f57-2760-4043-a9cb-e0d36209e808" version="1.3.0.0" store="EXCatalog" storeType="EXCatalog"/>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5"/>
  <sheetViews>
    <sheetView showGridLines="0" workbookViewId="0">
      <selection activeCell="B6" sqref="B6:D21"/>
    </sheetView>
  </sheetViews>
  <sheetFormatPr defaultRowHeight="13.2" x14ac:dyDescent="0.25"/>
  <cols>
    <col min="1" max="1" width="21.88671875" customWidth="1"/>
    <col min="2" max="2" width="130.88671875" style="2" customWidth="1"/>
    <col min="4" max="4" width="10.109375" bestFit="1" customWidth="1"/>
    <col min="8" max="8" width="10.109375" customWidth="1"/>
    <col min="9" max="9" width="11.44140625" customWidth="1"/>
    <col min="12" max="12" width="15.44140625" bestFit="1" customWidth="1"/>
    <col min="13" max="13" width="21" bestFit="1" customWidth="1"/>
    <col min="14" max="14" width="9.109375" customWidth="1"/>
    <col min="15" max="15" width="9.5546875" customWidth="1"/>
    <col min="16" max="20" width="13.109375" customWidth="1"/>
    <col min="27" max="27" width="11.109375" customWidth="1"/>
    <col min="28" max="28" width="10.1093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4" t="s">
        <v>0</v>
      </c>
      <c r="B1" s="4"/>
    </row>
    <row r="2" spans="1:4" ht="15.6" x14ac:dyDescent="0.3">
      <c r="A2" s="5" t="s">
        <v>1</v>
      </c>
      <c r="B2" s="5"/>
    </row>
    <row r="3" spans="1:4" ht="15.6" x14ac:dyDescent="0.3">
      <c r="A3" s="6" t="s">
        <v>2</v>
      </c>
      <c r="B3" s="6"/>
    </row>
    <row r="4" spans="1:4" x14ac:dyDescent="0.25">
      <c r="A4" s="7" t="str">
        <f ca="1">CELL("filename",A1)</f>
        <v>https://tris42.sharepoint.com/sites/gad_wrkgrp_actuarial/pspsactuarialwork/Central/Factors &amp; Guidance/2024 Guidance Review/4. Online portal/3. Import data/3. Factor tables/0_client_friendly/Ready to be uploaded/2025-03/[Fire S Consolidated Factors 2025-02.xlsx]Cover</v>
      </c>
    </row>
    <row r="5" spans="1:4" x14ac:dyDescent="0.25">
      <c r="D5" s="8"/>
    </row>
    <row r="6" spans="1:4" x14ac:dyDescent="0.25">
      <c r="A6" s="1"/>
    </row>
    <row r="7" spans="1:4" ht="15.6" x14ac:dyDescent="0.25">
      <c r="A7" s="92" t="s">
        <v>3</v>
      </c>
      <c r="B7" s="99" t="s">
        <v>4</v>
      </c>
    </row>
    <row r="11" spans="1:4" ht="15.6" x14ac:dyDescent="0.25">
      <c r="A11" s="93" t="s">
        <v>5</v>
      </c>
      <c r="B11" s="93" t="s">
        <v>6</v>
      </c>
    </row>
    <row r="12" spans="1:4" x14ac:dyDescent="0.25">
      <c r="A12" s="94" t="s">
        <v>7</v>
      </c>
      <c r="B12" s="98" t="s">
        <v>8</v>
      </c>
    </row>
    <row r="13" spans="1:4" x14ac:dyDescent="0.25">
      <c r="A13" s="95" t="s">
        <v>9</v>
      </c>
      <c r="B13" s="98" t="s">
        <v>10</v>
      </c>
    </row>
    <row r="14" spans="1:4" x14ac:dyDescent="0.25">
      <c r="A14" s="96" t="s">
        <v>11</v>
      </c>
      <c r="B14" s="98" t="s">
        <v>12</v>
      </c>
    </row>
    <row r="15" spans="1:4" ht="19.5" customHeight="1" x14ac:dyDescent="0.25">
      <c r="A15" s="144" t="s">
        <v>13</v>
      </c>
      <c r="B15" s="98" t="s">
        <v>14</v>
      </c>
    </row>
    <row r="16" spans="1:4" ht="26.4" x14ac:dyDescent="0.25">
      <c r="A16" s="97" t="s">
        <v>15</v>
      </c>
      <c r="B16" s="97" t="s">
        <v>16</v>
      </c>
    </row>
    <row r="17" spans="1:2" ht="26.4" x14ac:dyDescent="0.25">
      <c r="A17" s="98" t="s">
        <v>17</v>
      </c>
      <c r="B17" s="98" t="s">
        <v>18</v>
      </c>
    </row>
    <row r="18" spans="1:2" ht="26.4" x14ac:dyDescent="0.25">
      <c r="A18" s="98" t="s">
        <v>19</v>
      </c>
      <c r="B18" s="98" t="s">
        <v>20</v>
      </c>
    </row>
    <row r="19" spans="1:2" ht="26.4" x14ac:dyDescent="0.25">
      <c r="A19" s="97" t="s">
        <v>21</v>
      </c>
      <c r="B19" s="97" t="s">
        <v>22</v>
      </c>
    </row>
    <row r="20" spans="1:2" ht="26.4" x14ac:dyDescent="0.25">
      <c r="A20" s="97" t="s">
        <v>23</v>
      </c>
      <c r="B20" s="97" t="s">
        <v>24</v>
      </c>
    </row>
    <row r="21" spans="1:2" ht="26.4" x14ac:dyDescent="0.25">
      <c r="A21" s="97" t="s">
        <v>25</v>
      </c>
      <c r="B21" s="97" t="s">
        <v>26</v>
      </c>
    </row>
    <row r="22" spans="1:2" ht="26.4" x14ac:dyDescent="0.25">
      <c r="A22" s="97" t="s">
        <v>27</v>
      </c>
      <c r="B22" s="97" t="s">
        <v>28</v>
      </c>
    </row>
    <row r="23" spans="1:2" ht="26.4" x14ac:dyDescent="0.25">
      <c r="A23" s="97" t="s">
        <v>29</v>
      </c>
      <c r="B23" s="97" t="s">
        <v>30</v>
      </c>
    </row>
    <row r="24" spans="1:2" x14ac:dyDescent="0.25">
      <c r="A24" s="3"/>
    </row>
    <row r="25" spans="1:2" x14ac:dyDescent="0.25">
      <c r="A25" s="3"/>
    </row>
  </sheetData>
  <sheetProtection algorithmName="SHA-512" hashValue="c67u7LGvYsO7nYhSdvI0Lrm6Li1bF6vihDv2F8hUEn9bIS2L57IBluE99V0j9pi9dxtzw24QMZkWgbHWlNqybQ==" saltValue="MQQk2xohSFQad7o8fTPMPg==" spinCount="100000" sheet="1" objects="1" scenarios="1"/>
  <phoneticPr fontId="3" type="noConversion"/>
  <conditionalFormatting sqref="A7">
    <cfRule type="expression" dxfId="850" priority="5" stopIfTrue="1">
      <formula>MOD(ROW(),2)=0</formula>
    </cfRule>
    <cfRule type="expression" dxfId="849" priority="6" stopIfTrue="1">
      <formula>MOD(ROW(),2)&lt;&gt;0</formula>
    </cfRule>
  </conditionalFormatting>
  <conditionalFormatting sqref="A11">
    <cfRule type="expression" dxfId="848" priority="7" stopIfTrue="1">
      <formula>MOD(ROW(),2)=0</formula>
    </cfRule>
    <cfRule type="expression" dxfId="847" priority="8" stopIfTrue="1">
      <formula>MOD(ROW(),2)&lt;&gt;0</formula>
    </cfRule>
  </conditionalFormatting>
  <conditionalFormatting sqref="A16:A23">
    <cfRule type="expression" dxfId="846" priority="11" stopIfTrue="1">
      <formula>MOD(ROW(),2)=0</formula>
    </cfRule>
    <cfRule type="expression" dxfId="845" priority="12" stopIfTrue="1">
      <formula>MOD(ROW(),2)&lt;&gt;0</formula>
    </cfRule>
  </conditionalFormatting>
  <conditionalFormatting sqref="B7">
    <cfRule type="expression" dxfId="844" priority="3" stopIfTrue="1">
      <formula>MOD(ROW(),2)=0</formula>
    </cfRule>
    <cfRule type="expression" dxfId="843" priority="4" stopIfTrue="1">
      <formula>MOD(ROW(),2)&lt;&gt;0</formula>
    </cfRule>
  </conditionalFormatting>
  <conditionalFormatting sqref="B11:B23">
    <cfRule type="expression" dxfId="842" priority="1" stopIfTrue="1">
      <formula>MOD(ROW(),2)=0</formula>
    </cfRule>
    <cfRule type="expression" dxfId="841" priority="2" stopIfTrue="1">
      <formula>MOD(ROW(),2)&lt;&gt;0</formula>
    </cfRule>
  </conditionalFormatting>
  <pageMargins left="0.75" right="0.75" top="1" bottom="1" header="0.5" footer="0.5"/>
  <pageSetup paperSize="9" scale="88"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dimension ref="A1:G68"/>
  <sheetViews>
    <sheetView showGridLines="0" zoomScale="85" zoomScaleNormal="85" workbookViewId="0">
      <selection activeCell="A4" sqref="A4"/>
    </sheetView>
  </sheetViews>
  <sheetFormatPr defaultColWidth="10" defaultRowHeight="13.2" x14ac:dyDescent="0.25"/>
  <cols>
    <col min="1" max="1" width="31.88671875" style="27" customWidth="1"/>
    <col min="2" max="4" width="22.88671875" style="27" customWidth="1"/>
    <col min="5"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Fire_S - Consolidated Factor Spreadsheet</v>
      </c>
      <c r="B2" s="42"/>
      <c r="C2" s="42"/>
      <c r="D2" s="42"/>
      <c r="E2" s="42"/>
      <c r="F2" s="42"/>
      <c r="G2" s="42"/>
    </row>
    <row r="3" spans="1:7" ht="15.6" x14ac:dyDescent="0.3">
      <c r="A3" s="43" t="str">
        <f>TABLE_FACTOR_TYPE_1&amp;" - x-"&amp;TABLE_SERIES_NUMBER_1</f>
        <v>CETV - x-202</v>
      </c>
      <c r="B3" s="42"/>
      <c r="C3" s="42"/>
      <c r="D3" s="42"/>
      <c r="E3" s="42"/>
      <c r="F3" s="42"/>
      <c r="G3" s="42"/>
    </row>
    <row r="4" spans="1:7" x14ac:dyDescent="0.25">
      <c r="A4" s="44"/>
    </row>
    <row r="6" spans="1:7" x14ac:dyDescent="0.25">
      <c r="A6" s="75" t="s">
        <v>484</v>
      </c>
      <c r="B6" s="162" t="s">
        <v>485</v>
      </c>
      <c r="C6" s="162"/>
      <c r="D6" s="162"/>
    </row>
    <row r="7" spans="1:7" x14ac:dyDescent="0.25">
      <c r="A7" s="76" t="s">
        <v>486</v>
      </c>
      <c r="B7" s="162" t="s">
        <v>81</v>
      </c>
      <c r="C7" s="162"/>
      <c r="D7" s="162"/>
    </row>
    <row r="8" spans="1:7" x14ac:dyDescent="0.25">
      <c r="A8" s="76" t="s">
        <v>282</v>
      </c>
      <c r="B8" s="162">
        <v>1992</v>
      </c>
      <c r="C8" s="162"/>
      <c r="D8" s="162"/>
    </row>
    <row r="9" spans="1:7" x14ac:dyDescent="0.25">
      <c r="A9" s="76" t="s">
        <v>283</v>
      </c>
      <c r="B9" s="162" t="s">
        <v>292</v>
      </c>
      <c r="C9" s="162"/>
      <c r="D9" s="162"/>
    </row>
    <row r="10" spans="1:7" x14ac:dyDescent="0.25">
      <c r="A10" s="76" t="s">
        <v>6</v>
      </c>
      <c r="B10" s="162" t="s">
        <v>293</v>
      </c>
      <c r="C10" s="162"/>
      <c r="D10" s="162"/>
    </row>
    <row r="11" spans="1:7" x14ac:dyDescent="0.25">
      <c r="A11" s="76" t="s">
        <v>284</v>
      </c>
      <c r="B11" s="162" t="s">
        <v>299</v>
      </c>
      <c r="C11" s="162"/>
      <c r="D11" s="162"/>
    </row>
    <row r="12" spans="1:7" x14ac:dyDescent="0.25">
      <c r="A12" s="76" t="s">
        <v>285</v>
      </c>
      <c r="B12" s="162" t="s">
        <v>295</v>
      </c>
      <c r="C12" s="162"/>
      <c r="D12" s="162"/>
    </row>
    <row r="13" spans="1:7" x14ac:dyDescent="0.25">
      <c r="A13" s="76" t="s">
        <v>493</v>
      </c>
      <c r="B13" s="162">
        <v>2</v>
      </c>
      <c r="C13" s="162"/>
      <c r="D13" s="162"/>
    </row>
    <row r="14" spans="1:7" x14ac:dyDescent="0.25">
      <c r="A14" s="76" t="s">
        <v>287</v>
      </c>
      <c r="B14" s="162">
        <v>202</v>
      </c>
      <c r="C14" s="162"/>
      <c r="D14" s="162"/>
    </row>
    <row r="15" spans="1:7" x14ac:dyDescent="0.25">
      <c r="A15" s="76" t="s">
        <v>496</v>
      </c>
      <c r="B15" s="162" t="s">
        <v>574</v>
      </c>
      <c r="C15" s="162"/>
      <c r="D15" s="162"/>
    </row>
    <row r="16" spans="1:7" x14ac:dyDescent="0.25">
      <c r="A16" s="76" t="s">
        <v>288</v>
      </c>
      <c r="B16" s="162" t="s">
        <v>300</v>
      </c>
      <c r="C16" s="162"/>
      <c r="D16" s="162"/>
    </row>
    <row r="17" spans="1:4" ht="39.6" customHeight="1" x14ac:dyDescent="0.25">
      <c r="A17" s="76" t="s">
        <v>568</v>
      </c>
      <c r="B17" s="162"/>
      <c r="C17" s="162"/>
      <c r="D17" s="162"/>
    </row>
    <row r="18" spans="1:4" x14ac:dyDescent="0.25">
      <c r="A18" s="76" t="s">
        <v>500</v>
      </c>
      <c r="B18" s="164">
        <v>45070</v>
      </c>
      <c r="C18" s="162"/>
      <c r="D18" s="162"/>
    </row>
    <row r="19" spans="1:4" x14ac:dyDescent="0.25">
      <c r="A19" s="76" t="s">
        <v>290</v>
      </c>
      <c r="B19" s="164">
        <v>45014</v>
      </c>
      <c r="C19" s="162"/>
      <c r="D19" s="162"/>
    </row>
    <row r="20" spans="1:4" x14ac:dyDescent="0.25">
      <c r="A20" s="76" t="s">
        <v>291</v>
      </c>
      <c r="B20" s="162" t="s">
        <v>298</v>
      </c>
      <c r="C20" s="162"/>
      <c r="D20" s="162"/>
    </row>
    <row r="21" spans="1:4" x14ac:dyDescent="0.25">
      <c r="A21" s="150" t="s">
        <v>569</v>
      </c>
      <c r="B21" s="162" t="s">
        <v>297</v>
      </c>
      <c r="C21" s="162"/>
      <c r="D21" s="162"/>
    </row>
    <row r="23" spans="1:4" x14ac:dyDescent="0.25">
      <c r="B23" s="91" t="str">
        <f>HYPERLINK("#'Factor List'!A1","Back to Factor List")</f>
        <v>Back to Factor List</v>
      </c>
    </row>
    <row r="24" spans="1:4" x14ac:dyDescent="0.25">
      <c r="B24" s="91" t="str">
        <f>HYPERLINK("#'Assumptions'!A1","Assumptions")</f>
        <v>Assumptions</v>
      </c>
    </row>
    <row r="26" spans="1:4" ht="39.6" x14ac:dyDescent="0.25">
      <c r="A26" s="87" t="s">
        <v>570</v>
      </c>
      <c r="B26" s="87" t="s">
        <v>571</v>
      </c>
      <c r="C26" s="87" t="s">
        <v>572</v>
      </c>
      <c r="D26" s="87" t="s">
        <v>573</v>
      </c>
    </row>
    <row r="27" spans="1:4" x14ac:dyDescent="0.25">
      <c r="A27" s="88">
        <v>18</v>
      </c>
      <c r="B27" s="89">
        <v>10.46</v>
      </c>
      <c r="C27" s="89">
        <v>2.48</v>
      </c>
      <c r="D27" s="89">
        <v>0</v>
      </c>
    </row>
    <row r="28" spans="1:4" x14ac:dyDescent="0.25">
      <c r="A28" s="88">
        <v>19</v>
      </c>
      <c r="B28" s="89">
        <v>10.61</v>
      </c>
      <c r="C28" s="89">
        <v>2.59</v>
      </c>
      <c r="D28" s="89">
        <v>0</v>
      </c>
    </row>
    <row r="29" spans="1:4" x14ac:dyDescent="0.25">
      <c r="A29" s="88">
        <v>20</v>
      </c>
      <c r="B29" s="89">
        <v>10.76</v>
      </c>
      <c r="C29" s="89">
        <v>2.63</v>
      </c>
      <c r="D29" s="89">
        <v>0</v>
      </c>
    </row>
    <row r="30" spans="1:4" x14ac:dyDescent="0.25">
      <c r="A30" s="88">
        <v>21</v>
      </c>
      <c r="B30" s="89">
        <v>10.91</v>
      </c>
      <c r="C30" s="89">
        <v>2.68</v>
      </c>
      <c r="D30" s="89">
        <v>0</v>
      </c>
    </row>
    <row r="31" spans="1:4" x14ac:dyDescent="0.25">
      <c r="A31" s="88">
        <v>22</v>
      </c>
      <c r="B31" s="89">
        <v>11.07</v>
      </c>
      <c r="C31" s="89">
        <v>2.72</v>
      </c>
      <c r="D31" s="89">
        <v>0</v>
      </c>
    </row>
    <row r="32" spans="1:4" x14ac:dyDescent="0.25">
      <c r="A32" s="88">
        <v>23</v>
      </c>
      <c r="B32" s="89">
        <v>11.23</v>
      </c>
      <c r="C32" s="89">
        <v>2.76</v>
      </c>
      <c r="D32" s="89">
        <v>0</v>
      </c>
    </row>
    <row r="33" spans="1:4" x14ac:dyDescent="0.25">
      <c r="A33" s="88">
        <v>24</v>
      </c>
      <c r="B33" s="89">
        <v>11.39</v>
      </c>
      <c r="C33" s="89">
        <v>2.81</v>
      </c>
      <c r="D33" s="89">
        <v>0</v>
      </c>
    </row>
    <row r="34" spans="1:4" x14ac:dyDescent="0.25">
      <c r="A34" s="88">
        <v>25</v>
      </c>
      <c r="B34" s="89">
        <v>11.55</v>
      </c>
      <c r="C34" s="89">
        <v>2.85</v>
      </c>
      <c r="D34" s="89">
        <v>0</v>
      </c>
    </row>
    <row r="35" spans="1:4" x14ac:dyDescent="0.25">
      <c r="A35" s="88">
        <v>26</v>
      </c>
      <c r="B35" s="89">
        <v>11.72</v>
      </c>
      <c r="C35" s="89">
        <v>2.89</v>
      </c>
      <c r="D35" s="89">
        <v>0</v>
      </c>
    </row>
    <row r="36" spans="1:4" x14ac:dyDescent="0.25">
      <c r="A36" s="88">
        <v>27</v>
      </c>
      <c r="B36" s="89">
        <v>11.89</v>
      </c>
      <c r="C36" s="89">
        <v>2.94</v>
      </c>
      <c r="D36" s="89">
        <v>0</v>
      </c>
    </row>
    <row r="37" spans="1:4" x14ac:dyDescent="0.25">
      <c r="A37" s="88">
        <v>28</v>
      </c>
      <c r="B37" s="89">
        <v>12.06</v>
      </c>
      <c r="C37" s="89">
        <v>2.98</v>
      </c>
      <c r="D37" s="89">
        <v>0</v>
      </c>
    </row>
    <row r="38" spans="1:4" x14ac:dyDescent="0.25">
      <c r="A38" s="88">
        <v>29</v>
      </c>
      <c r="B38" s="89">
        <v>12.23</v>
      </c>
      <c r="C38" s="89">
        <v>3.03</v>
      </c>
      <c r="D38" s="89">
        <v>0</v>
      </c>
    </row>
    <row r="39" spans="1:4" x14ac:dyDescent="0.25">
      <c r="A39" s="88">
        <v>30</v>
      </c>
      <c r="B39" s="89">
        <v>12.41</v>
      </c>
      <c r="C39" s="89">
        <v>3.07</v>
      </c>
      <c r="D39" s="89">
        <v>0</v>
      </c>
    </row>
    <row r="40" spans="1:4" x14ac:dyDescent="0.25">
      <c r="A40" s="88">
        <v>31</v>
      </c>
      <c r="B40" s="89">
        <v>12.59</v>
      </c>
      <c r="C40" s="89">
        <v>3.11</v>
      </c>
      <c r="D40" s="89">
        <v>0</v>
      </c>
    </row>
    <row r="41" spans="1:4" x14ac:dyDescent="0.25">
      <c r="A41" s="88">
        <v>32</v>
      </c>
      <c r="B41" s="89">
        <v>12.77</v>
      </c>
      <c r="C41" s="89">
        <v>3.15</v>
      </c>
      <c r="D41" s="89">
        <v>0</v>
      </c>
    </row>
    <row r="42" spans="1:4" x14ac:dyDescent="0.25">
      <c r="A42" s="88">
        <v>33</v>
      </c>
      <c r="B42" s="89">
        <v>12.96</v>
      </c>
      <c r="C42" s="89">
        <v>3.19</v>
      </c>
      <c r="D42" s="89">
        <v>0</v>
      </c>
    </row>
    <row r="43" spans="1:4" x14ac:dyDescent="0.25">
      <c r="A43" s="88">
        <v>34</v>
      </c>
      <c r="B43" s="89">
        <v>13.15</v>
      </c>
      <c r="C43" s="89">
        <v>3.23</v>
      </c>
      <c r="D43" s="89">
        <v>0</v>
      </c>
    </row>
    <row r="44" spans="1:4" x14ac:dyDescent="0.25">
      <c r="A44" s="88">
        <v>35</v>
      </c>
      <c r="B44" s="89">
        <v>13.34</v>
      </c>
      <c r="C44" s="89">
        <v>3.27</v>
      </c>
      <c r="D44" s="89">
        <v>0</v>
      </c>
    </row>
    <row r="45" spans="1:4" x14ac:dyDescent="0.25">
      <c r="A45" s="88">
        <v>36</v>
      </c>
      <c r="B45" s="89">
        <v>13.54</v>
      </c>
      <c r="C45" s="89">
        <v>3.31</v>
      </c>
      <c r="D45" s="89">
        <v>0</v>
      </c>
    </row>
    <row r="46" spans="1:4" x14ac:dyDescent="0.25">
      <c r="A46" s="88">
        <v>37</v>
      </c>
      <c r="B46" s="89">
        <v>13.74</v>
      </c>
      <c r="C46" s="89">
        <v>3.35</v>
      </c>
      <c r="D46" s="89">
        <v>0</v>
      </c>
    </row>
    <row r="47" spans="1:4" x14ac:dyDescent="0.25">
      <c r="A47" s="88">
        <v>38</v>
      </c>
      <c r="B47" s="89">
        <v>13.95</v>
      </c>
      <c r="C47" s="89">
        <v>3.39</v>
      </c>
      <c r="D47" s="89">
        <v>0</v>
      </c>
    </row>
    <row r="48" spans="1:4" x14ac:dyDescent="0.25">
      <c r="A48" s="88">
        <v>39</v>
      </c>
      <c r="B48" s="89">
        <v>14.16</v>
      </c>
      <c r="C48" s="89">
        <v>3.43</v>
      </c>
      <c r="D48" s="89">
        <v>0</v>
      </c>
    </row>
    <row r="49" spans="1:4" x14ac:dyDescent="0.25">
      <c r="A49" s="88">
        <v>40</v>
      </c>
      <c r="B49" s="89">
        <v>14.37</v>
      </c>
      <c r="C49" s="89">
        <v>3.47</v>
      </c>
      <c r="D49" s="89">
        <v>0</v>
      </c>
    </row>
    <row r="50" spans="1:4" x14ac:dyDescent="0.25">
      <c r="A50" s="88">
        <v>41</v>
      </c>
      <c r="B50" s="89">
        <v>14.59</v>
      </c>
      <c r="C50" s="89">
        <v>3.5</v>
      </c>
      <c r="D50" s="89">
        <v>0</v>
      </c>
    </row>
    <row r="51" spans="1:4" x14ac:dyDescent="0.25">
      <c r="A51" s="88">
        <v>42</v>
      </c>
      <c r="B51" s="89">
        <v>14.81</v>
      </c>
      <c r="C51" s="89">
        <v>3.54</v>
      </c>
      <c r="D51" s="89">
        <v>0</v>
      </c>
    </row>
    <row r="52" spans="1:4" x14ac:dyDescent="0.25">
      <c r="A52" s="88">
        <v>43</v>
      </c>
      <c r="B52" s="89">
        <v>15.04</v>
      </c>
      <c r="C52" s="89">
        <v>3.57</v>
      </c>
      <c r="D52" s="89">
        <v>0</v>
      </c>
    </row>
    <row r="53" spans="1:4" x14ac:dyDescent="0.25">
      <c r="A53" s="88">
        <v>44</v>
      </c>
      <c r="B53" s="89">
        <v>15.28</v>
      </c>
      <c r="C53" s="89">
        <v>3.6</v>
      </c>
      <c r="D53" s="89">
        <v>0</v>
      </c>
    </row>
    <row r="54" spans="1:4" x14ac:dyDescent="0.25">
      <c r="A54" s="88">
        <v>45</v>
      </c>
      <c r="B54" s="89">
        <v>15.52</v>
      </c>
      <c r="C54" s="89">
        <v>3.63</v>
      </c>
      <c r="D54" s="89">
        <v>0</v>
      </c>
    </row>
    <row r="55" spans="1:4" x14ac:dyDescent="0.25">
      <c r="A55" s="88">
        <v>46</v>
      </c>
      <c r="B55" s="89">
        <v>15.76</v>
      </c>
      <c r="C55" s="89">
        <v>3.66</v>
      </c>
      <c r="D55" s="89">
        <v>0</v>
      </c>
    </row>
    <row r="56" spans="1:4" x14ac:dyDescent="0.25">
      <c r="A56" s="88">
        <v>47</v>
      </c>
      <c r="B56" s="89">
        <v>16.02</v>
      </c>
      <c r="C56" s="89">
        <v>3.69</v>
      </c>
      <c r="D56" s="89">
        <v>0</v>
      </c>
    </row>
    <row r="57" spans="1:4" x14ac:dyDescent="0.25">
      <c r="A57" s="88">
        <v>48</v>
      </c>
      <c r="B57" s="89">
        <v>16.27</v>
      </c>
      <c r="C57" s="89">
        <v>3.71</v>
      </c>
      <c r="D57" s="89">
        <v>0</v>
      </c>
    </row>
    <row r="58" spans="1:4" x14ac:dyDescent="0.25">
      <c r="A58" s="88">
        <v>49</v>
      </c>
      <c r="B58" s="89">
        <v>16.54</v>
      </c>
      <c r="C58" s="89">
        <v>3.74</v>
      </c>
      <c r="D58" s="89">
        <v>0</v>
      </c>
    </row>
    <row r="59" spans="1:4" x14ac:dyDescent="0.25">
      <c r="A59" s="88">
        <v>50</v>
      </c>
      <c r="B59" s="89">
        <v>16.809999999999999</v>
      </c>
      <c r="C59" s="89">
        <v>3.76</v>
      </c>
      <c r="D59" s="89">
        <v>0</v>
      </c>
    </row>
    <row r="60" spans="1:4" x14ac:dyDescent="0.25">
      <c r="A60" s="88">
        <v>51</v>
      </c>
      <c r="B60" s="89">
        <v>17.100000000000001</v>
      </c>
      <c r="C60" s="89">
        <v>3.78</v>
      </c>
      <c r="D60" s="89">
        <v>0</v>
      </c>
    </row>
    <row r="61" spans="1:4" x14ac:dyDescent="0.25">
      <c r="A61" s="88">
        <v>52</v>
      </c>
      <c r="B61" s="89">
        <v>17.38</v>
      </c>
      <c r="C61" s="89">
        <v>3.8</v>
      </c>
      <c r="D61" s="89">
        <v>0</v>
      </c>
    </row>
    <row r="62" spans="1:4" x14ac:dyDescent="0.25">
      <c r="A62" s="88">
        <v>53</v>
      </c>
      <c r="B62" s="89">
        <v>17.68</v>
      </c>
      <c r="C62" s="89">
        <v>3.81</v>
      </c>
      <c r="D62" s="89">
        <v>0</v>
      </c>
    </row>
    <row r="63" spans="1:4" x14ac:dyDescent="0.25">
      <c r="A63" s="88">
        <v>54</v>
      </c>
      <c r="B63" s="89">
        <v>17.989999999999998</v>
      </c>
      <c r="C63" s="89">
        <v>3.83</v>
      </c>
      <c r="D63" s="89">
        <v>0</v>
      </c>
    </row>
    <row r="64" spans="1:4" x14ac:dyDescent="0.25">
      <c r="A64" s="88">
        <v>55</v>
      </c>
      <c r="B64" s="89">
        <v>18.309999999999999</v>
      </c>
      <c r="C64" s="89">
        <v>3.84</v>
      </c>
      <c r="D64" s="89">
        <v>0</v>
      </c>
    </row>
    <row r="65" spans="1:4" x14ac:dyDescent="0.25">
      <c r="A65" s="88">
        <v>56</v>
      </c>
      <c r="B65" s="89">
        <v>18.64</v>
      </c>
      <c r="C65" s="89">
        <v>3.85</v>
      </c>
      <c r="D65" s="89">
        <v>0</v>
      </c>
    </row>
    <row r="66" spans="1:4" x14ac:dyDescent="0.25">
      <c r="A66" s="88">
        <v>57</v>
      </c>
      <c r="B66" s="89">
        <v>18.98</v>
      </c>
      <c r="C66" s="89">
        <v>3.86</v>
      </c>
      <c r="D66" s="89">
        <v>0</v>
      </c>
    </row>
    <row r="67" spans="1:4" x14ac:dyDescent="0.25">
      <c r="A67" s="88">
        <v>58</v>
      </c>
      <c r="B67" s="89">
        <v>19.329999999999998</v>
      </c>
      <c r="C67" s="89">
        <v>3.86</v>
      </c>
      <c r="D67" s="89">
        <v>0</v>
      </c>
    </row>
    <row r="68" spans="1:4" x14ac:dyDescent="0.25">
      <c r="A68" s="88">
        <v>59</v>
      </c>
      <c r="B68" s="89">
        <v>19.7</v>
      </c>
      <c r="C68" s="89">
        <v>3.87</v>
      </c>
      <c r="D68" s="89">
        <v>0</v>
      </c>
    </row>
  </sheetData>
  <sheetProtection algorithmName="SHA-512" hashValue="GIR+0PQ+kvR6mZlimEQFUntAXvOXxJXiaXJCiR7qR01hOmeBBaZwII4o9wCfQfAwgY78aTv+jtAT2p4BZ2SNow==" saltValue="IesrCy5bZ08sBNBb/o7n8g==" spinCount="100000" sheet="1" objects="1" scenarios="1"/>
  <conditionalFormatting sqref="A6:A21">
    <cfRule type="expression" dxfId="803" priority="3" stopIfTrue="1">
      <formula>MOD(ROW(),2)=0</formula>
    </cfRule>
    <cfRule type="expression" dxfId="802" priority="4" stopIfTrue="1">
      <formula>MOD(ROW(),2)&lt;&gt;0</formula>
    </cfRule>
  </conditionalFormatting>
  <conditionalFormatting sqref="A26:A68">
    <cfRule type="expression" dxfId="801" priority="15" stopIfTrue="1">
      <formula>MOD(ROW(),2)=0</formula>
    </cfRule>
    <cfRule type="expression" dxfId="800" priority="16" stopIfTrue="1">
      <formula>MOD(ROW(),2)&lt;&gt;0</formula>
    </cfRule>
  </conditionalFormatting>
  <conditionalFormatting sqref="B17:B21">
    <cfRule type="expression" dxfId="799" priority="1" stopIfTrue="1">
      <formula>MOD(ROW(),2)=0</formula>
    </cfRule>
    <cfRule type="expression" dxfId="798" priority="2" stopIfTrue="1">
      <formula>MOD(ROW(),2)&lt;&gt;0</formula>
    </cfRule>
  </conditionalFormatting>
  <conditionalFormatting sqref="B6:D21">
    <cfRule type="expression" dxfId="797" priority="25" stopIfTrue="1">
      <formula>MOD(ROW(),2)=0</formula>
    </cfRule>
    <cfRule type="expression" dxfId="796" priority="26" stopIfTrue="1">
      <formula>MOD(ROW(),2)&lt;&gt;0</formula>
    </cfRule>
  </conditionalFormatting>
  <conditionalFormatting sqref="B26:D68">
    <cfRule type="expression" dxfId="795" priority="17" stopIfTrue="1">
      <formula>MOD(ROW(),2)=0</formula>
    </cfRule>
    <cfRule type="expression" dxfId="794" priority="18" stopIfTrue="1">
      <formula>MOD(ROW(),2)&lt;&gt;0</formula>
    </cfRule>
  </conditionalFormatting>
  <conditionalFormatting sqref="C17:D17">
    <cfRule type="expression" dxfId="793" priority="9" stopIfTrue="1">
      <formula>MOD(ROW(),2)=0</formula>
    </cfRule>
    <cfRule type="expression" dxfId="79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dimension ref="A1:G73"/>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Fire_S - Consolidated Factor Spreadsheet</v>
      </c>
      <c r="B2" s="42"/>
      <c r="C2" s="42"/>
      <c r="D2" s="42"/>
      <c r="E2" s="42"/>
      <c r="F2" s="42"/>
      <c r="G2" s="42"/>
    </row>
    <row r="3" spans="1:7" ht="15.6" x14ac:dyDescent="0.3">
      <c r="A3" s="43" t="str">
        <f>TABLE_FACTOR_TYPE_1&amp;" - x-"&amp;TABLE_SERIES_NUMBER_1</f>
        <v>CETV - x-203</v>
      </c>
      <c r="B3" s="42"/>
      <c r="C3" s="42"/>
      <c r="D3" s="42"/>
      <c r="E3" s="42"/>
      <c r="F3" s="42"/>
      <c r="G3" s="42"/>
    </row>
    <row r="4" spans="1:7" x14ac:dyDescent="0.25">
      <c r="A4" s="44"/>
    </row>
    <row r="6" spans="1:7" x14ac:dyDescent="0.25">
      <c r="A6" s="75" t="s">
        <v>484</v>
      </c>
      <c r="B6" s="162" t="s">
        <v>485</v>
      </c>
      <c r="C6" s="162"/>
    </row>
    <row r="7" spans="1:7" x14ac:dyDescent="0.25">
      <c r="A7" s="76" t="s">
        <v>486</v>
      </c>
      <c r="B7" s="162" t="s">
        <v>81</v>
      </c>
      <c r="C7" s="162"/>
    </row>
    <row r="8" spans="1:7" x14ac:dyDescent="0.25">
      <c r="A8" s="76" t="s">
        <v>282</v>
      </c>
      <c r="B8" s="162">
        <v>2006</v>
      </c>
      <c r="C8" s="162"/>
    </row>
    <row r="9" spans="1:7" x14ac:dyDescent="0.25">
      <c r="A9" s="76" t="s">
        <v>283</v>
      </c>
      <c r="B9" s="162" t="s">
        <v>292</v>
      </c>
      <c r="C9" s="162"/>
    </row>
    <row r="10" spans="1:7" x14ac:dyDescent="0.25">
      <c r="A10" s="76" t="s">
        <v>6</v>
      </c>
      <c r="B10" s="162" t="s">
        <v>301</v>
      </c>
      <c r="C10" s="162"/>
    </row>
    <row r="11" spans="1:7" x14ac:dyDescent="0.25">
      <c r="A11" s="76" t="s">
        <v>284</v>
      </c>
      <c r="B11" s="162" t="s">
        <v>294</v>
      </c>
      <c r="C11" s="162"/>
    </row>
    <row r="12" spans="1:7" x14ac:dyDescent="0.25">
      <c r="A12" s="76" t="s">
        <v>285</v>
      </c>
      <c r="B12" s="162" t="s">
        <v>295</v>
      </c>
      <c r="C12" s="162"/>
    </row>
    <row r="13" spans="1:7" x14ac:dyDescent="0.25">
      <c r="A13" s="76" t="s">
        <v>493</v>
      </c>
      <c r="B13" s="162">
        <v>1</v>
      </c>
      <c r="C13" s="162"/>
    </row>
    <row r="14" spans="1:7" x14ac:dyDescent="0.25">
      <c r="A14" s="76" t="s">
        <v>287</v>
      </c>
      <c r="B14" s="162">
        <v>203</v>
      </c>
      <c r="C14" s="162"/>
    </row>
    <row r="15" spans="1:7" x14ac:dyDescent="0.25">
      <c r="A15" s="76" t="s">
        <v>496</v>
      </c>
      <c r="B15" s="162" t="s">
        <v>575</v>
      </c>
      <c r="C15" s="162"/>
    </row>
    <row r="16" spans="1:7" x14ac:dyDescent="0.25">
      <c r="A16" s="76" t="s">
        <v>288</v>
      </c>
      <c r="B16" s="162" t="s">
        <v>296</v>
      </c>
      <c r="C16" s="162"/>
    </row>
    <row r="17" spans="1:3" ht="51" customHeight="1" x14ac:dyDescent="0.25">
      <c r="A17" s="76" t="s">
        <v>568</v>
      </c>
      <c r="B17" s="162"/>
      <c r="C17" s="162"/>
    </row>
    <row r="18" spans="1:3" x14ac:dyDescent="0.25">
      <c r="A18" s="76" t="s">
        <v>500</v>
      </c>
      <c r="B18" s="164">
        <v>45070</v>
      </c>
      <c r="C18" s="162"/>
    </row>
    <row r="19" spans="1:3" x14ac:dyDescent="0.25">
      <c r="A19" s="76" t="s">
        <v>290</v>
      </c>
      <c r="B19" s="164">
        <v>45014</v>
      </c>
      <c r="C19" s="162"/>
    </row>
    <row r="20" spans="1:3" x14ac:dyDescent="0.25">
      <c r="A20" s="76" t="s">
        <v>291</v>
      </c>
      <c r="B20" s="162" t="s">
        <v>298</v>
      </c>
      <c r="C20" s="162"/>
    </row>
    <row r="21" spans="1:3" x14ac:dyDescent="0.25">
      <c r="A21" s="150" t="s">
        <v>569</v>
      </c>
      <c r="B21" s="162" t="s">
        <v>297</v>
      </c>
      <c r="C21" s="162"/>
    </row>
    <row r="23" spans="1:3" x14ac:dyDescent="0.25">
      <c r="B23" s="91" t="str">
        <f>HYPERLINK("#'Factor List'!A1","Back to Factor List")</f>
        <v>Back to Factor List</v>
      </c>
    </row>
    <row r="24" spans="1:3" x14ac:dyDescent="0.25">
      <c r="B24" s="91" t="str">
        <f>HYPERLINK("#'Assumptions'!A1","Assumptions")</f>
        <v>Assumptions</v>
      </c>
    </row>
    <row r="26" spans="1:3" ht="39.6" x14ac:dyDescent="0.25">
      <c r="A26" s="87" t="s">
        <v>570</v>
      </c>
      <c r="B26" s="87" t="s">
        <v>571</v>
      </c>
      <c r="C26" s="87" t="s">
        <v>572</v>
      </c>
    </row>
    <row r="27" spans="1:3" x14ac:dyDescent="0.25">
      <c r="A27" s="88">
        <v>18</v>
      </c>
      <c r="B27" s="89">
        <v>8.25</v>
      </c>
      <c r="C27" s="89">
        <v>2.69</v>
      </c>
    </row>
    <row r="28" spans="1:3" x14ac:dyDescent="0.25">
      <c r="A28" s="88">
        <v>19</v>
      </c>
      <c r="B28" s="89">
        <v>8.3699999999999992</v>
      </c>
      <c r="C28" s="89">
        <v>2.81</v>
      </c>
    </row>
    <row r="29" spans="1:3" x14ac:dyDescent="0.25">
      <c r="A29" s="88">
        <v>20</v>
      </c>
      <c r="B29" s="89">
        <v>8.48</v>
      </c>
      <c r="C29" s="89">
        <v>2.86</v>
      </c>
    </row>
    <row r="30" spans="1:3" x14ac:dyDescent="0.25">
      <c r="A30" s="88">
        <v>21</v>
      </c>
      <c r="B30" s="89">
        <v>8.6</v>
      </c>
      <c r="C30" s="89">
        <v>2.9</v>
      </c>
    </row>
    <row r="31" spans="1:3" x14ac:dyDescent="0.25">
      <c r="A31" s="88">
        <v>22</v>
      </c>
      <c r="B31" s="89">
        <v>8.7100000000000009</v>
      </c>
      <c r="C31" s="89">
        <v>2.95</v>
      </c>
    </row>
    <row r="32" spans="1:3" x14ac:dyDescent="0.25">
      <c r="A32" s="88">
        <v>23</v>
      </c>
      <c r="B32" s="89">
        <v>8.83</v>
      </c>
      <c r="C32" s="89">
        <v>3</v>
      </c>
    </row>
    <row r="33" spans="1:3" x14ac:dyDescent="0.25">
      <c r="A33" s="88">
        <v>24</v>
      </c>
      <c r="B33" s="89">
        <v>8.9600000000000009</v>
      </c>
      <c r="C33" s="89">
        <v>3.04</v>
      </c>
    </row>
    <row r="34" spans="1:3" x14ac:dyDescent="0.25">
      <c r="A34" s="88">
        <v>25</v>
      </c>
      <c r="B34" s="89">
        <v>9.08</v>
      </c>
      <c r="C34" s="89">
        <v>3.09</v>
      </c>
    </row>
    <row r="35" spans="1:3" x14ac:dyDescent="0.25">
      <c r="A35" s="88">
        <v>26</v>
      </c>
      <c r="B35" s="89">
        <v>9.1999999999999993</v>
      </c>
      <c r="C35" s="89">
        <v>3.14</v>
      </c>
    </row>
    <row r="36" spans="1:3" x14ac:dyDescent="0.25">
      <c r="A36" s="88">
        <v>27</v>
      </c>
      <c r="B36" s="89">
        <v>9.33</v>
      </c>
      <c r="C36" s="89">
        <v>3.19</v>
      </c>
    </row>
    <row r="37" spans="1:3" x14ac:dyDescent="0.25">
      <c r="A37" s="88">
        <v>28</v>
      </c>
      <c r="B37" s="89">
        <v>9.4600000000000009</v>
      </c>
      <c r="C37" s="89">
        <v>3.24</v>
      </c>
    </row>
    <row r="38" spans="1:3" x14ac:dyDescent="0.25">
      <c r="A38" s="88">
        <v>29</v>
      </c>
      <c r="B38" s="89">
        <v>9.59</v>
      </c>
      <c r="C38" s="89">
        <v>3.29</v>
      </c>
    </row>
    <row r="39" spans="1:3" x14ac:dyDescent="0.25">
      <c r="A39" s="88">
        <v>30</v>
      </c>
      <c r="B39" s="89">
        <v>9.7200000000000006</v>
      </c>
      <c r="C39" s="89">
        <v>3.33</v>
      </c>
    </row>
    <row r="40" spans="1:3" x14ac:dyDescent="0.25">
      <c r="A40" s="88">
        <v>31</v>
      </c>
      <c r="B40" s="89">
        <v>9.86</v>
      </c>
      <c r="C40" s="89">
        <v>3.38</v>
      </c>
    </row>
    <row r="41" spans="1:3" x14ac:dyDescent="0.25">
      <c r="A41" s="88">
        <v>32</v>
      </c>
      <c r="B41" s="89">
        <v>9.99</v>
      </c>
      <c r="C41" s="89">
        <v>3.43</v>
      </c>
    </row>
    <row r="42" spans="1:3" x14ac:dyDescent="0.25">
      <c r="A42" s="88">
        <v>33</v>
      </c>
      <c r="B42" s="89">
        <v>10.130000000000001</v>
      </c>
      <c r="C42" s="89">
        <v>3.47</v>
      </c>
    </row>
    <row r="43" spans="1:3" x14ac:dyDescent="0.25">
      <c r="A43" s="88">
        <v>34</v>
      </c>
      <c r="B43" s="89">
        <v>10.28</v>
      </c>
      <c r="C43" s="89">
        <v>3.52</v>
      </c>
    </row>
    <row r="44" spans="1:3" x14ac:dyDescent="0.25">
      <c r="A44" s="88">
        <v>35</v>
      </c>
      <c r="B44" s="89">
        <v>10.42</v>
      </c>
      <c r="C44" s="89">
        <v>3.56</v>
      </c>
    </row>
    <row r="45" spans="1:3" x14ac:dyDescent="0.25">
      <c r="A45" s="88">
        <v>36</v>
      </c>
      <c r="B45" s="89">
        <v>10.57</v>
      </c>
      <c r="C45" s="89">
        <v>3.61</v>
      </c>
    </row>
    <row r="46" spans="1:3" x14ac:dyDescent="0.25">
      <c r="A46" s="88">
        <v>37</v>
      </c>
      <c r="B46" s="89">
        <v>10.72</v>
      </c>
      <c r="C46" s="89">
        <v>3.65</v>
      </c>
    </row>
    <row r="47" spans="1:3" x14ac:dyDescent="0.25">
      <c r="A47" s="88">
        <v>38</v>
      </c>
      <c r="B47" s="89">
        <v>10.87</v>
      </c>
      <c r="C47" s="89">
        <v>3.69</v>
      </c>
    </row>
    <row r="48" spans="1:3" x14ac:dyDescent="0.25">
      <c r="A48" s="88">
        <v>39</v>
      </c>
      <c r="B48" s="89">
        <v>11.03</v>
      </c>
      <c r="C48" s="89">
        <v>3.74</v>
      </c>
    </row>
    <row r="49" spans="1:3" x14ac:dyDescent="0.25">
      <c r="A49" s="88">
        <v>40</v>
      </c>
      <c r="B49" s="89">
        <v>11.19</v>
      </c>
      <c r="C49" s="89">
        <v>3.78</v>
      </c>
    </row>
    <row r="50" spans="1:3" x14ac:dyDescent="0.25">
      <c r="A50" s="88">
        <v>41</v>
      </c>
      <c r="B50" s="89">
        <v>11.35</v>
      </c>
      <c r="C50" s="89">
        <v>3.82</v>
      </c>
    </row>
    <row r="51" spans="1:3" x14ac:dyDescent="0.25">
      <c r="A51" s="88">
        <v>42</v>
      </c>
      <c r="B51" s="89">
        <v>11.51</v>
      </c>
      <c r="C51" s="89">
        <v>3.86</v>
      </c>
    </row>
    <row r="52" spans="1:3" x14ac:dyDescent="0.25">
      <c r="A52" s="88">
        <v>43</v>
      </c>
      <c r="B52" s="89">
        <v>11.68</v>
      </c>
      <c r="C52" s="89">
        <v>3.89</v>
      </c>
    </row>
    <row r="53" spans="1:3" x14ac:dyDescent="0.25">
      <c r="A53" s="88">
        <v>44</v>
      </c>
      <c r="B53" s="89">
        <v>11.86</v>
      </c>
      <c r="C53" s="89">
        <v>3.93</v>
      </c>
    </row>
    <row r="54" spans="1:3" x14ac:dyDescent="0.25">
      <c r="A54" s="88">
        <v>45</v>
      </c>
      <c r="B54" s="89">
        <v>12.04</v>
      </c>
      <c r="C54" s="89">
        <v>3.96</v>
      </c>
    </row>
    <row r="55" spans="1:3" x14ac:dyDescent="0.25">
      <c r="A55" s="88">
        <v>46</v>
      </c>
      <c r="B55" s="89">
        <v>12.22</v>
      </c>
      <c r="C55" s="89">
        <v>3.99</v>
      </c>
    </row>
    <row r="56" spans="1:3" x14ac:dyDescent="0.25">
      <c r="A56" s="88">
        <v>47</v>
      </c>
      <c r="B56" s="89">
        <v>12.4</v>
      </c>
      <c r="C56" s="89">
        <v>4.03</v>
      </c>
    </row>
    <row r="57" spans="1:3" x14ac:dyDescent="0.25">
      <c r="A57" s="88">
        <v>48</v>
      </c>
      <c r="B57" s="89">
        <v>12.6</v>
      </c>
      <c r="C57" s="89">
        <v>4.05</v>
      </c>
    </row>
    <row r="58" spans="1:3" x14ac:dyDescent="0.25">
      <c r="A58" s="88">
        <v>49</v>
      </c>
      <c r="B58" s="89">
        <v>12.79</v>
      </c>
      <c r="C58" s="89">
        <v>4.08</v>
      </c>
    </row>
    <row r="59" spans="1:3" x14ac:dyDescent="0.25">
      <c r="A59" s="88">
        <v>50</v>
      </c>
      <c r="B59" s="89">
        <v>12.99</v>
      </c>
      <c r="C59" s="89">
        <v>4.0999999999999996</v>
      </c>
    </row>
    <row r="60" spans="1:3" x14ac:dyDescent="0.25">
      <c r="A60" s="88">
        <v>51</v>
      </c>
      <c r="B60" s="89">
        <v>13.2</v>
      </c>
      <c r="C60" s="89">
        <v>4.13</v>
      </c>
    </row>
    <row r="61" spans="1:3" x14ac:dyDescent="0.25">
      <c r="A61" s="88">
        <v>52</v>
      </c>
      <c r="B61" s="89">
        <v>13.42</v>
      </c>
      <c r="C61" s="89">
        <v>4.1500000000000004</v>
      </c>
    </row>
    <row r="62" spans="1:3" x14ac:dyDescent="0.25">
      <c r="A62" s="88">
        <v>53</v>
      </c>
      <c r="B62" s="89">
        <v>13.64</v>
      </c>
      <c r="C62" s="89">
        <v>4.17</v>
      </c>
    </row>
    <row r="63" spans="1:3" x14ac:dyDescent="0.25">
      <c r="A63" s="88">
        <v>54</v>
      </c>
      <c r="B63" s="89">
        <v>13.86</v>
      </c>
      <c r="C63" s="89">
        <v>4.1900000000000004</v>
      </c>
    </row>
    <row r="64" spans="1:3" x14ac:dyDescent="0.25">
      <c r="A64" s="88">
        <v>55</v>
      </c>
      <c r="B64" s="89">
        <v>14.1</v>
      </c>
      <c r="C64" s="89">
        <v>4.2</v>
      </c>
    </row>
    <row r="65" spans="1:3" x14ac:dyDescent="0.25">
      <c r="A65" s="88">
        <v>56</v>
      </c>
      <c r="B65" s="89">
        <v>14.34</v>
      </c>
      <c r="C65" s="89">
        <v>4.21</v>
      </c>
    </row>
    <row r="66" spans="1:3" x14ac:dyDescent="0.25">
      <c r="A66" s="88">
        <v>57</v>
      </c>
      <c r="B66" s="89">
        <v>14.59</v>
      </c>
      <c r="C66" s="89">
        <v>4.22</v>
      </c>
    </row>
    <row r="67" spans="1:3" x14ac:dyDescent="0.25">
      <c r="A67" s="88">
        <v>58</v>
      </c>
      <c r="B67" s="89">
        <v>14.85</v>
      </c>
      <c r="C67" s="89">
        <v>4.2300000000000004</v>
      </c>
    </row>
    <row r="68" spans="1:3" x14ac:dyDescent="0.25">
      <c r="A68" s="88">
        <v>59</v>
      </c>
      <c r="B68" s="89">
        <v>15.12</v>
      </c>
      <c r="C68" s="89">
        <v>4.2300000000000004</v>
      </c>
    </row>
    <row r="69" spans="1:3" x14ac:dyDescent="0.25">
      <c r="A69" s="88">
        <v>60</v>
      </c>
      <c r="B69" s="89">
        <v>15.41</v>
      </c>
      <c r="C69" s="89">
        <v>4.2300000000000004</v>
      </c>
    </row>
    <row r="70" spans="1:3" x14ac:dyDescent="0.25">
      <c r="A70" s="88">
        <v>61</v>
      </c>
      <c r="B70" s="89">
        <v>15.7</v>
      </c>
      <c r="C70" s="89">
        <v>4.2300000000000004</v>
      </c>
    </row>
    <row r="71" spans="1:3" x14ac:dyDescent="0.25">
      <c r="A71" s="88">
        <v>62</v>
      </c>
      <c r="B71" s="89">
        <v>16.02</v>
      </c>
      <c r="C71" s="89">
        <v>4.21</v>
      </c>
    </row>
    <row r="72" spans="1:3" x14ac:dyDescent="0.25">
      <c r="A72" s="88">
        <v>63</v>
      </c>
      <c r="B72" s="89">
        <v>16.350000000000001</v>
      </c>
      <c r="C72" s="89">
        <v>4.2</v>
      </c>
    </row>
    <row r="73" spans="1:3" x14ac:dyDescent="0.25">
      <c r="A73" s="88">
        <v>64</v>
      </c>
      <c r="B73" s="89">
        <v>16.7</v>
      </c>
      <c r="C73" s="89">
        <v>4.18</v>
      </c>
    </row>
  </sheetData>
  <sheetProtection algorithmName="SHA-512" hashValue="8ppv62doyO9yBGqHNm0OwZcP3OBJtOhyJyXXV5Mcr/nbYg6MgGSJRO8Ct3t86hr8h9vP2hOFv0DP1VKLhdZmFQ==" saltValue="UhiUwI0sMLgoaCx6z6tiJw==" spinCount="100000" sheet="1" objects="1" scenarios="1"/>
  <conditionalFormatting sqref="A6:A21">
    <cfRule type="expression" dxfId="791" priority="3" stopIfTrue="1">
      <formula>MOD(ROW(),2)=0</formula>
    </cfRule>
    <cfRule type="expression" dxfId="790" priority="4" stopIfTrue="1">
      <formula>MOD(ROW(),2)&lt;&gt;0</formula>
    </cfRule>
  </conditionalFormatting>
  <conditionalFormatting sqref="A26:A73">
    <cfRule type="expression" dxfId="789" priority="11" stopIfTrue="1">
      <formula>MOD(ROW(),2)=0</formula>
    </cfRule>
    <cfRule type="expression" dxfId="788" priority="12" stopIfTrue="1">
      <formula>MOD(ROW(),2)&lt;&gt;0</formula>
    </cfRule>
  </conditionalFormatting>
  <conditionalFormatting sqref="B6:C21">
    <cfRule type="expression" dxfId="787" priority="21" stopIfTrue="1">
      <formula>MOD(ROW(),2)=0</formula>
    </cfRule>
    <cfRule type="expression" dxfId="786" priority="22" stopIfTrue="1">
      <formula>MOD(ROW(),2)&lt;&gt;0</formula>
    </cfRule>
  </conditionalFormatting>
  <conditionalFormatting sqref="B26:C73">
    <cfRule type="expression" dxfId="785" priority="13" stopIfTrue="1">
      <formula>MOD(ROW(),2)=0</formula>
    </cfRule>
    <cfRule type="expression" dxfId="784" priority="14" stopIfTrue="1">
      <formula>MOD(ROW(),2)&lt;&gt;0</formula>
    </cfRule>
  </conditionalFormatting>
  <conditionalFormatting sqref="C17">
    <cfRule type="expression" dxfId="783" priority="9" stopIfTrue="1">
      <formula>MOD(ROW(),2)=0</formula>
    </cfRule>
    <cfRule type="expression" dxfId="78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dimension ref="A1:G68"/>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Fire_S - Consolidated Factor Spreadsheet</v>
      </c>
      <c r="B2" s="42"/>
      <c r="C2" s="42"/>
      <c r="D2" s="42"/>
      <c r="E2" s="42"/>
      <c r="F2" s="42"/>
      <c r="G2" s="42"/>
    </row>
    <row r="3" spans="1:7" ht="15.6" x14ac:dyDescent="0.3">
      <c r="A3" s="43" t="str">
        <f>TABLE_FACTOR_TYPE_1&amp;" - x-"&amp;TABLE_SERIES_NUMBER_1</f>
        <v>CETV - x-204</v>
      </c>
      <c r="B3" s="42"/>
      <c r="C3" s="42"/>
      <c r="D3" s="42"/>
      <c r="E3" s="42"/>
      <c r="F3" s="42"/>
      <c r="G3" s="42"/>
    </row>
    <row r="4" spans="1:7" x14ac:dyDescent="0.25">
      <c r="A4" s="44"/>
    </row>
    <row r="6" spans="1:7" x14ac:dyDescent="0.25">
      <c r="A6" s="75" t="s">
        <v>484</v>
      </c>
      <c r="B6" s="162" t="s">
        <v>485</v>
      </c>
      <c r="C6" s="162"/>
    </row>
    <row r="7" spans="1:7" x14ac:dyDescent="0.25">
      <c r="A7" s="76" t="s">
        <v>486</v>
      </c>
      <c r="B7" s="162" t="s">
        <v>81</v>
      </c>
      <c r="C7" s="162"/>
    </row>
    <row r="8" spans="1:7" x14ac:dyDescent="0.25">
      <c r="A8" s="76" t="s">
        <v>282</v>
      </c>
      <c r="B8" s="162">
        <v>2006</v>
      </c>
      <c r="C8" s="162"/>
    </row>
    <row r="9" spans="1:7" x14ac:dyDescent="0.25">
      <c r="A9" s="76" t="s">
        <v>283</v>
      </c>
      <c r="B9" s="162" t="s">
        <v>292</v>
      </c>
      <c r="C9" s="162"/>
    </row>
    <row r="10" spans="1:7" x14ac:dyDescent="0.25">
      <c r="A10" s="76" t="s">
        <v>6</v>
      </c>
      <c r="B10" s="162" t="s">
        <v>301</v>
      </c>
      <c r="C10" s="162"/>
    </row>
    <row r="11" spans="1:7" x14ac:dyDescent="0.25">
      <c r="A11" s="76" t="s">
        <v>284</v>
      </c>
      <c r="B11" s="162" t="s">
        <v>299</v>
      </c>
      <c r="C11" s="162"/>
    </row>
    <row r="12" spans="1:7" x14ac:dyDescent="0.25">
      <c r="A12" s="76" t="s">
        <v>285</v>
      </c>
      <c r="B12" s="162" t="s">
        <v>295</v>
      </c>
      <c r="C12" s="162"/>
    </row>
    <row r="13" spans="1:7" x14ac:dyDescent="0.25">
      <c r="A13" s="76" t="s">
        <v>493</v>
      </c>
      <c r="B13" s="162">
        <v>1</v>
      </c>
      <c r="C13" s="162"/>
    </row>
    <row r="14" spans="1:7" x14ac:dyDescent="0.25">
      <c r="A14" s="76" t="s">
        <v>287</v>
      </c>
      <c r="B14" s="162">
        <v>204</v>
      </c>
      <c r="C14" s="162"/>
    </row>
    <row r="15" spans="1:7" x14ac:dyDescent="0.25">
      <c r="A15" s="76" t="s">
        <v>496</v>
      </c>
      <c r="B15" s="162" t="s">
        <v>576</v>
      </c>
      <c r="C15" s="162"/>
    </row>
    <row r="16" spans="1:7" x14ac:dyDescent="0.25">
      <c r="A16" s="76" t="s">
        <v>288</v>
      </c>
      <c r="B16" s="162" t="s">
        <v>300</v>
      </c>
      <c r="C16" s="162"/>
    </row>
    <row r="17" spans="1:3" ht="51" customHeight="1" x14ac:dyDescent="0.25">
      <c r="A17" s="76" t="s">
        <v>568</v>
      </c>
      <c r="B17" s="162"/>
      <c r="C17" s="162"/>
    </row>
    <row r="18" spans="1:3" x14ac:dyDescent="0.25">
      <c r="A18" s="76" t="s">
        <v>500</v>
      </c>
      <c r="B18" s="164">
        <v>45070</v>
      </c>
      <c r="C18" s="162"/>
    </row>
    <row r="19" spans="1:3" x14ac:dyDescent="0.25">
      <c r="A19" s="76" t="s">
        <v>290</v>
      </c>
      <c r="B19" s="164">
        <v>45014</v>
      </c>
      <c r="C19" s="162"/>
    </row>
    <row r="20" spans="1:3" x14ac:dyDescent="0.25">
      <c r="A20" s="76" t="s">
        <v>291</v>
      </c>
      <c r="B20" s="162" t="s">
        <v>298</v>
      </c>
      <c r="C20" s="162"/>
    </row>
    <row r="21" spans="1:3" x14ac:dyDescent="0.25">
      <c r="A21" s="150" t="s">
        <v>569</v>
      </c>
      <c r="B21" s="162" t="s">
        <v>297</v>
      </c>
      <c r="C21" s="162"/>
    </row>
    <row r="23" spans="1:3" x14ac:dyDescent="0.25">
      <c r="B23" s="91" t="str">
        <f>HYPERLINK("#'Factor List'!A1","Back to Factor List")</f>
        <v>Back to Factor List</v>
      </c>
    </row>
    <row r="24" spans="1:3" x14ac:dyDescent="0.25">
      <c r="B24" s="91" t="str">
        <f>HYPERLINK("#'Assumptions'!A1","Assumptions")</f>
        <v>Assumptions</v>
      </c>
    </row>
    <row r="26" spans="1:3" ht="39.6" x14ac:dyDescent="0.25">
      <c r="A26" s="87" t="s">
        <v>570</v>
      </c>
      <c r="B26" s="87" t="s">
        <v>571</v>
      </c>
      <c r="C26" s="87" t="s">
        <v>572</v>
      </c>
    </row>
    <row r="27" spans="1:3" x14ac:dyDescent="0.25">
      <c r="A27" s="88">
        <v>18</v>
      </c>
      <c r="B27" s="89">
        <v>8.25</v>
      </c>
      <c r="C27" s="89">
        <v>2.69</v>
      </c>
    </row>
    <row r="28" spans="1:3" x14ac:dyDescent="0.25">
      <c r="A28" s="88">
        <v>19</v>
      </c>
      <c r="B28" s="89">
        <v>8.3699999999999992</v>
      </c>
      <c r="C28" s="89">
        <v>2.81</v>
      </c>
    </row>
    <row r="29" spans="1:3" x14ac:dyDescent="0.25">
      <c r="A29" s="88">
        <v>20</v>
      </c>
      <c r="B29" s="89">
        <v>8.48</v>
      </c>
      <c r="C29" s="89">
        <v>2.86</v>
      </c>
    </row>
    <row r="30" spans="1:3" x14ac:dyDescent="0.25">
      <c r="A30" s="88">
        <v>21</v>
      </c>
      <c r="B30" s="89">
        <v>8.6</v>
      </c>
      <c r="C30" s="89">
        <v>2.9</v>
      </c>
    </row>
    <row r="31" spans="1:3" x14ac:dyDescent="0.25">
      <c r="A31" s="88">
        <v>22</v>
      </c>
      <c r="B31" s="89">
        <v>8.7100000000000009</v>
      </c>
      <c r="C31" s="89">
        <v>2.95</v>
      </c>
    </row>
    <row r="32" spans="1:3" x14ac:dyDescent="0.25">
      <c r="A32" s="88">
        <v>23</v>
      </c>
      <c r="B32" s="89">
        <v>8.83</v>
      </c>
      <c r="C32" s="89">
        <v>3</v>
      </c>
    </row>
    <row r="33" spans="1:3" x14ac:dyDescent="0.25">
      <c r="A33" s="88">
        <v>24</v>
      </c>
      <c r="B33" s="89">
        <v>8.9600000000000009</v>
      </c>
      <c r="C33" s="89">
        <v>3.04</v>
      </c>
    </row>
    <row r="34" spans="1:3" x14ac:dyDescent="0.25">
      <c r="A34" s="88">
        <v>25</v>
      </c>
      <c r="B34" s="89">
        <v>9.08</v>
      </c>
      <c r="C34" s="89">
        <v>3.09</v>
      </c>
    </row>
    <row r="35" spans="1:3" x14ac:dyDescent="0.25">
      <c r="A35" s="88">
        <v>26</v>
      </c>
      <c r="B35" s="89">
        <v>9.1999999999999993</v>
      </c>
      <c r="C35" s="89">
        <v>3.14</v>
      </c>
    </row>
    <row r="36" spans="1:3" x14ac:dyDescent="0.25">
      <c r="A36" s="88">
        <v>27</v>
      </c>
      <c r="B36" s="89">
        <v>9.33</v>
      </c>
      <c r="C36" s="89">
        <v>3.19</v>
      </c>
    </row>
    <row r="37" spans="1:3" x14ac:dyDescent="0.25">
      <c r="A37" s="88">
        <v>28</v>
      </c>
      <c r="B37" s="89">
        <v>9.4600000000000009</v>
      </c>
      <c r="C37" s="89">
        <v>3.24</v>
      </c>
    </row>
    <row r="38" spans="1:3" x14ac:dyDescent="0.25">
      <c r="A38" s="88">
        <v>29</v>
      </c>
      <c r="B38" s="89">
        <v>9.59</v>
      </c>
      <c r="C38" s="89">
        <v>3.29</v>
      </c>
    </row>
    <row r="39" spans="1:3" x14ac:dyDescent="0.25">
      <c r="A39" s="88">
        <v>30</v>
      </c>
      <c r="B39" s="89">
        <v>9.7200000000000006</v>
      </c>
      <c r="C39" s="89">
        <v>3.33</v>
      </c>
    </row>
    <row r="40" spans="1:3" x14ac:dyDescent="0.25">
      <c r="A40" s="88">
        <v>31</v>
      </c>
      <c r="B40" s="89">
        <v>9.86</v>
      </c>
      <c r="C40" s="89">
        <v>3.38</v>
      </c>
    </row>
    <row r="41" spans="1:3" x14ac:dyDescent="0.25">
      <c r="A41" s="88">
        <v>32</v>
      </c>
      <c r="B41" s="89">
        <v>9.99</v>
      </c>
      <c r="C41" s="89">
        <v>3.43</v>
      </c>
    </row>
    <row r="42" spans="1:3" x14ac:dyDescent="0.25">
      <c r="A42" s="88">
        <v>33</v>
      </c>
      <c r="B42" s="89">
        <v>10.130000000000001</v>
      </c>
      <c r="C42" s="89">
        <v>3.47</v>
      </c>
    </row>
    <row r="43" spans="1:3" x14ac:dyDescent="0.25">
      <c r="A43" s="88">
        <v>34</v>
      </c>
      <c r="B43" s="89">
        <v>10.28</v>
      </c>
      <c r="C43" s="89">
        <v>3.52</v>
      </c>
    </row>
    <row r="44" spans="1:3" x14ac:dyDescent="0.25">
      <c r="A44" s="88">
        <v>35</v>
      </c>
      <c r="B44" s="89">
        <v>10.42</v>
      </c>
      <c r="C44" s="89">
        <v>3.56</v>
      </c>
    </row>
    <row r="45" spans="1:3" x14ac:dyDescent="0.25">
      <c r="A45" s="88">
        <v>36</v>
      </c>
      <c r="B45" s="89">
        <v>10.57</v>
      </c>
      <c r="C45" s="89">
        <v>3.61</v>
      </c>
    </row>
    <row r="46" spans="1:3" x14ac:dyDescent="0.25">
      <c r="A46" s="88">
        <v>37</v>
      </c>
      <c r="B46" s="89">
        <v>10.72</v>
      </c>
      <c r="C46" s="89">
        <v>3.65</v>
      </c>
    </row>
    <row r="47" spans="1:3" x14ac:dyDescent="0.25">
      <c r="A47" s="88">
        <v>38</v>
      </c>
      <c r="B47" s="89">
        <v>10.87</v>
      </c>
      <c r="C47" s="89">
        <v>3.69</v>
      </c>
    </row>
    <row r="48" spans="1:3" x14ac:dyDescent="0.25">
      <c r="A48" s="88">
        <v>39</v>
      </c>
      <c r="B48" s="89">
        <v>11.03</v>
      </c>
      <c r="C48" s="89">
        <v>3.74</v>
      </c>
    </row>
    <row r="49" spans="1:3" x14ac:dyDescent="0.25">
      <c r="A49" s="88">
        <v>40</v>
      </c>
      <c r="B49" s="89">
        <v>11.19</v>
      </c>
      <c r="C49" s="89">
        <v>3.78</v>
      </c>
    </row>
    <row r="50" spans="1:3" x14ac:dyDescent="0.25">
      <c r="A50" s="88">
        <v>41</v>
      </c>
      <c r="B50" s="89">
        <v>11.35</v>
      </c>
      <c r="C50" s="89">
        <v>3.82</v>
      </c>
    </row>
    <row r="51" spans="1:3" x14ac:dyDescent="0.25">
      <c r="A51" s="88">
        <v>42</v>
      </c>
      <c r="B51" s="89">
        <v>11.51</v>
      </c>
      <c r="C51" s="89">
        <v>3.86</v>
      </c>
    </row>
    <row r="52" spans="1:3" x14ac:dyDescent="0.25">
      <c r="A52" s="88">
        <v>43</v>
      </c>
      <c r="B52" s="89">
        <v>11.68</v>
      </c>
      <c r="C52" s="89">
        <v>3.89</v>
      </c>
    </row>
    <row r="53" spans="1:3" x14ac:dyDescent="0.25">
      <c r="A53" s="88">
        <v>44</v>
      </c>
      <c r="B53" s="89">
        <v>11.86</v>
      </c>
      <c r="C53" s="89">
        <v>3.93</v>
      </c>
    </row>
    <row r="54" spans="1:3" x14ac:dyDescent="0.25">
      <c r="A54" s="88">
        <v>45</v>
      </c>
      <c r="B54" s="89">
        <v>12.04</v>
      </c>
      <c r="C54" s="89">
        <v>3.96</v>
      </c>
    </row>
    <row r="55" spans="1:3" x14ac:dyDescent="0.25">
      <c r="A55" s="88">
        <v>46</v>
      </c>
      <c r="B55" s="89">
        <v>12.22</v>
      </c>
      <c r="C55" s="89">
        <v>3.99</v>
      </c>
    </row>
    <row r="56" spans="1:3" x14ac:dyDescent="0.25">
      <c r="A56" s="88">
        <v>47</v>
      </c>
      <c r="B56" s="89">
        <v>12.4</v>
      </c>
      <c r="C56" s="89">
        <v>4.03</v>
      </c>
    </row>
    <row r="57" spans="1:3" x14ac:dyDescent="0.25">
      <c r="A57" s="88">
        <v>48</v>
      </c>
      <c r="B57" s="89">
        <v>12.6</v>
      </c>
      <c r="C57" s="89">
        <v>4.05</v>
      </c>
    </row>
    <row r="58" spans="1:3" x14ac:dyDescent="0.25">
      <c r="A58" s="88">
        <v>49</v>
      </c>
      <c r="B58" s="89">
        <v>12.79</v>
      </c>
      <c r="C58" s="89">
        <v>4.08</v>
      </c>
    </row>
    <row r="59" spans="1:3" x14ac:dyDescent="0.25">
      <c r="A59" s="88">
        <v>50</v>
      </c>
      <c r="B59" s="89">
        <v>12.99</v>
      </c>
      <c r="C59" s="89">
        <v>4.0999999999999996</v>
      </c>
    </row>
    <row r="60" spans="1:3" x14ac:dyDescent="0.25">
      <c r="A60" s="88">
        <v>51</v>
      </c>
      <c r="B60" s="89">
        <v>13.2</v>
      </c>
      <c r="C60" s="89">
        <v>4.13</v>
      </c>
    </row>
    <row r="61" spans="1:3" x14ac:dyDescent="0.25">
      <c r="A61" s="88">
        <v>52</v>
      </c>
      <c r="B61" s="89">
        <v>13.42</v>
      </c>
      <c r="C61" s="89">
        <v>4.1500000000000004</v>
      </c>
    </row>
    <row r="62" spans="1:3" x14ac:dyDescent="0.25">
      <c r="A62" s="88">
        <v>53</v>
      </c>
      <c r="B62" s="89">
        <v>13.64</v>
      </c>
      <c r="C62" s="89">
        <v>4.17</v>
      </c>
    </row>
    <row r="63" spans="1:3" x14ac:dyDescent="0.25">
      <c r="A63" s="88">
        <v>54</v>
      </c>
      <c r="B63" s="89">
        <v>13.86</v>
      </c>
      <c r="C63" s="89">
        <v>4.1900000000000004</v>
      </c>
    </row>
    <row r="64" spans="1:3" x14ac:dyDescent="0.25">
      <c r="A64" s="88">
        <v>55</v>
      </c>
      <c r="B64" s="89">
        <v>14.1</v>
      </c>
      <c r="C64" s="89">
        <v>4.2</v>
      </c>
    </row>
    <row r="65" spans="1:3" x14ac:dyDescent="0.25">
      <c r="A65" s="88">
        <v>56</v>
      </c>
      <c r="B65" s="89">
        <v>14.34</v>
      </c>
      <c r="C65" s="89">
        <v>4.21</v>
      </c>
    </row>
    <row r="66" spans="1:3" x14ac:dyDescent="0.25">
      <c r="A66" s="88">
        <v>57</v>
      </c>
      <c r="B66" s="89">
        <v>14.59</v>
      </c>
      <c r="C66" s="89">
        <v>4.22</v>
      </c>
    </row>
    <row r="67" spans="1:3" x14ac:dyDescent="0.25">
      <c r="A67" s="88">
        <v>58</v>
      </c>
      <c r="B67" s="89">
        <v>14.85</v>
      </c>
      <c r="C67" s="89">
        <v>4.2300000000000004</v>
      </c>
    </row>
    <row r="68" spans="1:3" x14ac:dyDescent="0.25">
      <c r="A68" s="88">
        <v>59</v>
      </c>
      <c r="B68" s="89">
        <v>15.12</v>
      </c>
      <c r="C68" s="89">
        <v>4.2300000000000004</v>
      </c>
    </row>
  </sheetData>
  <sheetProtection algorithmName="SHA-512" hashValue="YTrIRW6A/GeTHXVIB3w5X0jLJg4M6uy31KtcbrIT9vN6NqzoiwkEVfMHKvFsPV6BrkKcRA8CTHZLamdYIAbH7Q==" saltValue="IZEPmk2XllEQMiBWg1xIyg==" spinCount="100000" sheet="1" objects="1" scenarios="1"/>
  <conditionalFormatting sqref="A6:A21">
    <cfRule type="expression" dxfId="781" priority="3" stopIfTrue="1">
      <formula>MOD(ROW(),2)=0</formula>
    </cfRule>
    <cfRule type="expression" dxfId="780" priority="4" stopIfTrue="1">
      <formula>MOD(ROW(),2)&lt;&gt;0</formula>
    </cfRule>
  </conditionalFormatting>
  <conditionalFormatting sqref="A26:A68">
    <cfRule type="expression" dxfId="779" priority="11" stopIfTrue="1">
      <formula>MOD(ROW(),2)=0</formula>
    </cfRule>
    <cfRule type="expression" dxfId="778" priority="12" stopIfTrue="1">
      <formula>MOD(ROW(),2)&lt;&gt;0</formula>
    </cfRule>
  </conditionalFormatting>
  <conditionalFormatting sqref="B6:C21">
    <cfRule type="expression" dxfId="777" priority="21" stopIfTrue="1">
      <formula>MOD(ROW(),2)=0</formula>
    </cfRule>
    <cfRule type="expression" dxfId="776" priority="22" stopIfTrue="1">
      <formula>MOD(ROW(),2)&lt;&gt;0</formula>
    </cfRule>
  </conditionalFormatting>
  <conditionalFormatting sqref="B26:C68">
    <cfRule type="expression" dxfId="775" priority="13" stopIfTrue="1">
      <formula>MOD(ROW(),2)=0</formula>
    </cfRule>
    <cfRule type="expression" dxfId="774" priority="14" stopIfTrue="1">
      <formula>MOD(ROW(),2)&lt;&gt;0</formula>
    </cfRule>
  </conditionalFormatting>
  <conditionalFormatting sqref="C17">
    <cfRule type="expression" dxfId="773" priority="9" stopIfTrue="1">
      <formula>MOD(ROW(),2)=0</formula>
    </cfRule>
    <cfRule type="expression" dxfId="77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dimension ref="A1:F65"/>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16384" width="10" style="27"/>
  </cols>
  <sheetData>
    <row r="1" spans="1:6" ht="21" x14ac:dyDescent="0.4">
      <c r="A1" s="39" t="s">
        <v>0</v>
      </c>
      <c r="B1" s="40"/>
      <c r="C1" s="40"/>
      <c r="D1" s="40"/>
      <c r="E1" s="40"/>
      <c r="F1" s="40"/>
    </row>
    <row r="2" spans="1:6" ht="15.6" x14ac:dyDescent="0.3">
      <c r="A2" s="41" t="str">
        <f>IF(title="&gt; Enter workbook title here","Enter workbook title in Cover sheet",title)</f>
        <v>Fire_S - Consolidated Factor Spreadsheet</v>
      </c>
      <c r="B2" s="42"/>
      <c r="C2" s="42"/>
      <c r="D2" s="42"/>
      <c r="E2" s="42"/>
      <c r="F2" s="42"/>
    </row>
    <row r="3" spans="1:6" ht="15.6" x14ac:dyDescent="0.3">
      <c r="A3" s="43" t="str">
        <f>TABLE_FACTOR_TYPE_1&amp;" - x-"&amp;TABLE_SERIES_NUMBER_1</f>
        <v>CETV - x-205</v>
      </c>
      <c r="B3" s="42"/>
      <c r="C3" s="42"/>
      <c r="D3" s="42"/>
      <c r="E3" s="42"/>
      <c r="F3" s="42"/>
    </row>
    <row r="4" spans="1:6" x14ac:dyDescent="0.25">
      <c r="A4" s="44"/>
    </row>
    <row r="6" spans="1:6" x14ac:dyDescent="0.25">
      <c r="A6" s="75" t="s">
        <v>484</v>
      </c>
      <c r="B6" s="162" t="s">
        <v>485</v>
      </c>
      <c r="C6" s="162"/>
    </row>
    <row r="7" spans="1:6" x14ac:dyDescent="0.25">
      <c r="A7" s="76" t="s">
        <v>486</v>
      </c>
      <c r="B7" s="162" t="s">
        <v>81</v>
      </c>
      <c r="C7" s="162"/>
    </row>
    <row r="8" spans="1:6" x14ac:dyDescent="0.25">
      <c r="A8" s="76" t="s">
        <v>282</v>
      </c>
      <c r="B8" s="162">
        <v>2006</v>
      </c>
      <c r="C8" s="162"/>
    </row>
    <row r="9" spans="1:6" x14ac:dyDescent="0.25">
      <c r="A9" s="76" t="s">
        <v>283</v>
      </c>
      <c r="B9" s="162" t="s">
        <v>292</v>
      </c>
      <c r="C9" s="162"/>
    </row>
    <row r="10" spans="1:6" x14ac:dyDescent="0.25">
      <c r="A10" s="76" t="s">
        <v>6</v>
      </c>
      <c r="B10" s="162" t="s">
        <v>302</v>
      </c>
      <c r="C10" s="162"/>
    </row>
    <row r="11" spans="1:6" x14ac:dyDescent="0.25">
      <c r="A11" s="76" t="s">
        <v>284</v>
      </c>
      <c r="B11" s="162" t="s">
        <v>299</v>
      </c>
      <c r="C11" s="162"/>
    </row>
    <row r="12" spans="1:6" x14ac:dyDescent="0.25">
      <c r="A12" s="76" t="s">
        <v>285</v>
      </c>
      <c r="B12" s="162" t="s">
        <v>295</v>
      </c>
      <c r="C12" s="162"/>
    </row>
    <row r="13" spans="1:6" x14ac:dyDescent="0.25">
      <c r="A13" s="76" t="s">
        <v>493</v>
      </c>
      <c r="B13" s="162">
        <v>1</v>
      </c>
      <c r="C13" s="162"/>
    </row>
    <row r="14" spans="1:6" x14ac:dyDescent="0.25">
      <c r="A14" s="76" t="s">
        <v>287</v>
      </c>
      <c r="B14" s="162">
        <v>205</v>
      </c>
      <c r="C14" s="162"/>
    </row>
    <row r="15" spans="1:6" x14ac:dyDescent="0.25">
      <c r="A15" s="76" t="s">
        <v>496</v>
      </c>
      <c r="B15" s="162" t="s">
        <v>577</v>
      </c>
      <c r="C15" s="162"/>
    </row>
    <row r="16" spans="1:6" x14ac:dyDescent="0.25">
      <c r="A16" s="76" t="s">
        <v>288</v>
      </c>
      <c r="B16" s="162" t="s">
        <v>303</v>
      </c>
      <c r="C16" s="162"/>
    </row>
    <row r="17" spans="1:3" ht="51" customHeight="1" x14ac:dyDescent="0.25">
      <c r="A17" s="76" t="s">
        <v>568</v>
      </c>
      <c r="B17" s="162"/>
      <c r="C17" s="162"/>
    </row>
    <row r="18" spans="1:3" x14ac:dyDescent="0.25">
      <c r="A18" s="76" t="s">
        <v>500</v>
      </c>
      <c r="B18" s="164">
        <v>45070</v>
      </c>
      <c r="C18" s="162"/>
    </row>
    <row r="19" spans="1:3" x14ac:dyDescent="0.25">
      <c r="A19" s="76" t="s">
        <v>290</v>
      </c>
      <c r="B19" s="164">
        <v>45014</v>
      </c>
      <c r="C19" s="162"/>
    </row>
    <row r="20" spans="1:3" x14ac:dyDescent="0.25">
      <c r="A20" s="76" t="s">
        <v>291</v>
      </c>
      <c r="B20" s="162" t="s">
        <v>298</v>
      </c>
      <c r="C20" s="162"/>
    </row>
    <row r="21" spans="1:3" x14ac:dyDescent="0.25">
      <c r="A21" s="150" t="s">
        <v>569</v>
      </c>
      <c r="B21" s="162" t="s">
        <v>297</v>
      </c>
      <c r="C21" s="162"/>
    </row>
    <row r="23" spans="1:3" x14ac:dyDescent="0.25">
      <c r="B23" s="91" t="str">
        <f>HYPERLINK("#'Factor List'!A1","Back to Factor List")</f>
        <v>Back to Factor List</v>
      </c>
    </row>
    <row r="24" spans="1:3" x14ac:dyDescent="0.25">
      <c r="B24" s="91" t="str">
        <f>HYPERLINK("#'Assumptions'!A1","Assumptions")</f>
        <v>Assumptions</v>
      </c>
    </row>
    <row r="26" spans="1:3" ht="39.6" x14ac:dyDescent="0.25">
      <c r="A26" s="87" t="s">
        <v>570</v>
      </c>
      <c r="B26" s="87" t="s">
        <v>578</v>
      </c>
      <c r="C26" s="87" t="s">
        <v>572</v>
      </c>
    </row>
    <row r="27" spans="1:3" x14ac:dyDescent="0.25">
      <c r="A27" s="88">
        <v>60</v>
      </c>
      <c r="B27" s="89">
        <v>15.41</v>
      </c>
      <c r="C27" s="89">
        <v>4.2300000000000004</v>
      </c>
    </row>
    <row r="28" spans="1:3" x14ac:dyDescent="0.25">
      <c r="A28" s="88">
        <v>61</v>
      </c>
      <c r="B28" s="89">
        <v>15.7</v>
      </c>
      <c r="C28" s="89">
        <v>4.2300000000000004</v>
      </c>
    </row>
    <row r="29" spans="1:3" x14ac:dyDescent="0.25">
      <c r="A29" s="88">
        <v>62</v>
      </c>
      <c r="B29" s="89">
        <v>16.02</v>
      </c>
      <c r="C29" s="89">
        <v>4.21</v>
      </c>
    </row>
    <row r="30" spans="1:3" x14ac:dyDescent="0.25">
      <c r="A30" s="88">
        <v>63</v>
      </c>
      <c r="B30" s="89">
        <v>16.350000000000001</v>
      </c>
      <c r="C30" s="89">
        <v>4.2</v>
      </c>
    </row>
    <row r="31" spans="1:3" x14ac:dyDescent="0.25">
      <c r="A31" s="88">
        <v>64</v>
      </c>
      <c r="B31" s="89">
        <v>16.7</v>
      </c>
      <c r="C31" s="89">
        <v>4.18</v>
      </c>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txW99C/OIYBgx0XE2xn6DMZmSgSNyWOyXmvF36KcNV3CG3W6bvvGNB+MezhNWzseE5j5TE0iBULNQTLyzm3y5Q==" saltValue="Hqf1LMXDvxO7b3q9+YrYfg==" spinCount="100000" sheet="1" objects="1" scenarios="1"/>
  <conditionalFormatting sqref="A6:A21">
    <cfRule type="expression" dxfId="771" priority="3" stopIfTrue="1">
      <formula>MOD(ROW(),2)=0</formula>
    </cfRule>
    <cfRule type="expression" dxfId="770" priority="4" stopIfTrue="1">
      <formula>MOD(ROW(),2)&lt;&gt;0</formula>
    </cfRule>
  </conditionalFormatting>
  <conditionalFormatting sqref="A26:A31">
    <cfRule type="expression" dxfId="769" priority="11" stopIfTrue="1">
      <formula>MOD(ROW(),2)=0</formula>
    </cfRule>
    <cfRule type="expression" dxfId="768" priority="12" stopIfTrue="1">
      <formula>MOD(ROW(),2)&lt;&gt;0</formula>
    </cfRule>
  </conditionalFormatting>
  <conditionalFormatting sqref="B6:C21">
    <cfRule type="expression" dxfId="767" priority="21" stopIfTrue="1">
      <formula>MOD(ROW(),2)=0</formula>
    </cfRule>
    <cfRule type="expression" dxfId="766" priority="22" stopIfTrue="1">
      <formula>MOD(ROW(),2)&lt;&gt;0</formula>
    </cfRule>
  </conditionalFormatting>
  <conditionalFormatting sqref="B26:C31">
    <cfRule type="expression" dxfId="765" priority="13" stopIfTrue="1">
      <formula>MOD(ROW(),2)=0</formula>
    </cfRule>
    <cfRule type="expression" dxfId="764" priority="14" stopIfTrue="1">
      <formula>MOD(ROW(),2)&lt;&gt;0</formula>
    </cfRule>
  </conditionalFormatting>
  <conditionalFormatting sqref="C17">
    <cfRule type="expression" dxfId="763" priority="9" stopIfTrue="1">
      <formula>MOD(ROW(),2)=0</formula>
    </cfRule>
    <cfRule type="expression" dxfId="76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dimension ref="A1:G68"/>
  <sheetViews>
    <sheetView showGridLines="0" zoomScale="85" zoomScaleNormal="85" workbookViewId="0">
      <selection activeCell="A4" sqref="A4"/>
    </sheetView>
  </sheetViews>
  <sheetFormatPr defaultColWidth="10" defaultRowHeight="13.2" x14ac:dyDescent="0.25"/>
  <cols>
    <col min="1" max="1" width="31.88671875" style="27" customWidth="1"/>
    <col min="2" max="4" width="22.88671875" style="27" customWidth="1"/>
    <col min="5"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Fire_S - Consolidated Factor Spreadsheet</v>
      </c>
      <c r="B2" s="42"/>
      <c r="C2" s="42"/>
      <c r="D2" s="42"/>
      <c r="E2" s="42"/>
      <c r="F2" s="42"/>
      <c r="G2" s="42"/>
    </row>
    <row r="3" spans="1:7" ht="15.6" x14ac:dyDescent="0.3">
      <c r="A3" s="43" t="str">
        <f>TABLE_FACTOR_TYPE_1&amp;" - x-"&amp;TABLE_SERIES_NUMBER_1</f>
        <v>CETV - x-206</v>
      </c>
      <c r="B3" s="42"/>
      <c r="C3" s="42"/>
      <c r="D3" s="42"/>
      <c r="E3" s="42"/>
      <c r="F3" s="42"/>
      <c r="G3" s="42"/>
    </row>
    <row r="4" spans="1:7" x14ac:dyDescent="0.25">
      <c r="A4" s="44"/>
    </row>
    <row r="6" spans="1:7" x14ac:dyDescent="0.25">
      <c r="A6" s="75" t="s">
        <v>484</v>
      </c>
      <c r="B6" s="162" t="s">
        <v>485</v>
      </c>
      <c r="C6" s="162"/>
      <c r="D6" s="162"/>
    </row>
    <row r="7" spans="1:7" x14ac:dyDescent="0.25">
      <c r="A7" s="76" t="s">
        <v>486</v>
      </c>
      <c r="B7" s="162" t="s">
        <v>81</v>
      </c>
      <c r="C7" s="162"/>
      <c r="D7" s="162"/>
    </row>
    <row r="8" spans="1:7" x14ac:dyDescent="0.25">
      <c r="A8" s="76" t="s">
        <v>282</v>
      </c>
      <c r="B8" s="162">
        <v>2006</v>
      </c>
      <c r="C8" s="162"/>
      <c r="D8" s="162"/>
    </row>
    <row r="9" spans="1:7" x14ac:dyDescent="0.25">
      <c r="A9" s="76" t="s">
        <v>283</v>
      </c>
      <c r="B9" s="162" t="s">
        <v>292</v>
      </c>
      <c r="C9" s="162"/>
      <c r="D9" s="162"/>
    </row>
    <row r="10" spans="1:7" x14ac:dyDescent="0.25">
      <c r="A10" s="76" t="s">
        <v>6</v>
      </c>
      <c r="B10" s="162" t="s">
        <v>293</v>
      </c>
      <c r="C10" s="162"/>
      <c r="D10" s="162"/>
    </row>
    <row r="11" spans="1:7" x14ac:dyDescent="0.25">
      <c r="A11" s="76" t="s">
        <v>284</v>
      </c>
      <c r="B11" s="162" t="s">
        <v>294</v>
      </c>
      <c r="C11" s="162"/>
      <c r="D11" s="162"/>
    </row>
    <row r="12" spans="1:7" x14ac:dyDescent="0.25">
      <c r="A12" s="76" t="s">
        <v>285</v>
      </c>
      <c r="B12" s="162" t="s">
        <v>295</v>
      </c>
      <c r="C12" s="162"/>
      <c r="D12" s="162"/>
    </row>
    <row r="13" spans="1:7" x14ac:dyDescent="0.25">
      <c r="A13" s="76" t="s">
        <v>493</v>
      </c>
      <c r="B13" s="162">
        <v>1</v>
      </c>
      <c r="C13" s="162"/>
      <c r="D13" s="162"/>
    </row>
    <row r="14" spans="1:7" x14ac:dyDescent="0.25">
      <c r="A14" s="76" t="s">
        <v>287</v>
      </c>
      <c r="B14" s="162">
        <v>206</v>
      </c>
      <c r="C14" s="162"/>
      <c r="D14" s="162"/>
    </row>
    <row r="15" spans="1:7" x14ac:dyDescent="0.25">
      <c r="A15" s="76" t="s">
        <v>496</v>
      </c>
      <c r="B15" s="162" t="s">
        <v>579</v>
      </c>
      <c r="C15" s="162"/>
      <c r="D15" s="162"/>
    </row>
    <row r="16" spans="1:7" x14ac:dyDescent="0.25">
      <c r="A16" s="76" t="s">
        <v>288</v>
      </c>
      <c r="B16" s="162" t="s">
        <v>304</v>
      </c>
      <c r="C16" s="162"/>
      <c r="D16" s="162"/>
    </row>
    <row r="17" spans="1:4" ht="51" customHeight="1" x14ac:dyDescent="0.25">
      <c r="A17" s="76" t="s">
        <v>568</v>
      </c>
      <c r="B17" s="162"/>
      <c r="C17" s="162"/>
      <c r="D17" s="162"/>
    </row>
    <row r="18" spans="1:4" x14ac:dyDescent="0.25">
      <c r="A18" s="76" t="s">
        <v>500</v>
      </c>
      <c r="B18" s="164">
        <v>45070</v>
      </c>
      <c r="C18" s="162"/>
      <c r="D18" s="162"/>
    </row>
    <row r="19" spans="1:4" x14ac:dyDescent="0.25">
      <c r="A19" s="76" t="s">
        <v>290</v>
      </c>
      <c r="B19" s="164">
        <v>45014</v>
      </c>
      <c r="C19" s="162"/>
      <c r="D19" s="162"/>
    </row>
    <row r="20" spans="1:4" x14ac:dyDescent="0.25">
      <c r="A20" s="76" t="s">
        <v>291</v>
      </c>
      <c r="B20" s="162" t="s">
        <v>298</v>
      </c>
      <c r="C20" s="162"/>
      <c r="D20" s="162"/>
    </row>
    <row r="21" spans="1:4" x14ac:dyDescent="0.25">
      <c r="A21" s="150" t="s">
        <v>569</v>
      </c>
      <c r="B21" s="162" t="s">
        <v>297</v>
      </c>
      <c r="C21" s="162"/>
      <c r="D21" s="162"/>
    </row>
    <row r="23" spans="1:4" x14ac:dyDescent="0.25">
      <c r="B23" s="91" t="str">
        <f>HYPERLINK("#'Factor List'!A1","Back to Factor List")</f>
        <v>Back to Factor List</v>
      </c>
    </row>
    <row r="24" spans="1:4" x14ac:dyDescent="0.25">
      <c r="B24" s="91" t="str">
        <f>HYPERLINK("#'Assumptions'!A1","Assumptions")</f>
        <v>Assumptions</v>
      </c>
    </row>
    <row r="26" spans="1:4" ht="39.6" x14ac:dyDescent="0.25">
      <c r="A26" s="87" t="s">
        <v>570</v>
      </c>
      <c r="B26" s="87" t="s">
        <v>578</v>
      </c>
      <c r="C26" s="87" t="s">
        <v>572</v>
      </c>
      <c r="D26" s="87" t="s">
        <v>573</v>
      </c>
    </row>
    <row r="27" spans="1:4" x14ac:dyDescent="0.25">
      <c r="A27" s="88">
        <v>18</v>
      </c>
      <c r="B27" s="89">
        <v>10.48</v>
      </c>
      <c r="C27" s="89">
        <v>2.64</v>
      </c>
      <c r="D27" s="89">
        <v>0</v>
      </c>
    </row>
    <row r="28" spans="1:4" x14ac:dyDescent="0.25">
      <c r="A28" s="88">
        <v>19</v>
      </c>
      <c r="B28" s="89">
        <v>10.63</v>
      </c>
      <c r="C28" s="89">
        <v>2.76</v>
      </c>
      <c r="D28" s="89">
        <v>0</v>
      </c>
    </row>
    <row r="29" spans="1:4" x14ac:dyDescent="0.25">
      <c r="A29" s="88">
        <v>20</v>
      </c>
      <c r="B29" s="89">
        <v>10.78</v>
      </c>
      <c r="C29" s="89">
        <v>2.81</v>
      </c>
      <c r="D29" s="89">
        <v>0</v>
      </c>
    </row>
    <row r="30" spans="1:4" x14ac:dyDescent="0.25">
      <c r="A30" s="88">
        <v>21</v>
      </c>
      <c r="B30" s="89">
        <v>10.94</v>
      </c>
      <c r="C30" s="89">
        <v>2.86</v>
      </c>
      <c r="D30" s="89">
        <v>0</v>
      </c>
    </row>
    <row r="31" spans="1:4" x14ac:dyDescent="0.25">
      <c r="A31" s="88">
        <v>22</v>
      </c>
      <c r="B31" s="89">
        <v>11.09</v>
      </c>
      <c r="C31" s="89">
        <v>2.9</v>
      </c>
      <c r="D31" s="89">
        <v>0</v>
      </c>
    </row>
    <row r="32" spans="1:4" x14ac:dyDescent="0.25">
      <c r="A32" s="88">
        <v>23</v>
      </c>
      <c r="B32" s="89">
        <v>11.25</v>
      </c>
      <c r="C32" s="89">
        <v>2.95</v>
      </c>
      <c r="D32" s="89">
        <v>0</v>
      </c>
    </row>
    <row r="33" spans="1:4" x14ac:dyDescent="0.25">
      <c r="A33" s="88">
        <v>24</v>
      </c>
      <c r="B33" s="89">
        <v>11.41</v>
      </c>
      <c r="C33" s="89">
        <v>2.99</v>
      </c>
      <c r="D33" s="89">
        <v>0</v>
      </c>
    </row>
    <row r="34" spans="1:4" x14ac:dyDescent="0.25">
      <c r="A34" s="88">
        <v>25</v>
      </c>
      <c r="B34" s="89">
        <v>11.58</v>
      </c>
      <c r="C34" s="89">
        <v>3.04</v>
      </c>
      <c r="D34" s="89">
        <v>0</v>
      </c>
    </row>
    <row r="35" spans="1:4" x14ac:dyDescent="0.25">
      <c r="A35" s="88">
        <v>26</v>
      </c>
      <c r="B35" s="89">
        <v>11.74</v>
      </c>
      <c r="C35" s="89">
        <v>3.09</v>
      </c>
      <c r="D35" s="89">
        <v>0</v>
      </c>
    </row>
    <row r="36" spans="1:4" x14ac:dyDescent="0.25">
      <c r="A36" s="88">
        <v>27</v>
      </c>
      <c r="B36" s="89">
        <v>11.91</v>
      </c>
      <c r="C36" s="89">
        <v>3.13</v>
      </c>
      <c r="D36" s="89">
        <v>0</v>
      </c>
    </row>
    <row r="37" spans="1:4" x14ac:dyDescent="0.25">
      <c r="A37" s="88">
        <v>28</v>
      </c>
      <c r="B37" s="89">
        <v>12.08</v>
      </c>
      <c r="C37" s="89">
        <v>3.18</v>
      </c>
      <c r="D37" s="89">
        <v>0</v>
      </c>
    </row>
    <row r="38" spans="1:4" x14ac:dyDescent="0.25">
      <c r="A38" s="88">
        <v>29</v>
      </c>
      <c r="B38" s="89">
        <v>12.26</v>
      </c>
      <c r="C38" s="89">
        <v>3.23</v>
      </c>
      <c r="D38" s="89">
        <v>0</v>
      </c>
    </row>
    <row r="39" spans="1:4" x14ac:dyDescent="0.25">
      <c r="A39" s="88">
        <v>30</v>
      </c>
      <c r="B39" s="89">
        <v>12.44</v>
      </c>
      <c r="C39" s="89">
        <v>3.27</v>
      </c>
      <c r="D39" s="89">
        <v>0</v>
      </c>
    </row>
    <row r="40" spans="1:4" x14ac:dyDescent="0.25">
      <c r="A40" s="88">
        <v>31</v>
      </c>
      <c r="B40" s="89">
        <v>12.62</v>
      </c>
      <c r="C40" s="89">
        <v>3.32</v>
      </c>
      <c r="D40" s="89">
        <v>0</v>
      </c>
    </row>
    <row r="41" spans="1:4" x14ac:dyDescent="0.25">
      <c r="A41" s="88">
        <v>32</v>
      </c>
      <c r="B41" s="89">
        <v>12.8</v>
      </c>
      <c r="C41" s="89">
        <v>3.36</v>
      </c>
      <c r="D41" s="89">
        <v>0</v>
      </c>
    </row>
    <row r="42" spans="1:4" x14ac:dyDescent="0.25">
      <c r="A42" s="88">
        <v>33</v>
      </c>
      <c r="B42" s="89">
        <v>12.99</v>
      </c>
      <c r="C42" s="89">
        <v>3.41</v>
      </c>
      <c r="D42" s="89">
        <v>0</v>
      </c>
    </row>
    <row r="43" spans="1:4" x14ac:dyDescent="0.25">
      <c r="A43" s="88">
        <v>34</v>
      </c>
      <c r="B43" s="89">
        <v>13.18</v>
      </c>
      <c r="C43" s="89">
        <v>3.45</v>
      </c>
      <c r="D43" s="89">
        <v>0</v>
      </c>
    </row>
    <row r="44" spans="1:4" x14ac:dyDescent="0.25">
      <c r="A44" s="88">
        <v>35</v>
      </c>
      <c r="B44" s="89">
        <v>13.38</v>
      </c>
      <c r="C44" s="89">
        <v>3.49</v>
      </c>
      <c r="D44" s="89">
        <v>0</v>
      </c>
    </row>
    <row r="45" spans="1:4" x14ac:dyDescent="0.25">
      <c r="A45" s="88">
        <v>36</v>
      </c>
      <c r="B45" s="89">
        <v>13.58</v>
      </c>
      <c r="C45" s="89">
        <v>3.54</v>
      </c>
      <c r="D45" s="89">
        <v>0</v>
      </c>
    </row>
    <row r="46" spans="1:4" x14ac:dyDescent="0.25">
      <c r="A46" s="88">
        <v>37</v>
      </c>
      <c r="B46" s="89">
        <v>13.78</v>
      </c>
      <c r="C46" s="89">
        <v>3.58</v>
      </c>
      <c r="D46" s="89">
        <v>0</v>
      </c>
    </row>
    <row r="47" spans="1:4" x14ac:dyDescent="0.25">
      <c r="A47" s="88">
        <v>38</v>
      </c>
      <c r="B47" s="89">
        <v>13.99</v>
      </c>
      <c r="C47" s="89">
        <v>3.62</v>
      </c>
      <c r="D47" s="89">
        <v>0</v>
      </c>
    </row>
    <row r="48" spans="1:4" x14ac:dyDescent="0.25">
      <c r="A48" s="88">
        <v>39</v>
      </c>
      <c r="B48" s="89">
        <v>14.2</v>
      </c>
      <c r="C48" s="89">
        <v>3.66</v>
      </c>
      <c r="D48" s="89">
        <v>0</v>
      </c>
    </row>
    <row r="49" spans="1:4" x14ac:dyDescent="0.25">
      <c r="A49" s="88">
        <v>40</v>
      </c>
      <c r="B49" s="89">
        <v>14.41</v>
      </c>
      <c r="C49" s="89">
        <v>3.7</v>
      </c>
      <c r="D49" s="89">
        <v>0</v>
      </c>
    </row>
    <row r="50" spans="1:4" x14ac:dyDescent="0.25">
      <c r="A50" s="88">
        <v>41</v>
      </c>
      <c r="B50" s="89">
        <v>14.63</v>
      </c>
      <c r="C50" s="89">
        <v>3.74</v>
      </c>
      <c r="D50" s="89">
        <v>0</v>
      </c>
    </row>
    <row r="51" spans="1:4" x14ac:dyDescent="0.25">
      <c r="A51" s="88">
        <v>42</v>
      </c>
      <c r="B51" s="89">
        <v>14.86</v>
      </c>
      <c r="C51" s="89">
        <v>3.77</v>
      </c>
      <c r="D51" s="89">
        <v>0</v>
      </c>
    </row>
    <row r="52" spans="1:4" x14ac:dyDescent="0.25">
      <c r="A52" s="88">
        <v>43</v>
      </c>
      <c r="B52" s="89">
        <v>15.09</v>
      </c>
      <c r="C52" s="89">
        <v>3.81</v>
      </c>
      <c r="D52" s="89">
        <v>0</v>
      </c>
    </row>
    <row r="53" spans="1:4" x14ac:dyDescent="0.25">
      <c r="A53" s="88">
        <v>44</v>
      </c>
      <c r="B53" s="89">
        <v>15.32</v>
      </c>
      <c r="C53" s="89">
        <v>3.84</v>
      </c>
      <c r="D53" s="89">
        <v>0</v>
      </c>
    </row>
    <row r="54" spans="1:4" x14ac:dyDescent="0.25">
      <c r="A54" s="88">
        <v>45</v>
      </c>
      <c r="B54" s="89">
        <v>15.56</v>
      </c>
      <c r="C54" s="89">
        <v>3.88</v>
      </c>
      <c r="D54" s="89">
        <v>0</v>
      </c>
    </row>
    <row r="55" spans="1:4" x14ac:dyDescent="0.25">
      <c r="A55" s="88">
        <v>46</v>
      </c>
      <c r="B55" s="89">
        <v>15.81</v>
      </c>
      <c r="C55" s="89">
        <v>3.91</v>
      </c>
      <c r="D55" s="89">
        <v>0</v>
      </c>
    </row>
    <row r="56" spans="1:4" x14ac:dyDescent="0.25">
      <c r="A56" s="88">
        <v>47</v>
      </c>
      <c r="B56" s="89">
        <v>16.059999999999999</v>
      </c>
      <c r="C56" s="89">
        <v>3.93</v>
      </c>
      <c r="D56" s="89">
        <v>0</v>
      </c>
    </row>
    <row r="57" spans="1:4" x14ac:dyDescent="0.25">
      <c r="A57" s="88">
        <v>48</v>
      </c>
      <c r="B57" s="89">
        <v>16.32</v>
      </c>
      <c r="C57" s="89">
        <v>3.96</v>
      </c>
      <c r="D57" s="89">
        <v>0</v>
      </c>
    </row>
    <row r="58" spans="1:4" x14ac:dyDescent="0.25">
      <c r="A58" s="88">
        <v>49</v>
      </c>
      <c r="B58" s="89">
        <v>16.59</v>
      </c>
      <c r="C58" s="89">
        <v>3.99</v>
      </c>
      <c r="D58" s="89">
        <v>0</v>
      </c>
    </row>
    <row r="59" spans="1:4" x14ac:dyDescent="0.25">
      <c r="A59" s="88">
        <v>50</v>
      </c>
      <c r="B59" s="89">
        <v>16.87</v>
      </c>
      <c r="C59" s="89">
        <v>4.01</v>
      </c>
      <c r="D59" s="89">
        <v>0</v>
      </c>
    </row>
    <row r="60" spans="1:4" x14ac:dyDescent="0.25">
      <c r="A60" s="88">
        <v>51</v>
      </c>
      <c r="B60" s="89">
        <v>17.149999999999999</v>
      </c>
      <c r="C60" s="89">
        <v>4.03</v>
      </c>
      <c r="D60" s="89">
        <v>0</v>
      </c>
    </row>
    <row r="61" spans="1:4" x14ac:dyDescent="0.25">
      <c r="A61" s="88">
        <v>52</v>
      </c>
      <c r="B61" s="89">
        <v>17.440000000000001</v>
      </c>
      <c r="C61" s="89">
        <v>4.05</v>
      </c>
      <c r="D61" s="89">
        <v>0</v>
      </c>
    </row>
    <row r="62" spans="1:4" x14ac:dyDescent="0.25">
      <c r="A62" s="88">
        <v>53</v>
      </c>
      <c r="B62" s="89">
        <v>17.739999999999998</v>
      </c>
      <c r="C62" s="89">
        <v>4.07</v>
      </c>
      <c r="D62" s="89">
        <v>0</v>
      </c>
    </row>
    <row r="63" spans="1:4" x14ac:dyDescent="0.25">
      <c r="A63" s="88">
        <v>54</v>
      </c>
      <c r="B63" s="89">
        <v>18.05</v>
      </c>
      <c r="C63" s="89">
        <v>4.08</v>
      </c>
      <c r="D63" s="89">
        <v>0</v>
      </c>
    </row>
    <row r="64" spans="1:4" x14ac:dyDescent="0.25">
      <c r="A64" s="88">
        <v>55</v>
      </c>
      <c r="B64" s="89">
        <v>18.37</v>
      </c>
      <c r="C64" s="89">
        <v>4.0999999999999996</v>
      </c>
      <c r="D64" s="89">
        <v>0</v>
      </c>
    </row>
    <row r="65" spans="1:4" x14ac:dyDescent="0.25">
      <c r="A65" s="88">
        <v>56</v>
      </c>
      <c r="B65" s="89">
        <v>18.7</v>
      </c>
      <c r="C65" s="89">
        <v>4.1100000000000003</v>
      </c>
      <c r="D65" s="89">
        <v>0</v>
      </c>
    </row>
    <row r="66" spans="1:4" x14ac:dyDescent="0.25">
      <c r="A66" s="88">
        <v>57</v>
      </c>
      <c r="B66" s="89">
        <v>19.04</v>
      </c>
      <c r="C66" s="89">
        <v>4.12</v>
      </c>
      <c r="D66" s="89">
        <v>0</v>
      </c>
    </row>
    <row r="67" spans="1:4" x14ac:dyDescent="0.25">
      <c r="A67" s="88">
        <v>58</v>
      </c>
      <c r="B67" s="89">
        <v>19.399999999999999</v>
      </c>
      <c r="C67" s="89">
        <v>4.12</v>
      </c>
      <c r="D67" s="89">
        <v>0</v>
      </c>
    </row>
    <row r="68" spans="1:4" x14ac:dyDescent="0.25">
      <c r="A68" s="88">
        <v>59</v>
      </c>
      <c r="B68" s="89">
        <v>19.77</v>
      </c>
      <c r="C68" s="89">
        <v>4.12</v>
      </c>
      <c r="D68" s="89">
        <v>0</v>
      </c>
    </row>
  </sheetData>
  <sheetProtection algorithmName="SHA-512" hashValue="N1/cc27L16Tk35tk0hJhMPJinUgxvCG0Xl/UMGhPGmnx0syZXuN/unwbjJdTJKpgvLA7a2/qo4+u2eqYZ0eSnQ==" saltValue="utk1pWacj/pJt9CJNs5Edw==" spinCount="100000" sheet="1" objects="1" scenarios="1"/>
  <conditionalFormatting sqref="A6:A21">
    <cfRule type="expression" dxfId="761" priority="3" stopIfTrue="1">
      <formula>MOD(ROW(),2)=0</formula>
    </cfRule>
    <cfRule type="expression" dxfId="760" priority="4" stopIfTrue="1">
      <formula>MOD(ROW(),2)&lt;&gt;0</formula>
    </cfRule>
  </conditionalFormatting>
  <conditionalFormatting sqref="A26:A68">
    <cfRule type="expression" dxfId="759" priority="13" stopIfTrue="1">
      <formula>MOD(ROW(),2)=0</formula>
    </cfRule>
    <cfRule type="expression" dxfId="758" priority="14" stopIfTrue="1">
      <formula>MOD(ROW(),2)&lt;&gt;0</formula>
    </cfRule>
  </conditionalFormatting>
  <conditionalFormatting sqref="B18:B21">
    <cfRule type="expression" dxfId="757" priority="1" stopIfTrue="1">
      <formula>MOD(ROW(),2)=0</formula>
    </cfRule>
    <cfRule type="expression" dxfId="756" priority="2" stopIfTrue="1">
      <formula>MOD(ROW(),2)&lt;&gt;0</formula>
    </cfRule>
  </conditionalFormatting>
  <conditionalFormatting sqref="B6:D21">
    <cfRule type="expression" dxfId="755" priority="23" stopIfTrue="1">
      <formula>MOD(ROW(),2)=0</formula>
    </cfRule>
    <cfRule type="expression" dxfId="754" priority="24" stopIfTrue="1">
      <formula>MOD(ROW(),2)&lt;&gt;0</formula>
    </cfRule>
  </conditionalFormatting>
  <conditionalFormatting sqref="B26:D68">
    <cfRule type="expression" dxfId="753" priority="15" stopIfTrue="1">
      <formula>MOD(ROW(),2)=0</formula>
    </cfRule>
    <cfRule type="expression" dxfId="752" priority="16" stopIfTrue="1">
      <formula>MOD(ROW(),2)&lt;&gt;0</formula>
    </cfRule>
  </conditionalFormatting>
  <conditionalFormatting sqref="C17:D17">
    <cfRule type="expression" dxfId="751" priority="9" stopIfTrue="1">
      <formula>MOD(ROW(),2)=0</formula>
    </cfRule>
    <cfRule type="expression" dxfId="750"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dimension ref="A1:G68"/>
  <sheetViews>
    <sheetView showGridLines="0" zoomScale="85" zoomScaleNormal="85" workbookViewId="0">
      <selection activeCell="A4" sqref="A4"/>
    </sheetView>
  </sheetViews>
  <sheetFormatPr defaultColWidth="10" defaultRowHeight="13.2" x14ac:dyDescent="0.25"/>
  <cols>
    <col min="1" max="1" width="31.88671875" style="27" customWidth="1"/>
    <col min="2" max="4" width="22.88671875" style="27" customWidth="1"/>
    <col min="5"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Fire_S - Consolidated Factor Spreadsheet</v>
      </c>
      <c r="B2" s="42"/>
      <c r="C2" s="42"/>
      <c r="D2" s="42"/>
      <c r="E2" s="42"/>
      <c r="F2" s="42"/>
      <c r="G2" s="42"/>
    </row>
    <row r="3" spans="1:7" ht="15.6" x14ac:dyDescent="0.3">
      <c r="A3" s="43" t="str">
        <f>TABLE_FACTOR_TYPE_1&amp;" - x-"&amp;TABLE_SERIES_NUMBER_1</f>
        <v>CETV - x-207</v>
      </c>
      <c r="B3" s="42"/>
      <c r="C3" s="42"/>
      <c r="D3" s="42"/>
      <c r="E3" s="42"/>
      <c r="F3" s="42"/>
      <c r="G3" s="42"/>
    </row>
    <row r="4" spans="1:7" x14ac:dyDescent="0.25">
      <c r="A4" s="44"/>
    </row>
    <row r="6" spans="1:7" x14ac:dyDescent="0.25">
      <c r="A6" s="75" t="s">
        <v>484</v>
      </c>
      <c r="B6" s="162" t="s">
        <v>485</v>
      </c>
      <c r="C6" s="162"/>
      <c r="D6" s="162"/>
    </row>
    <row r="7" spans="1:7" x14ac:dyDescent="0.25">
      <c r="A7" s="76" t="s">
        <v>486</v>
      </c>
      <c r="B7" s="162" t="s">
        <v>81</v>
      </c>
      <c r="C7" s="162"/>
      <c r="D7" s="162"/>
    </row>
    <row r="8" spans="1:7" x14ac:dyDescent="0.25">
      <c r="A8" s="76" t="s">
        <v>282</v>
      </c>
      <c r="B8" s="162">
        <v>2006</v>
      </c>
      <c r="C8" s="162"/>
      <c r="D8" s="162"/>
    </row>
    <row r="9" spans="1:7" x14ac:dyDescent="0.25">
      <c r="A9" s="76" t="s">
        <v>283</v>
      </c>
      <c r="B9" s="162" t="s">
        <v>292</v>
      </c>
      <c r="C9" s="162"/>
      <c r="D9" s="162"/>
    </row>
    <row r="10" spans="1:7" x14ac:dyDescent="0.25">
      <c r="A10" s="76" t="s">
        <v>6</v>
      </c>
      <c r="B10" s="162" t="s">
        <v>293</v>
      </c>
      <c r="C10" s="162"/>
      <c r="D10" s="162"/>
    </row>
    <row r="11" spans="1:7" x14ac:dyDescent="0.25">
      <c r="A11" s="76" t="s">
        <v>284</v>
      </c>
      <c r="B11" s="162" t="s">
        <v>299</v>
      </c>
      <c r="C11" s="162"/>
      <c r="D11" s="162"/>
    </row>
    <row r="12" spans="1:7" x14ac:dyDescent="0.25">
      <c r="A12" s="76" t="s">
        <v>285</v>
      </c>
      <c r="B12" s="162" t="s">
        <v>295</v>
      </c>
      <c r="C12" s="162"/>
      <c r="D12" s="162"/>
    </row>
    <row r="13" spans="1:7" x14ac:dyDescent="0.25">
      <c r="A13" s="76" t="s">
        <v>493</v>
      </c>
      <c r="B13" s="162">
        <v>1</v>
      </c>
      <c r="C13" s="162"/>
      <c r="D13" s="162"/>
    </row>
    <row r="14" spans="1:7" x14ac:dyDescent="0.25">
      <c r="A14" s="76" t="s">
        <v>287</v>
      </c>
      <c r="B14" s="162">
        <v>207</v>
      </c>
      <c r="C14" s="162"/>
      <c r="D14" s="162"/>
    </row>
    <row r="15" spans="1:7" x14ac:dyDescent="0.25">
      <c r="A15" s="76" t="s">
        <v>496</v>
      </c>
      <c r="B15" s="162" t="s">
        <v>580</v>
      </c>
      <c r="C15" s="162"/>
      <c r="D15" s="162"/>
    </row>
    <row r="16" spans="1:7" x14ac:dyDescent="0.25">
      <c r="A16" s="76" t="s">
        <v>288</v>
      </c>
      <c r="B16" s="162" t="s">
        <v>305</v>
      </c>
      <c r="C16" s="162"/>
      <c r="D16" s="162"/>
    </row>
    <row r="17" spans="1:4" ht="51" customHeight="1" x14ac:dyDescent="0.25">
      <c r="A17" s="76" t="s">
        <v>568</v>
      </c>
      <c r="B17" s="162"/>
      <c r="C17" s="162"/>
      <c r="D17" s="162"/>
    </row>
    <row r="18" spans="1:4" x14ac:dyDescent="0.25">
      <c r="A18" s="76" t="s">
        <v>500</v>
      </c>
      <c r="B18" s="164">
        <v>45070</v>
      </c>
      <c r="C18" s="162"/>
      <c r="D18" s="162"/>
    </row>
    <row r="19" spans="1:4" x14ac:dyDescent="0.25">
      <c r="A19" s="76" t="s">
        <v>290</v>
      </c>
      <c r="B19" s="164">
        <v>45014</v>
      </c>
      <c r="C19" s="162"/>
      <c r="D19" s="162"/>
    </row>
    <row r="20" spans="1:4" x14ac:dyDescent="0.25">
      <c r="A20" s="76" t="s">
        <v>291</v>
      </c>
      <c r="B20" s="162" t="s">
        <v>298</v>
      </c>
      <c r="C20" s="162"/>
      <c r="D20" s="162"/>
    </row>
    <row r="21" spans="1:4" x14ac:dyDescent="0.25">
      <c r="A21" s="150" t="s">
        <v>569</v>
      </c>
      <c r="B21" s="162" t="s">
        <v>297</v>
      </c>
      <c r="C21" s="162"/>
      <c r="D21" s="162"/>
    </row>
    <row r="23" spans="1:4" x14ac:dyDescent="0.25">
      <c r="B23" s="91" t="str">
        <f>HYPERLINK("#'Factor List'!A1","Back to Factor List")</f>
        <v>Back to Factor List</v>
      </c>
    </row>
    <row r="24" spans="1:4" x14ac:dyDescent="0.25">
      <c r="B24" s="91" t="str">
        <f>HYPERLINK("#'Assumptions'!A1","Assumptions")</f>
        <v>Assumptions</v>
      </c>
    </row>
    <row r="26" spans="1:4" ht="39.6" x14ac:dyDescent="0.25">
      <c r="A26" s="87" t="s">
        <v>570</v>
      </c>
      <c r="B26" s="87" t="s">
        <v>578</v>
      </c>
      <c r="C26" s="87" t="s">
        <v>572</v>
      </c>
      <c r="D26" s="87" t="s">
        <v>573</v>
      </c>
    </row>
    <row r="27" spans="1:4" x14ac:dyDescent="0.25">
      <c r="A27" s="88">
        <v>18</v>
      </c>
      <c r="B27" s="89">
        <v>10.48</v>
      </c>
      <c r="C27" s="89">
        <v>2.64</v>
      </c>
      <c r="D27" s="89">
        <v>0</v>
      </c>
    </row>
    <row r="28" spans="1:4" x14ac:dyDescent="0.25">
      <c r="A28" s="88">
        <v>19</v>
      </c>
      <c r="B28" s="89">
        <v>10.63</v>
      </c>
      <c r="C28" s="89">
        <v>2.76</v>
      </c>
      <c r="D28" s="89">
        <v>0</v>
      </c>
    </row>
    <row r="29" spans="1:4" x14ac:dyDescent="0.25">
      <c r="A29" s="88">
        <v>20</v>
      </c>
      <c r="B29" s="89">
        <v>10.78</v>
      </c>
      <c r="C29" s="89">
        <v>2.81</v>
      </c>
      <c r="D29" s="89">
        <v>0</v>
      </c>
    </row>
    <row r="30" spans="1:4" x14ac:dyDescent="0.25">
      <c r="A30" s="88">
        <v>21</v>
      </c>
      <c r="B30" s="89">
        <v>10.94</v>
      </c>
      <c r="C30" s="89">
        <v>2.86</v>
      </c>
      <c r="D30" s="89">
        <v>0</v>
      </c>
    </row>
    <row r="31" spans="1:4" x14ac:dyDescent="0.25">
      <c r="A31" s="88">
        <v>22</v>
      </c>
      <c r="B31" s="89">
        <v>11.09</v>
      </c>
      <c r="C31" s="89">
        <v>2.9</v>
      </c>
      <c r="D31" s="89">
        <v>0</v>
      </c>
    </row>
    <row r="32" spans="1:4" x14ac:dyDescent="0.25">
      <c r="A32" s="88">
        <v>23</v>
      </c>
      <c r="B32" s="89">
        <v>11.25</v>
      </c>
      <c r="C32" s="89">
        <v>2.95</v>
      </c>
      <c r="D32" s="89">
        <v>0</v>
      </c>
    </row>
    <row r="33" spans="1:4" x14ac:dyDescent="0.25">
      <c r="A33" s="88">
        <v>24</v>
      </c>
      <c r="B33" s="89">
        <v>11.41</v>
      </c>
      <c r="C33" s="89">
        <v>2.99</v>
      </c>
      <c r="D33" s="89">
        <v>0</v>
      </c>
    </row>
    <row r="34" spans="1:4" x14ac:dyDescent="0.25">
      <c r="A34" s="88">
        <v>25</v>
      </c>
      <c r="B34" s="89">
        <v>11.58</v>
      </c>
      <c r="C34" s="89">
        <v>3.04</v>
      </c>
      <c r="D34" s="89">
        <v>0</v>
      </c>
    </row>
    <row r="35" spans="1:4" x14ac:dyDescent="0.25">
      <c r="A35" s="88">
        <v>26</v>
      </c>
      <c r="B35" s="89">
        <v>11.74</v>
      </c>
      <c r="C35" s="89">
        <v>3.09</v>
      </c>
      <c r="D35" s="89">
        <v>0</v>
      </c>
    </row>
    <row r="36" spans="1:4" x14ac:dyDescent="0.25">
      <c r="A36" s="88">
        <v>27</v>
      </c>
      <c r="B36" s="89">
        <v>11.91</v>
      </c>
      <c r="C36" s="89">
        <v>3.13</v>
      </c>
      <c r="D36" s="89">
        <v>0</v>
      </c>
    </row>
    <row r="37" spans="1:4" x14ac:dyDescent="0.25">
      <c r="A37" s="88">
        <v>28</v>
      </c>
      <c r="B37" s="89">
        <v>12.08</v>
      </c>
      <c r="C37" s="89">
        <v>3.18</v>
      </c>
      <c r="D37" s="89">
        <v>0</v>
      </c>
    </row>
    <row r="38" spans="1:4" x14ac:dyDescent="0.25">
      <c r="A38" s="88">
        <v>29</v>
      </c>
      <c r="B38" s="89">
        <v>12.26</v>
      </c>
      <c r="C38" s="89">
        <v>3.23</v>
      </c>
      <c r="D38" s="89">
        <v>0</v>
      </c>
    </row>
    <row r="39" spans="1:4" x14ac:dyDescent="0.25">
      <c r="A39" s="88">
        <v>30</v>
      </c>
      <c r="B39" s="89">
        <v>12.44</v>
      </c>
      <c r="C39" s="89">
        <v>3.27</v>
      </c>
      <c r="D39" s="89">
        <v>0</v>
      </c>
    </row>
    <row r="40" spans="1:4" x14ac:dyDescent="0.25">
      <c r="A40" s="88">
        <v>31</v>
      </c>
      <c r="B40" s="89">
        <v>12.62</v>
      </c>
      <c r="C40" s="89">
        <v>3.32</v>
      </c>
      <c r="D40" s="89">
        <v>0</v>
      </c>
    </row>
    <row r="41" spans="1:4" x14ac:dyDescent="0.25">
      <c r="A41" s="88">
        <v>32</v>
      </c>
      <c r="B41" s="89">
        <v>12.8</v>
      </c>
      <c r="C41" s="89">
        <v>3.36</v>
      </c>
      <c r="D41" s="89">
        <v>0</v>
      </c>
    </row>
    <row r="42" spans="1:4" x14ac:dyDescent="0.25">
      <c r="A42" s="88">
        <v>33</v>
      </c>
      <c r="B42" s="89">
        <v>12.99</v>
      </c>
      <c r="C42" s="89">
        <v>3.41</v>
      </c>
      <c r="D42" s="89">
        <v>0</v>
      </c>
    </row>
    <row r="43" spans="1:4" x14ac:dyDescent="0.25">
      <c r="A43" s="88">
        <v>34</v>
      </c>
      <c r="B43" s="89">
        <v>13.18</v>
      </c>
      <c r="C43" s="89">
        <v>3.45</v>
      </c>
      <c r="D43" s="89">
        <v>0</v>
      </c>
    </row>
    <row r="44" spans="1:4" x14ac:dyDescent="0.25">
      <c r="A44" s="88">
        <v>35</v>
      </c>
      <c r="B44" s="89">
        <v>13.38</v>
      </c>
      <c r="C44" s="89">
        <v>3.49</v>
      </c>
      <c r="D44" s="89">
        <v>0</v>
      </c>
    </row>
    <row r="45" spans="1:4" x14ac:dyDescent="0.25">
      <c r="A45" s="88">
        <v>36</v>
      </c>
      <c r="B45" s="89">
        <v>13.58</v>
      </c>
      <c r="C45" s="89">
        <v>3.54</v>
      </c>
      <c r="D45" s="89">
        <v>0</v>
      </c>
    </row>
    <row r="46" spans="1:4" x14ac:dyDescent="0.25">
      <c r="A46" s="88">
        <v>37</v>
      </c>
      <c r="B46" s="89">
        <v>13.78</v>
      </c>
      <c r="C46" s="89">
        <v>3.58</v>
      </c>
      <c r="D46" s="89">
        <v>0</v>
      </c>
    </row>
    <row r="47" spans="1:4" x14ac:dyDescent="0.25">
      <c r="A47" s="88">
        <v>38</v>
      </c>
      <c r="B47" s="89">
        <v>13.99</v>
      </c>
      <c r="C47" s="89">
        <v>3.62</v>
      </c>
      <c r="D47" s="89">
        <v>0</v>
      </c>
    </row>
    <row r="48" spans="1:4" x14ac:dyDescent="0.25">
      <c r="A48" s="88">
        <v>39</v>
      </c>
      <c r="B48" s="89">
        <v>14.2</v>
      </c>
      <c r="C48" s="89">
        <v>3.66</v>
      </c>
      <c r="D48" s="89">
        <v>0</v>
      </c>
    </row>
    <row r="49" spans="1:4" x14ac:dyDescent="0.25">
      <c r="A49" s="88">
        <v>40</v>
      </c>
      <c r="B49" s="89">
        <v>14.41</v>
      </c>
      <c r="C49" s="89">
        <v>3.7</v>
      </c>
      <c r="D49" s="89">
        <v>0</v>
      </c>
    </row>
    <row r="50" spans="1:4" x14ac:dyDescent="0.25">
      <c r="A50" s="88">
        <v>41</v>
      </c>
      <c r="B50" s="89">
        <v>14.63</v>
      </c>
      <c r="C50" s="89">
        <v>3.74</v>
      </c>
      <c r="D50" s="89">
        <v>0</v>
      </c>
    </row>
    <row r="51" spans="1:4" x14ac:dyDescent="0.25">
      <c r="A51" s="88">
        <v>42</v>
      </c>
      <c r="B51" s="89">
        <v>14.86</v>
      </c>
      <c r="C51" s="89">
        <v>3.77</v>
      </c>
      <c r="D51" s="89">
        <v>0</v>
      </c>
    </row>
    <row r="52" spans="1:4" x14ac:dyDescent="0.25">
      <c r="A52" s="88">
        <v>43</v>
      </c>
      <c r="B52" s="89">
        <v>15.09</v>
      </c>
      <c r="C52" s="89">
        <v>3.81</v>
      </c>
      <c r="D52" s="89">
        <v>0</v>
      </c>
    </row>
    <row r="53" spans="1:4" x14ac:dyDescent="0.25">
      <c r="A53" s="88">
        <v>44</v>
      </c>
      <c r="B53" s="89">
        <v>15.32</v>
      </c>
      <c r="C53" s="89">
        <v>3.84</v>
      </c>
      <c r="D53" s="89">
        <v>0</v>
      </c>
    </row>
    <row r="54" spans="1:4" x14ac:dyDescent="0.25">
      <c r="A54" s="88">
        <v>45</v>
      </c>
      <c r="B54" s="89">
        <v>15.56</v>
      </c>
      <c r="C54" s="89">
        <v>3.88</v>
      </c>
      <c r="D54" s="89">
        <v>0</v>
      </c>
    </row>
    <row r="55" spans="1:4" x14ac:dyDescent="0.25">
      <c r="A55" s="88">
        <v>46</v>
      </c>
      <c r="B55" s="89">
        <v>15.81</v>
      </c>
      <c r="C55" s="89">
        <v>3.91</v>
      </c>
      <c r="D55" s="89">
        <v>0</v>
      </c>
    </row>
    <row r="56" spans="1:4" x14ac:dyDescent="0.25">
      <c r="A56" s="88">
        <v>47</v>
      </c>
      <c r="B56" s="89">
        <v>16.059999999999999</v>
      </c>
      <c r="C56" s="89">
        <v>3.93</v>
      </c>
      <c r="D56" s="89">
        <v>0</v>
      </c>
    </row>
    <row r="57" spans="1:4" x14ac:dyDescent="0.25">
      <c r="A57" s="88">
        <v>48</v>
      </c>
      <c r="B57" s="89">
        <v>16.32</v>
      </c>
      <c r="C57" s="89">
        <v>3.96</v>
      </c>
      <c r="D57" s="89">
        <v>0</v>
      </c>
    </row>
    <row r="58" spans="1:4" x14ac:dyDescent="0.25">
      <c r="A58" s="88">
        <v>49</v>
      </c>
      <c r="B58" s="89">
        <v>16.59</v>
      </c>
      <c r="C58" s="89">
        <v>3.99</v>
      </c>
      <c r="D58" s="89">
        <v>0</v>
      </c>
    </row>
    <row r="59" spans="1:4" x14ac:dyDescent="0.25">
      <c r="A59" s="88">
        <v>50</v>
      </c>
      <c r="B59" s="89">
        <v>16.87</v>
      </c>
      <c r="C59" s="89">
        <v>4.01</v>
      </c>
      <c r="D59" s="89">
        <v>0</v>
      </c>
    </row>
    <row r="60" spans="1:4" x14ac:dyDescent="0.25">
      <c r="A60" s="88">
        <v>51</v>
      </c>
      <c r="B60" s="89">
        <v>17.149999999999999</v>
      </c>
      <c r="C60" s="89">
        <v>4.03</v>
      </c>
      <c r="D60" s="89">
        <v>0</v>
      </c>
    </row>
    <row r="61" spans="1:4" x14ac:dyDescent="0.25">
      <c r="A61" s="88">
        <v>52</v>
      </c>
      <c r="B61" s="89">
        <v>17.440000000000001</v>
      </c>
      <c r="C61" s="89">
        <v>4.05</v>
      </c>
      <c r="D61" s="89">
        <v>0</v>
      </c>
    </row>
    <row r="62" spans="1:4" x14ac:dyDescent="0.25">
      <c r="A62" s="88">
        <v>53</v>
      </c>
      <c r="B62" s="89">
        <v>17.739999999999998</v>
      </c>
      <c r="C62" s="89">
        <v>4.07</v>
      </c>
      <c r="D62" s="89">
        <v>0</v>
      </c>
    </row>
    <row r="63" spans="1:4" x14ac:dyDescent="0.25">
      <c r="A63" s="88">
        <v>54</v>
      </c>
      <c r="B63" s="89">
        <v>18.05</v>
      </c>
      <c r="C63" s="89">
        <v>4.08</v>
      </c>
      <c r="D63" s="89">
        <v>0</v>
      </c>
    </row>
    <row r="64" spans="1:4" x14ac:dyDescent="0.25">
      <c r="A64" s="88">
        <v>55</v>
      </c>
      <c r="B64" s="89">
        <v>18.37</v>
      </c>
      <c r="C64" s="89">
        <v>4.0999999999999996</v>
      </c>
      <c r="D64" s="89">
        <v>0</v>
      </c>
    </row>
    <row r="65" spans="1:4" x14ac:dyDescent="0.25">
      <c r="A65" s="88">
        <v>56</v>
      </c>
      <c r="B65" s="89">
        <v>18.7</v>
      </c>
      <c r="C65" s="89">
        <v>4.1100000000000003</v>
      </c>
      <c r="D65" s="89">
        <v>0</v>
      </c>
    </row>
    <row r="66" spans="1:4" x14ac:dyDescent="0.25">
      <c r="A66" s="88">
        <v>57</v>
      </c>
      <c r="B66" s="89">
        <v>19.04</v>
      </c>
      <c r="C66" s="89">
        <v>4.12</v>
      </c>
      <c r="D66" s="89">
        <v>0</v>
      </c>
    </row>
    <row r="67" spans="1:4" x14ac:dyDescent="0.25">
      <c r="A67" s="88">
        <v>58</v>
      </c>
      <c r="B67" s="89">
        <v>19.399999999999999</v>
      </c>
      <c r="C67" s="89">
        <v>4.12</v>
      </c>
      <c r="D67" s="89">
        <v>0</v>
      </c>
    </row>
    <row r="68" spans="1:4" x14ac:dyDescent="0.25">
      <c r="A68" s="88">
        <v>59</v>
      </c>
      <c r="B68" s="89">
        <v>19.77</v>
      </c>
      <c r="C68" s="89">
        <v>4.12</v>
      </c>
      <c r="D68" s="89">
        <v>0</v>
      </c>
    </row>
  </sheetData>
  <sheetProtection algorithmName="SHA-512" hashValue="q0d6rUaHHqI71B9NzS0dnNoYhx3HGWE10TTU2+4KUAsW6G9X9MTQYgrW5y6eD5u7kFLfHVCBO4QllotKAMlchA==" saltValue="DFgaDXNvKQP0+mz5Ude3jw==" spinCount="100000" sheet="1" objects="1" scenarios="1"/>
  <conditionalFormatting sqref="A6:A21">
    <cfRule type="expression" dxfId="749" priority="3" stopIfTrue="1">
      <formula>MOD(ROW(),2)=0</formula>
    </cfRule>
    <cfRule type="expression" dxfId="748" priority="4" stopIfTrue="1">
      <formula>MOD(ROW(),2)&lt;&gt;0</formula>
    </cfRule>
  </conditionalFormatting>
  <conditionalFormatting sqref="A26:A68">
    <cfRule type="expression" dxfId="747" priority="13" stopIfTrue="1">
      <formula>MOD(ROW(),2)=0</formula>
    </cfRule>
    <cfRule type="expression" dxfId="746" priority="14" stopIfTrue="1">
      <formula>MOD(ROW(),2)&lt;&gt;0</formula>
    </cfRule>
  </conditionalFormatting>
  <conditionalFormatting sqref="B18:B21">
    <cfRule type="expression" dxfId="745" priority="1" stopIfTrue="1">
      <formula>MOD(ROW(),2)=0</formula>
    </cfRule>
    <cfRule type="expression" dxfId="744" priority="2" stopIfTrue="1">
      <formula>MOD(ROW(),2)&lt;&gt;0</formula>
    </cfRule>
  </conditionalFormatting>
  <conditionalFormatting sqref="B6:D21">
    <cfRule type="expression" dxfId="743" priority="23" stopIfTrue="1">
      <formula>MOD(ROW(),2)=0</formula>
    </cfRule>
    <cfRule type="expression" dxfId="742" priority="24" stopIfTrue="1">
      <formula>MOD(ROW(),2)&lt;&gt;0</formula>
    </cfRule>
  </conditionalFormatting>
  <conditionalFormatting sqref="B26:D68">
    <cfRule type="expression" dxfId="741" priority="15" stopIfTrue="1">
      <formula>MOD(ROW(),2)=0</formula>
    </cfRule>
    <cfRule type="expression" dxfId="740" priority="16" stopIfTrue="1">
      <formula>MOD(ROW(),2)&lt;&gt;0</formula>
    </cfRule>
  </conditionalFormatting>
  <conditionalFormatting sqref="C17:D17">
    <cfRule type="expression" dxfId="739" priority="9" stopIfTrue="1">
      <formula>MOD(ROW(),2)=0</formula>
    </cfRule>
    <cfRule type="expression" dxfId="738"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dimension ref="A1:G85"/>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Fire_S - Consolidated Factor Spreadsheet</v>
      </c>
      <c r="B2" s="42"/>
      <c r="C2" s="42"/>
      <c r="D2" s="42"/>
      <c r="E2" s="42"/>
      <c r="F2" s="42"/>
      <c r="G2" s="42"/>
    </row>
    <row r="3" spans="1:7" ht="15.6" x14ac:dyDescent="0.3">
      <c r="A3" s="43" t="str">
        <f>TABLE_FACTOR_TYPE_1&amp;" - x-"&amp;TABLE_SERIES_NUMBER_1</f>
        <v>CETV - x-208</v>
      </c>
      <c r="B3" s="42"/>
      <c r="C3" s="42"/>
      <c r="D3" s="42"/>
      <c r="E3" s="42"/>
      <c r="F3" s="42"/>
      <c r="G3" s="42"/>
    </row>
    <row r="4" spans="1:7" x14ac:dyDescent="0.25">
      <c r="A4" s="44"/>
    </row>
    <row r="6" spans="1:7" x14ac:dyDescent="0.25">
      <c r="A6" s="75" t="s">
        <v>484</v>
      </c>
      <c r="B6" s="162" t="s">
        <v>485</v>
      </c>
      <c r="C6" s="162"/>
    </row>
    <row r="7" spans="1:7" x14ac:dyDescent="0.25">
      <c r="A7" s="76" t="s">
        <v>486</v>
      </c>
      <c r="B7" s="162" t="s">
        <v>81</v>
      </c>
      <c r="C7" s="162"/>
    </row>
    <row r="8" spans="1:7" x14ac:dyDescent="0.25">
      <c r="A8" s="76" t="s">
        <v>282</v>
      </c>
      <c r="B8" s="162">
        <v>2015</v>
      </c>
      <c r="C8" s="162"/>
    </row>
    <row r="9" spans="1:7" x14ac:dyDescent="0.25">
      <c r="A9" s="76" t="s">
        <v>283</v>
      </c>
      <c r="B9" s="162" t="s">
        <v>292</v>
      </c>
      <c r="C9" s="162"/>
    </row>
    <row r="10" spans="1:7" x14ac:dyDescent="0.25">
      <c r="A10" s="76" t="s">
        <v>6</v>
      </c>
      <c r="B10" s="162" t="s">
        <v>306</v>
      </c>
      <c r="C10" s="162"/>
    </row>
    <row r="11" spans="1:7" x14ac:dyDescent="0.25">
      <c r="A11" s="76" t="s">
        <v>284</v>
      </c>
      <c r="B11" s="162" t="s">
        <v>294</v>
      </c>
      <c r="C11" s="162"/>
    </row>
    <row r="12" spans="1:7" x14ac:dyDescent="0.25">
      <c r="A12" s="76" t="s">
        <v>285</v>
      </c>
      <c r="B12" s="162" t="s">
        <v>295</v>
      </c>
      <c r="C12" s="162"/>
    </row>
    <row r="13" spans="1:7" x14ac:dyDescent="0.25">
      <c r="A13" s="76" t="s">
        <v>493</v>
      </c>
      <c r="B13" s="162">
        <v>0</v>
      </c>
      <c r="C13" s="162"/>
    </row>
    <row r="14" spans="1:7" x14ac:dyDescent="0.25">
      <c r="A14" s="76" t="s">
        <v>287</v>
      </c>
      <c r="B14" s="162">
        <v>208</v>
      </c>
      <c r="C14" s="162"/>
    </row>
    <row r="15" spans="1:7" x14ac:dyDescent="0.25">
      <c r="A15" s="76" t="s">
        <v>496</v>
      </c>
      <c r="B15" s="162" t="s">
        <v>581</v>
      </c>
      <c r="C15" s="162"/>
    </row>
    <row r="16" spans="1:7" x14ac:dyDescent="0.25">
      <c r="A16" s="76" t="s">
        <v>288</v>
      </c>
      <c r="B16" s="162" t="s">
        <v>307</v>
      </c>
      <c r="C16" s="162"/>
    </row>
    <row r="17" spans="1:3" ht="51" customHeight="1" x14ac:dyDescent="0.25">
      <c r="A17" s="76" t="s">
        <v>568</v>
      </c>
      <c r="B17" s="162"/>
      <c r="C17" s="162"/>
    </row>
    <row r="18" spans="1:3" x14ac:dyDescent="0.25">
      <c r="A18" s="76" t="s">
        <v>500</v>
      </c>
      <c r="B18" s="164">
        <v>45070</v>
      </c>
      <c r="C18" s="162"/>
    </row>
    <row r="19" spans="1:3" x14ac:dyDescent="0.25">
      <c r="A19" s="76" t="s">
        <v>290</v>
      </c>
      <c r="B19" s="164">
        <v>45014</v>
      </c>
      <c r="C19" s="162"/>
    </row>
    <row r="20" spans="1:3" x14ac:dyDescent="0.25">
      <c r="A20" s="76" t="s">
        <v>291</v>
      </c>
      <c r="B20" s="162" t="s">
        <v>298</v>
      </c>
      <c r="C20" s="162"/>
    </row>
    <row r="21" spans="1:3" x14ac:dyDescent="0.25">
      <c r="A21" s="150" t="s">
        <v>569</v>
      </c>
      <c r="B21" s="162" t="s">
        <v>297</v>
      </c>
      <c r="C21" s="162"/>
    </row>
    <row r="23" spans="1:3" x14ac:dyDescent="0.25">
      <c r="B23" s="91" t="str">
        <f>HYPERLINK("#'Factor List'!A1","Back to Factor List")</f>
        <v>Back to Factor List</v>
      </c>
    </row>
    <row r="24" spans="1:3" x14ac:dyDescent="0.25">
      <c r="B24" s="91" t="str">
        <f>HYPERLINK("#'Assumptions'!A1","Assumptions")</f>
        <v>Assumptions</v>
      </c>
    </row>
    <row r="26" spans="1:3" ht="39.6" x14ac:dyDescent="0.25">
      <c r="A26" s="87" t="s">
        <v>570</v>
      </c>
      <c r="B26" s="87" t="s">
        <v>578</v>
      </c>
      <c r="C26" s="87" t="s">
        <v>572</v>
      </c>
    </row>
    <row r="27" spans="1:3" x14ac:dyDescent="0.25">
      <c r="A27" s="88">
        <v>16</v>
      </c>
      <c r="B27" s="89">
        <v>8.0299999999999994</v>
      </c>
      <c r="C27" s="89">
        <v>2.31</v>
      </c>
    </row>
    <row r="28" spans="1:3" x14ac:dyDescent="0.25">
      <c r="A28" s="88">
        <v>17</v>
      </c>
      <c r="B28" s="89">
        <v>8.14</v>
      </c>
      <c r="C28" s="89">
        <v>2.5</v>
      </c>
    </row>
    <row r="29" spans="1:3" x14ac:dyDescent="0.25">
      <c r="A29" s="88">
        <v>18</v>
      </c>
      <c r="B29" s="89">
        <v>8.25</v>
      </c>
      <c r="C29" s="89">
        <v>2.69</v>
      </c>
    </row>
    <row r="30" spans="1:3" x14ac:dyDescent="0.25">
      <c r="A30" s="88">
        <v>19</v>
      </c>
      <c r="B30" s="89">
        <v>8.3699999999999992</v>
      </c>
      <c r="C30" s="89">
        <v>2.81</v>
      </c>
    </row>
    <row r="31" spans="1:3" x14ac:dyDescent="0.25">
      <c r="A31" s="88">
        <v>20</v>
      </c>
      <c r="B31" s="89">
        <v>8.48</v>
      </c>
      <c r="C31" s="89">
        <v>2.86</v>
      </c>
    </row>
    <row r="32" spans="1:3" x14ac:dyDescent="0.25">
      <c r="A32" s="88">
        <v>21</v>
      </c>
      <c r="B32" s="89">
        <v>8.6</v>
      </c>
      <c r="C32" s="89">
        <v>2.9</v>
      </c>
    </row>
    <row r="33" spans="1:3" x14ac:dyDescent="0.25">
      <c r="A33" s="88">
        <v>22</v>
      </c>
      <c r="B33" s="89">
        <v>8.7100000000000009</v>
      </c>
      <c r="C33" s="89">
        <v>2.95</v>
      </c>
    </row>
    <row r="34" spans="1:3" x14ac:dyDescent="0.25">
      <c r="A34" s="88">
        <v>23</v>
      </c>
      <c r="B34" s="89">
        <v>8.83</v>
      </c>
      <c r="C34" s="89">
        <v>3</v>
      </c>
    </row>
    <row r="35" spans="1:3" x14ac:dyDescent="0.25">
      <c r="A35" s="88">
        <v>24</v>
      </c>
      <c r="B35" s="89">
        <v>8.9600000000000009</v>
      </c>
      <c r="C35" s="89">
        <v>3.04</v>
      </c>
    </row>
    <row r="36" spans="1:3" x14ac:dyDescent="0.25">
      <c r="A36" s="88">
        <v>25</v>
      </c>
      <c r="B36" s="89">
        <v>9.08</v>
      </c>
      <c r="C36" s="89">
        <v>3.09</v>
      </c>
    </row>
    <row r="37" spans="1:3" x14ac:dyDescent="0.25">
      <c r="A37" s="88">
        <v>26</v>
      </c>
      <c r="B37" s="89">
        <v>9.1999999999999993</v>
      </c>
      <c r="C37" s="89">
        <v>3.14</v>
      </c>
    </row>
    <row r="38" spans="1:3" x14ac:dyDescent="0.25">
      <c r="A38" s="88">
        <v>27</v>
      </c>
      <c r="B38" s="89">
        <v>9.33</v>
      </c>
      <c r="C38" s="89">
        <v>3.19</v>
      </c>
    </row>
    <row r="39" spans="1:3" x14ac:dyDescent="0.25">
      <c r="A39" s="88">
        <v>28</v>
      </c>
      <c r="B39" s="89">
        <v>9.4600000000000009</v>
      </c>
      <c r="C39" s="89">
        <v>3.24</v>
      </c>
    </row>
    <row r="40" spans="1:3" x14ac:dyDescent="0.25">
      <c r="A40" s="88">
        <v>29</v>
      </c>
      <c r="B40" s="89">
        <v>9.59</v>
      </c>
      <c r="C40" s="89">
        <v>3.29</v>
      </c>
    </row>
    <row r="41" spans="1:3" x14ac:dyDescent="0.25">
      <c r="A41" s="88">
        <v>30</v>
      </c>
      <c r="B41" s="89">
        <v>9.7200000000000006</v>
      </c>
      <c r="C41" s="89">
        <v>3.33</v>
      </c>
    </row>
    <row r="42" spans="1:3" x14ac:dyDescent="0.25">
      <c r="A42" s="88">
        <v>31</v>
      </c>
      <c r="B42" s="89">
        <v>9.86</v>
      </c>
      <c r="C42" s="89">
        <v>3.38</v>
      </c>
    </row>
    <row r="43" spans="1:3" x14ac:dyDescent="0.25">
      <c r="A43" s="88">
        <v>32</v>
      </c>
      <c r="B43" s="89">
        <v>9.99</v>
      </c>
      <c r="C43" s="89">
        <v>3.43</v>
      </c>
    </row>
    <row r="44" spans="1:3" x14ac:dyDescent="0.25">
      <c r="A44" s="88">
        <v>33</v>
      </c>
      <c r="B44" s="89">
        <v>10.130000000000001</v>
      </c>
      <c r="C44" s="89">
        <v>3.47</v>
      </c>
    </row>
    <row r="45" spans="1:3" x14ac:dyDescent="0.25">
      <c r="A45" s="88">
        <v>34</v>
      </c>
      <c r="B45" s="89">
        <v>10.28</v>
      </c>
      <c r="C45" s="89">
        <v>3.52</v>
      </c>
    </row>
    <row r="46" spans="1:3" x14ac:dyDescent="0.25">
      <c r="A46" s="88">
        <v>35</v>
      </c>
      <c r="B46" s="89">
        <v>10.42</v>
      </c>
      <c r="C46" s="89">
        <v>3.56</v>
      </c>
    </row>
    <row r="47" spans="1:3" x14ac:dyDescent="0.25">
      <c r="A47" s="88">
        <v>36</v>
      </c>
      <c r="B47" s="89">
        <v>10.57</v>
      </c>
      <c r="C47" s="89">
        <v>3.61</v>
      </c>
    </row>
    <row r="48" spans="1:3" x14ac:dyDescent="0.25">
      <c r="A48" s="88">
        <v>37</v>
      </c>
      <c r="B48" s="89">
        <v>10.72</v>
      </c>
      <c r="C48" s="89">
        <v>3.65</v>
      </c>
    </row>
    <row r="49" spans="1:3" x14ac:dyDescent="0.25">
      <c r="A49" s="88">
        <v>38</v>
      </c>
      <c r="B49" s="89">
        <v>10.87</v>
      </c>
      <c r="C49" s="89">
        <v>3.69</v>
      </c>
    </row>
    <row r="50" spans="1:3" x14ac:dyDescent="0.25">
      <c r="A50" s="88">
        <v>39</v>
      </c>
      <c r="B50" s="89">
        <v>11.03</v>
      </c>
      <c r="C50" s="89">
        <v>3.74</v>
      </c>
    </row>
    <row r="51" spans="1:3" x14ac:dyDescent="0.25">
      <c r="A51" s="88">
        <v>40</v>
      </c>
      <c r="B51" s="89">
        <v>11.19</v>
      </c>
      <c r="C51" s="89">
        <v>3.78</v>
      </c>
    </row>
    <row r="52" spans="1:3" x14ac:dyDescent="0.25">
      <c r="A52" s="88">
        <v>41</v>
      </c>
      <c r="B52" s="89">
        <v>11.35</v>
      </c>
      <c r="C52" s="89">
        <v>3.82</v>
      </c>
    </row>
    <row r="53" spans="1:3" x14ac:dyDescent="0.25">
      <c r="A53" s="88">
        <v>42</v>
      </c>
      <c r="B53" s="89">
        <v>11.51</v>
      </c>
      <c r="C53" s="89">
        <v>3.86</v>
      </c>
    </row>
    <row r="54" spans="1:3" x14ac:dyDescent="0.25">
      <c r="A54" s="88">
        <v>43</v>
      </c>
      <c r="B54" s="89">
        <v>11.68</v>
      </c>
      <c r="C54" s="89">
        <v>3.89</v>
      </c>
    </row>
    <row r="55" spans="1:3" x14ac:dyDescent="0.25">
      <c r="A55" s="88">
        <v>44</v>
      </c>
      <c r="B55" s="89">
        <v>11.86</v>
      </c>
      <c r="C55" s="89">
        <v>3.93</v>
      </c>
    </row>
    <row r="56" spans="1:3" x14ac:dyDescent="0.25">
      <c r="A56" s="88">
        <v>45</v>
      </c>
      <c r="B56" s="89">
        <v>12.04</v>
      </c>
      <c r="C56" s="89">
        <v>3.96</v>
      </c>
    </row>
    <row r="57" spans="1:3" x14ac:dyDescent="0.25">
      <c r="A57" s="88">
        <v>46</v>
      </c>
      <c r="B57" s="89">
        <v>12.22</v>
      </c>
      <c r="C57" s="89">
        <v>3.99</v>
      </c>
    </row>
    <row r="58" spans="1:3" x14ac:dyDescent="0.25">
      <c r="A58" s="88">
        <v>47</v>
      </c>
      <c r="B58" s="89">
        <v>12.4</v>
      </c>
      <c r="C58" s="89">
        <v>4.03</v>
      </c>
    </row>
    <row r="59" spans="1:3" x14ac:dyDescent="0.25">
      <c r="A59" s="88">
        <v>48</v>
      </c>
      <c r="B59" s="89">
        <v>12.6</v>
      </c>
      <c r="C59" s="89">
        <v>4.05</v>
      </c>
    </row>
    <row r="60" spans="1:3" x14ac:dyDescent="0.25">
      <c r="A60" s="88">
        <v>49</v>
      </c>
      <c r="B60" s="89">
        <v>12.79</v>
      </c>
      <c r="C60" s="89">
        <v>4.08</v>
      </c>
    </row>
    <row r="61" spans="1:3" x14ac:dyDescent="0.25">
      <c r="A61" s="88">
        <v>50</v>
      </c>
      <c r="B61" s="89">
        <v>12.99</v>
      </c>
      <c r="C61" s="89">
        <v>4.0999999999999996</v>
      </c>
    </row>
    <row r="62" spans="1:3" x14ac:dyDescent="0.25">
      <c r="A62" s="88">
        <v>51</v>
      </c>
      <c r="B62" s="89">
        <v>13.2</v>
      </c>
      <c r="C62" s="89">
        <v>4.13</v>
      </c>
    </row>
    <row r="63" spans="1:3" x14ac:dyDescent="0.25">
      <c r="A63" s="88">
        <v>52</v>
      </c>
      <c r="B63" s="89">
        <v>13.42</v>
      </c>
      <c r="C63" s="89">
        <v>4.1500000000000004</v>
      </c>
    </row>
    <row r="64" spans="1:3" x14ac:dyDescent="0.25">
      <c r="A64" s="88">
        <v>53</v>
      </c>
      <c r="B64" s="89">
        <v>13.64</v>
      </c>
      <c r="C64" s="89">
        <v>4.17</v>
      </c>
    </row>
    <row r="65" spans="1:3" x14ac:dyDescent="0.25">
      <c r="A65" s="88">
        <v>54</v>
      </c>
      <c r="B65" s="89">
        <v>13.86</v>
      </c>
      <c r="C65" s="89">
        <v>4.1900000000000004</v>
      </c>
    </row>
    <row r="66" spans="1:3" x14ac:dyDescent="0.25">
      <c r="A66" s="88">
        <v>55</v>
      </c>
      <c r="B66" s="89">
        <v>14.1</v>
      </c>
      <c r="C66" s="89">
        <v>4.2</v>
      </c>
    </row>
    <row r="67" spans="1:3" x14ac:dyDescent="0.25">
      <c r="A67" s="88">
        <v>56</v>
      </c>
      <c r="B67" s="89">
        <v>14.34</v>
      </c>
      <c r="C67" s="89">
        <v>4.21</v>
      </c>
    </row>
    <row r="68" spans="1:3" x14ac:dyDescent="0.25">
      <c r="A68" s="88">
        <v>57</v>
      </c>
      <c r="B68" s="89">
        <v>14.59</v>
      </c>
      <c r="C68" s="89">
        <v>4.22</v>
      </c>
    </row>
    <row r="69" spans="1:3" x14ac:dyDescent="0.25">
      <c r="A69" s="88">
        <v>58</v>
      </c>
      <c r="B69" s="89">
        <v>14.85</v>
      </c>
      <c r="C69" s="89">
        <v>4.2300000000000004</v>
      </c>
    </row>
    <row r="70" spans="1:3" x14ac:dyDescent="0.25">
      <c r="A70" s="88">
        <v>59</v>
      </c>
      <c r="B70" s="89">
        <v>15.12</v>
      </c>
      <c r="C70" s="89">
        <v>4.2300000000000004</v>
      </c>
    </row>
    <row r="71" spans="1:3" x14ac:dyDescent="0.25">
      <c r="A71" s="88">
        <v>60</v>
      </c>
      <c r="B71" s="89">
        <v>15.41</v>
      </c>
      <c r="C71" s="89">
        <v>4.2300000000000004</v>
      </c>
    </row>
    <row r="72" spans="1:3" x14ac:dyDescent="0.25">
      <c r="A72" s="88">
        <v>61</v>
      </c>
      <c r="B72" s="89">
        <v>15.7</v>
      </c>
      <c r="C72" s="89">
        <v>4.2300000000000004</v>
      </c>
    </row>
    <row r="73" spans="1:3" x14ac:dyDescent="0.25">
      <c r="A73" s="88">
        <v>62</v>
      </c>
      <c r="B73" s="89">
        <v>16.02</v>
      </c>
      <c r="C73" s="89">
        <v>4.21</v>
      </c>
    </row>
    <row r="74" spans="1:3" x14ac:dyDescent="0.25">
      <c r="A74" s="88">
        <v>63</v>
      </c>
      <c r="B74" s="89">
        <v>16.350000000000001</v>
      </c>
      <c r="C74" s="89">
        <v>4.2</v>
      </c>
    </row>
    <row r="75" spans="1:3" x14ac:dyDescent="0.25">
      <c r="A75" s="88">
        <v>64</v>
      </c>
      <c r="B75" s="89">
        <v>16.7</v>
      </c>
      <c r="C75" s="89">
        <v>4.18</v>
      </c>
    </row>
    <row r="76" spans="1:3" x14ac:dyDescent="0.25">
      <c r="A76" s="88">
        <v>65</v>
      </c>
      <c r="B76" s="89">
        <v>16.55</v>
      </c>
      <c r="C76" s="89">
        <v>4.16</v>
      </c>
    </row>
    <row r="77" spans="1:3" x14ac:dyDescent="0.25">
      <c r="A77" s="88">
        <v>66</v>
      </c>
      <c r="B77" s="89">
        <v>15.89</v>
      </c>
      <c r="C77" s="89">
        <v>4.1500000000000004</v>
      </c>
    </row>
    <row r="78" spans="1:3" x14ac:dyDescent="0.25">
      <c r="A78" s="88">
        <v>67</v>
      </c>
      <c r="B78" s="89">
        <v>15.23</v>
      </c>
      <c r="C78" s="89">
        <v>4.1399999999999997</v>
      </c>
    </row>
    <row r="79" spans="1:3" x14ac:dyDescent="0.25">
      <c r="A79" s="88">
        <v>68</v>
      </c>
      <c r="B79" s="89">
        <v>14.58</v>
      </c>
      <c r="C79" s="89">
        <v>4.12</v>
      </c>
    </row>
    <row r="80" spans="1:3" x14ac:dyDescent="0.25">
      <c r="A80" s="88">
        <v>69</v>
      </c>
      <c r="B80" s="89">
        <v>13.95</v>
      </c>
      <c r="C80" s="89">
        <v>4.05</v>
      </c>
    </row>
    <row r="81" spans="1:3" x14ac:dyDescent="0.25">
      <c r="A81" s="88">
        <v>70</v>
      </c>
      <c r="B81" s="89">
        <v>13.32</v>
      </c>
      <c r="C81" s="89">
        <v>3.97</v>
      </c>
    </row>
    <row r="82" spans="1:3" x14ac:dyDescent="0.25">
      <c r="A82" s="88">
        <v>71</v>
      </c>
      <c r="B82" s="89">
        <v>12.7</v>
      </c>
      <c r="C82" s="89">
        <v>3.94</v>
      </c>
    </row>
    <row r="83" spans="1:3" x14ac:dyDescent="0.25">
      <c r="A83" s="88">
        <v>72</v>
      </c>
      <c r="B83" s="89">
        <v>12.08</v>
      </c>
      <c r="C83" s="89">
        <v>3.9</v>
      </c>
    </row>
    <row r="84" spans="1:3" x14ac:dyDescent="0.25">
      <c r="A84" s="88">
        <v>73</v>
      </c>
      <c r="B84" s="89">
        <v>11.47</v>
      </c>
      <c r="C84" s="89">
        <v>3.86</v>
      </c>
    </row>
    <row r="85" spans="1:3" x14ac:dyDescent="0.25">
      <c r="A85" s="88">
        <v>74</v>
      </c>
      <c r="B85" s="89">
        <v>10.86</v>
      </c>
      <c r="C85" s="89">
        <v>3.68</v>
      </c>
    </row>
  </sheetData>
  <sheetProtection algorithmName="SHA-512" hashValue="Id/gmEdHJGd2DShF5amfJXfCueJ5HbQYfe54XRC0Oijv/DYn+FCQVOAm4XbYkNcNxWUhtVNv5tDJtKp8llRJNQ==" saltValue="ST1K6gwiD356Q4nqXFT9Bw==" spinCount="100000" sheet="1" objects="1" scenarios="1"/>
  <conditionalFormatting sqref="A6:A21">
    <cfRule type="expression" dxfId="737" priority="3" stopIfTrue="1">
      <formula>MOD(ROW(),2)=0</formula>
    </cfRule>
    <cfRule type="expression" dxfId="736" priority="4" stopIfTrue="1">
      <formula>MOD(ROW(),2)&lt;&gt;0</formula>
    </cfRule>
  </conditionalFormatting>
  <conditionalFormatting sqref="A26:A85">
    <cfRule type="expression" dxfId="735" priority="13" stopIfTrue="1">
      <formula>MOD(ROW(),2)=0</formula>
    </cfRule>
    <cfRule type="expression" dxfId="734" priority="14" stopIfTrue="1">
      <formula>MOD(ROW(),2)&lt;&gt;0</formula>
    </cfRule>
  </conditionalFormatting>
  <conditionalFormatting sqref="B18:B21">
    <cfRule type="expression" dxfId="733" priority="11" stopIfTrue="1">
      <formula>MOD(ROW(),2)=0</formula>
    </cfRule>
    <cfRule type="expression" dxfId="732" priority="12" stopIfTrue="1">
      <formula>MOD(ROW(),2)&lt;&gt;0</formula>
    </cfRule>
  </conditionalFormatting>
  <conditionalFormatting sqref="B6:C21">
    <cfRule type="expression" dxfId="731" priority="23" stopIfTrue="1">
      <formula>MOD(ROW(),2)=0</formula>
    </cfRule>
    <cfRule type="expression" dxfId="730" priority="24" stopIfTrue="1">
      <formula>MOD(ROW(),2)&lt;&gt;0</formula>
    </cfRule>
  </conditionalFormatting>
  <conditionalFormatting sqref="B26:C85">
    <cfRule type="expression" dxfId="729" priority="15" stopIfTrue="1">
      <formula>MOD(ROW(),2)=0</formula>
    </cfRule>
    <cfRule type="expression" dxfId="728" priority="16" stopIfTrue="1">
      <formula>MOD(ROW(),2)&lt;&gt;0</formula>
    </cfRule>
  </conditionalFormatting>
  <conditionalFormatting sqref="C17">
    <cfRule type="expression" dxfId="727" priority="9" stopIfTrue="1">
      <formula>MOD(ROW(),2)=0</formula>
    </cfRule>
    <cfRule type="expression" dxfId="726"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dimension ref="A1:G85"/>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Fire_S - Consolidated Factor Spreadsheet</v>
      </c>
      <c r="B2" s="42"/>
      <c r="C2" s="42"/>
      <c r="D2" s="42"/>
      <c r="E2" s="42"/>
      <c r="F2" s="42"/>
      <c r="G2" s="42"/>
    </row>
    <row r="3" spans="1:7" ht="15.6" x14ac:dyDescent="0.3">
      <c r="A3" s="43" t="str">
        <f>TABLE_FACTOR_TYPE_1&amp;" - x-"&amp;TABLE_SERIES_NUMBER_1</f>
        <v>CETV - x-209</v>
      </c>
      <c r="B3" s="42"/>
      <c r="C3" s="42"/>
      <c r="D3" s="42"/>
      <c r="E3" s="42"/>
      <c r="F3" s="42"/>
      <c r="G3" s="42"/>
    </row>
    <row r="4" spans="1:7" x14ac:dyDescent="0.25">
      <c r="A4" s="44"/>
    </row>
    <row r="6" spans="1:7" x14ac:dyDescent="0.25">
      <c r="A6" s="75" t="s">
        <v>484</v>
      </c>
      <c r="B6" s="162" t="s">
        <v>485</v>
      </c>
      <c r="C6" s="162"/>
    </row>
    <row r="7" spans="1:7" x14ac:dyDescent="0.25">
      <c r="A7" s="76" t="s">
        <v>486</v>
      </c>
      <c r="B7" s="162" t="s">
        <v>81</v>
      </c>
      <c r="C7" s="162"/>
    </row>
    <row r="8" spans="1:7" x14ac:dyDescent="0.25">
      <c r="A8" s="76" t="s">
        <v>282</v>
      </c>
      <c r="B8" s="162">
        <v>2015</v>
      </c>
      <c r="C8" s="162"/>
    </row>
    <row r="9" spans="1:7" x14ac:dyDescent="0.25">
      <c r="A9" s="76" t="s">
        <v>283</v>
      </c>
      <c r="B9" s="162" t="s">
        <v>292</v>
      </c>
      <c r="C9" s="162"/>
    </row>
    <row r="10" spans="1:7" x14ac:dyDescent="0.25">
      <c r="A10" s="76" t="s">
        <v>6</v>
      </c>
      <c r="B10" s="162" t="s">
        <v>306</v>
      </c>
      <c r="C10" s="162"/>
    </row>
    <row r="11" spans="1:7" x14ac:dyDescent="0.25">
      <c r="A11" s="76" t="s">
        <v>284</v>
      </c>
      <c r="B11" s="162" t="s">
        <v>299</v>
      </c>
      <c r="C11" s="162"/>
    </row>
    <row r="12" spans="1:7" x14ac:dyDescent="0.25">
      <c r="A12" s="76" t="s">
        <v>285</v>
      </c>
      <c r="B12" s="162" t="s">
        <v>295</v>
      </c>
      <c r="C12" s="162"/>
    </row>
    <row r="13" spans="1:7" x14ac:dyDescent="0.25">
      <c r="A13" s="76" t="s">
        <v>493</v>
      </c>
      <c r="B13" s="162">
        <v>0</v>
      </c>
      <c r="C13" s="162"/>
    </row>
    <row r="14" spans="1:7" x14ac:dyDescent="0.25">
      <c r="A14" s="76" t="s">
        <v>287</v>
      </c>
      <c r="B14" s="162">
        <v>209</v>
      </c>
      <c r="C14" s="162"/>
    </row>
    <row r="15" spans="1:7" x14ac:dyDescent="0.25">
      <c r="A15" s="76" t="s">
        <v>496</v>
      </c>
      <c r="B15" s="162" t="s">
        <v>582</v>
      </c>
      <c r="C15" s="162"/>
    </row>
    <row r="16" spans="1:7" x14ac:dyDescent="0.25">
      <c r="A16" s="76" t="s">
        <v>288</v>
      </c>
      <c r="B16" s="162" t="s">
        <v>308</v>
      </c>
      <c r="C16" s="162"/>
    </row>
    <row r="17" spans="1:3" ht="51" customHeight="1" x14ac:dyDescent="0.25">
      <c r="A17" s="76" t="s">
        <v>568</v>
      </c>
      <c r="B17" s="162"/>
      <c r="C17" s="162"/>
    </row>
    <row r="18" spans="1:3" x14ac:dyDescent="0.25">
      <c r="A18" s="76" t="s">
        <v>500</v>
      </c>
      <c r="B18" s="164">
        <v>45070</v>
      </c>
      <c r="C18" s="162"/>
    </row>
    <row r="19" spans="1:3" x14ac:dyDescent="0.25">
      <c r="A19" s="76" t="s">
        <v>290</v>
      </c>
      <c r="B19" s="164">
        <v>45014</v>
      </c>
      <c r="C19" s="162"/>
    </row>
    <row r="20" spans="1:3" x14ac:dyDescent="0.25">
      <c r="A20" s="76" t="s">
        <v>291</v>
      </c>
      <c r="B20" s="162" t="s">
        <v>298</v>
      </c>
      <c r="C20" s="162"/>
    </row>
    <row r="21" spans="1:3" x14ac:dyDescent="0.25">
      <c r="A21" s="150" t="s">
        <v>569</v>
      </c>
      <c r="B21" s="162" t="s">
        <v>297</v>
      </c>
      <c r="C21" s="162"/>
    </row>
    <row r="23" spans="1:3" x14ac:dyDescent="0.25">
      <c r="B23" s="91" t="str">
        <f>HYPERLINK("#'Factor List'!A1","Back to Factor List")</f>
        <v>Back to Factor List</v>
      </c>
    </row>
    <row r="24" spans="1:3" x14ac:dyDescent="0.25">
      <c r="B24" s="91" t="str">
        <f>HYPERLINK("#'Assumptions'!A1","Assumptions")</f>
        <v>Assumptions</v>
      </c>
    </row>
    <row r="26" spans="1:3" ht="39.6" x14ac:dyDescent="0.25">
      <c r="A26" s="87" t="s">
        <v>570</v>
      </c>
      <c r="B26" s="87" t="s">
        <v>578</v>
      </c>
      <c r="C26" s="87" t="s">
        <v>572</v>
      </c>
    </row>
    <row r="27" spans="1:3" x14ac:dyDescent="0.25">
      <c r="A27" s="88">
        <v>16</v>
      </c>
      <c r="B27" s="89">
        <v>8.0299999999999994</v>
      </c>
      <c r="C27" s="89">
        <v>2.31</v>
      </c>
    </row>
    <row r="28" spans="1:3" x14ac:dyDescent="0.25">
      <c r="A28" s="88">
        <v>17</v>
      </c>
      <c r="B28" s="89">
        <v>8.14</v>
      </c>
      <c r="C28" s="89">
        <v>2.5</v>
      </c>
    </row>
    <row r="29" spans="1:3" x14ac:dyDescent="0.25">
      <c r="A29" s="88">
        <v>18</v>
      </c>
      <c r="B29" s="89">
        <v>8.25</v>
      </c>
      <c r="C29" s="89">
        <v>2.69</v>
      </c>
    </row>
    <row r="30" spans="1:3" x14ac:dyDescent="0.25">
      <c r="A30" s="88">
        <v>19</v>
      </c>
      <c r="B30" s="89">
        <v>8.3699999999999992</v>
      </c>
      <c r="C30" s="89">
        <v>2.81</v>
      </c>
    </row>
    <row r="31" spans="1:3" x14ac:dyDescent="0.25">
      <c r="A31" s="88">
        <v>20</v>
      </c>
      <c r="B31" s="89">
        <v>8.48</v>
      </c>
      <c r="C31" s="89">
        <v>2.86</v>
      </c>
    </row>
    <row r="32" spans="1:3" x14ac:dyDescent="0.25">
      <c r="A32" s="88">
        <v>21</v>
      </c>
      <c r="B32" s="89">
        <v>8.6</v>
      </c>
      <c r="C32" s="89">
        <v>2.9</v>
      </c>
    </row>
    <row r="33" spans="1:3" x14ac:dyDescent="0.25">
      <c r="A33" s="88">
        <v>22</v>
      </c>
      <c r="B33" s="89">
        <v>8.7100000000000009</v>
      </c>
      <c r="C33" s="89">
        <v>2.95</v>
      </c>
    </row>
    <row r="34" spans="1:3" x14ac:dyDescent="0.25">
      <c r="A34" s="88">
        <v>23</v>
      </c>
      <c r="B34" s="89">
        <v>8.83</v>
      </c>
      <c r="C34" s="89">
        <v>3</v>
      </c>
    </row>
    <row r="35" spans="1:3" x14ac:dyDescent="0.25">
      <c r="A35" s="88">
        <v>24</v>
      </c>
      <c r="B35" s="89">
        <v>8.9600000000000009</v>
      </c>
      <c r="C35" s="89">
        <v>3.04</v>
      </c>
    </row>
    <row r="36" spans="1:3" x14ac:dyDescent="0.25">
      <c r="A36" s="88">
        <v>25</v>
      </c>
      <c r="B36" s="89">
        <v>9.08</v>
      </c>
      <c r="C36" s="89">
        <v>3.09</v>
      </c>
    </row>
    <row r="37" spans="1:3" x14ac:dyDescent="0.25">
      <c r="A37" s="88">
        <v>26</v>
      </c>
      <c r="B37" s="89">
        <v>9.1999999999999993</v>
      </c>
      <c r="C37" s="89">
        <v>3.14</v>
      </c>
    </row>
    <row r="38" spans="1:3" x14ac:dyDescent="0.25">
      <c r="A38" s="88">
        <v>27</v>
      </c>
      <c r="B38" s="89">
        <v>9.33</v>
      </c>
      <c r="C38" s="89">
        <v>3.19</v>
      </c>
    </row>
    <row r="39" spans="1:3" x14ac:dyDescent="0.25">
      <c r="A39" s="88">
        <v>28</v>
      </c>
      <c r="B39" s="89">
        <v>9.4600000000000009</v>
      </c>
      <c r="C39" s="89">
        <v>3.24</v>
      </c>
    </row>
    <row r="40" spans="1:3" x14ac:dyDescent="0.25">
      <c r="A40" s="88">
        <v>29</v>
      </c>
      <c r="B40" s="89">
        <v>9.59</v>
      </c>
      <c r="C40" s="89">
        <v>3.29</v>
      </c>
    </row>
    <row r="41" spans="1:3" x14ac:dyDescent="0.25">
      <c r="A41" s="88">
        <v>30</v>
      </c>
      <c r="B41" s="89">
        <v>9.7200000000000006</v>
      </c>
      <c r="C41" s="89">
        <v>3.33</v>
      </c>
    </row>
    <row r="42" spans="1:3" x14ac:dyDescent="0.25">
      <c r="A42" s="88">
        <v>31</v>
      </c>
      <c r="B42" s="89">
        <v>9.86</v>
      </c>
      <c r="C42" s="89">
        <v>3.38</v>
      </c>
    </row>
    <row r="43" spans="1:3" x14ac:dyDescent="0.25">
      <c r="A43" s="88">
        <v>32</v>
      </c>
      <c r="B43" s="89">
        <v>9.99</v>
      </c>
      <c r="C43" s="89">
        <v>3.43</v>
      </c>
    </row>
    <row r="44" spans="1:3" x14ac:dyDescent="0.25">
      <c r="A44" s="88">
        <v>33</v>
      </c>
      <c r="B44" s="89">
        <v>10.130000000000001</v>
      </c>
      <c r="C44" s="89">
        <v>3.47</v>
      </c>
    </row>
    <row r="45" spans="1:3" x14ac:dyDescent="0.25">
      <c r="A45" s="88">
        <v>34</v>
      </c>
      <c r="B45" s="89">
        <v>10.28</v>
      </c>
      <c r="C45" s="89">
        <v>3.52</v>
      </c>
    </row>
    <row r="46" spans="1:3" x14ac:dyDescent="0.25">
      <c r="A46" s="88">
        <v>35</v>
      </c>
      <c r="B46" s="89">
        <v>10.42</v>
      </c>
      <c r="C46" s="89">
        <v>3.56</v>
      </c>
    </row>
    <row r="47" spans="1:3" x14ac:dyDescent="0.25">
      <c r="A47" s="88">
        <v>36</v>
      </c>
      <c r="B47" s="89">
        <v>10.57</v>
      </c>
      <c r="C47" s="89">
        <v>3.61</v>
      </c>
    </row>
    <row r="48" spans="1:3" x14ac:dyDescent="0.25">
      <c r="A48" s="88">
        <v>37</v>
      </c>
      <c r="B48" s="89">
        <v>10.72</v>
      </c>
      <c r="C48" s="89">
        <v>3.65</v>
      </c>
    </row>
    <row r="49" spans="1:3" x14ac:dyDescent="0.25">
      <c r="A49" s="88">
        <v>38</v>
      </c>
      <c r="B49" s="89">
        <v>10.87</v>
      </c>
      <c r="C49" s="89">
        <v>3.69</v>
      </c>
    </row>
    <row r="50" spans="1:3" x14ac:dyDescent="0.25">
      <c r="A50" s="88">
        <v>39</v>
      </c>
      <c r="B50" s="89">
        <v>11.03</v>
      </c>
      <c r="C50" s="89">
        <v>3.74</v>
      </c>
    </row>
    <row r="51" spans="1:3" x14ac:dyDescent="0.25">
      <c r="A51" s="88">
        <v>40</v>
      </c>
      <c r="B51" s="89">
        <v>11.19</v>
      </c>
      <c r="C51" s="89">
        <v>3.78</v>
      </c>
    </row>
    <row r="52" spans="1:3" x14ac:dyDescent="0.25">
      <c r="A52" s="88">
        <v>41</v>
      </c>
      <c r="B52" s="89">
        <v>11.35</v>
      </c>
      <c r="C52" s="89">
        <v>3.82</v>
      </c>
    </row>
    <row r="53" spans="1:3" x14ac:dyDescent="0.25">
      <c r="A53" s="88">
        <v>42</v>
      </c>
      <c r="B53" s="89">
        <v>11.51</v>
      </c>
      <c r="C53" s="89">
        <v>3.86</v>
      </c>
    </row>
    <row r="54" spans="1:3" x14ac:dyDescent="0.25">
      <c r="A54" s="88">
        <v>43</v>
      </c>
      <c r="B54" s="89">
        <v>11.68</v>
      </c>
      <c r="C54" s="89">
        <v>3.89</v>
      </c>
    </row>
    <row r="55" spans="1:3" x14ac:dyDescent="0.25">
      <c r="A55" s="88">
        <v>44</v>
      </c>
      <c r="B55" s="89">
        <v>11.86</v>
      </c>
      <c r="C55" s="89">
        <v>3.93</v>
      </c>
    </row>
    <row r="56" spans="1:3" x14ac:dyDescent="0.25">
      <c r="A56" s="88">
        <v>45</v>
      </c>
      <c r="B56" s="89">
        <v>12.04</v>
      </c>
      <c r="C56" s="89">
        <v>3.96</v>
      </c>
    </row>
    <row r="57" spans="1:3" x14ac:dyDescent="0.25">
      <c r="A57" s="88">
        <v>46</v>
      </c>
      <c r="B57" s="89">
        <v>12.22</v>
      </c>
      <c r="C57" s="89">
        <v>3.99</v>
      </c>
    </row>
    <row r="58" spans="1:3" x14ac:dyDescent="0.25">
      <c r="A58" s="88">
        <v>47</v>
      </c>
      <c r="B58" s="89">
        <v>12.4</v>
      </c>
      <c r="C58" s="89">
        <v>4.03</v>
      </c>
    </row>
    <row r="59" spans="1:3" x14ac:dyDescent="0.25">
      <c r="A59" s="88">
        <v>48</v>
      </c>
      <c r="B59" s="89">
        <v>12.6</v>
      </c>
      <c r="C59" s="89">
        <v>4.05</v>
      </c>
    </row>
    <row r="60" spans="1:3" x14ac:dyDescent="0.25">
      <c r="A60" s="88">
        <v>49</v>
      </c>
      <c r="B60" s="89">
        <v>12.79</v>
      </c>
      <c r="C60" s="89">
        <v>4.08</v>
      </c>
    </row>
    <row r="61" spans="1:3" x14ac:dyDescent="0.25">
      <c r="A61" s="88">
        <v>50</v>
      </c>
      <c r="B61" s="89">
        <v>12.99</v>
      </c>
      <c r="C61" s="89">
        <v>4.0999999999999996</v>
      </c>
    </row>
    <row r="62" spans="1:3" x14ac:dyDescent="0.25">
      <c r="A62" s="88">
        <v>51</v>
      </c>
      <c r="B62" s="89">
        <v>13.2</v>
      </c>
      <c r="C62" s="89">
        <v>4.13</v>
      </c>
    </row>
    <row r="63" spans="1:3" x14ac:dyDescent="0.25">
      <c r="A63" s="88">
        <v>52</v>
      </c>
      <c r="B63" s="89">
        <v>13.42</v>
      </c>
      <c r="C63" s="89">
        <v>4.1500000000000004</v>
      </c>
    </row>
    <row r="64" spans="1:3" x14ac:dyDescent="0.25">
      <c r="A64" s="88">
        <v>53</v>
      </c>
      <c r="B64" s="89">
        <v>13.64</v>
      </c>
      <c r="C64" s="89">
        <v>4.17</v>
      </c>
    </row>
    <row r="65" spans="1:3" x14ac:dyDescent="0.25">
      <c r="A65" s="88">
        <v>54</v>
      </c>
      <c r="B65" s="89">
        <v>13.86</v>
      </c>
      <c r="C65" s="89">
        <v>4.1900000000000004</v>
      </c>
    </row>
    <row r="66" spans="1:3" x14ac:dyDescent="0.25">
      <c r="A66" s="88">
        <v>55</v>
      </c>
      <c r="B66" s="89">
        <v>14.1</v>
      </c>
      <c r="C66" s="89">
        <v>4.2</v>
      </c>
    </row>
    <row r="67" spans="1:3" x14ac:dyDescent="0.25">
      <c r="A67" s="88">
        <v>56</v>
      </c>
      <c r="B67" s="89">
        <v>14.34</v>
      </c>
      <c r="C67" s="89">
        <v>4.21</v>
      </c>
    </row>
    <row r="68" spans="1:3" x14ac:dyDescent="0.25">
      <c r="A68" s="88">
        <v>57</v>
      </c>
      <c r="B68" s="89">
        <v>14.59</v>
      </c>
      <c r="C68" s="89">
        <v>4.22</v>
      </c>
    </row>
    <row r="69" spans="1:3" x14ac:dyDescent="0.25">
      <c r="A69" s="88">
        <v>58</v>
      </c>
      <c r="B69" s="89">
        <v>14.85</v>
      </c>
      <c r="C69" s="89">
        <v>4.2300000000000004</v>
      </c>
    </row>
    <row r="70" spans="1:3" x14ac:dyDescent="0.25">
      <c r="A70" s="88">
        <v>59</v>
      </c>
      <c r="B70" s="89">
        <v>15.12</v>
      </c>
      <c r="C70" s="89">
        <v>4.2300000000000004</v>
      </c>
    </row>
    <row r="71" spans="1:3" x14ac:dyDescent="0.25">
      <c r="A71" s="88">
        <v>60</v>
      </c>
      <c r="B71" s="89">
        <v>15.41</v>
      </c>
      <c r="C71" s="89">
        <v>4.2300000000000004</v>
      </c>
    </row>
    <row r="72" spans="1:3" x14ac:dyDescent="0.25">
      <c r="A72" s="88">
        <v>61</v>
      </c>
      <c r="B72" s="89">
        <v>15.7</v>
      </c>
      <c r="C72" s="89">
        <v>4.2300000000000004</v>
      </c>
    </row>
    <row r="73" spans="1:3" x14ac:dyDescent="0.25">
      <c r="A73" s="88">
        <v>62</v>
      </c>
      <c r="B73" s="89">
        <v>16.02</v>
      </c>
      <c r="C73" s="89">
        <v>4.21</v>
      </c>
    </row>
    <row r="74" spans="1:3" x14ac:dyDescent="0.25">
      <c r="A74" s="88">
        <v>63</v>
      </c>
      <c r="B74" s="89">
        <v>16.350000000000001</v>
      </c>
      <c r="C74" s="89">
        <v>4.2</v>
      </c>
    </row>
    <row r="75" spans="1:3" x14ac:dyDescent="0.25">
      <c r="A75" s="88">
        <v>64</v>
      </c>
      <c r="B75" s="89">
        <v>16.7</v>
      </c>
      <c r="C75" s="89">
        <v>4.18</v>
      </c>
    </row>
    <row r="76" spans="1:3" x14ac:dyDescent="0.25">
      <c r="A76" s="88">
        <v>65</v>
      </c>
      <c r="B76" s="89">
        <v>16.55</v>
      </c>
      <c r="C76" s="89">
        <v>4.16</v>
      </c>
    </row>
    <row r="77" spans="1:3" x14ac:dyDescent="0.25">
      <c r="A77" s="88">
        <v>66</v>
      </c>
      <c r="B77" s="89">
        <v>15.89</v>
      </c>
      <c r="C77" s="89">
        <v>4.1500000000000004</v>
      </c>
    </row>
    <row r="78" spans="1:3" x14ac:dyDescent="0.25">
      <c r="A78" s="88">
        <v>67</v>
      </c>
      <c r="B78" s="89">
        <v>15.23</v>
      </c>
      <c r="C78" s="89">
        <v>4.1399999999999997</v>
      </c>
    </row>
    <row r="79" spans="1:3" x14ac:dyDescent="0.25">
      <c r="A79" s="88">
        <v>68</v>
      </c>
      <c r="B79" s="89">
        <v>14.58</v>
      </c>
      <c r="C79" s="89">
        <v>4.12</v>
      </c>
    </row>
    <row r="80" spans="1:3" x14ac:dyDescent="0.25">
      <c r="A80" s="88">
        <v>69</v>
      </c>
      <c r="B80" s="89">
        <v>13.95</v>
      </c>
      <c r="C80" s="89">
        <v>4.05</v>
      </c>
    </row>
    <row r="81" spans="1:3" x14ac:dyDescent="0.25">
      <c r="A81" s="88">
        <v>70</v>
      </c>
      <c r="B81" s="89">
        <v>13.32</v>
      </c>
      <c r="C81" s="89">
        <v>3.97</v>
      </c>
    </row>
    <row r="82" spans="1:3" x14ac:dyDescent="0.25">
      <c r="A82" s="88">
        <v>71</v>
      </c>
      <c r="B82" s="89">
        <v>12.7</v>
      </c>
      <c r="C82" s="89">
        <v>3.94</v>
      </c>
    </row>
    <row r="83" spans="1:3" x14ac:dyDescent="0.25">
      <c r="A83" s="88">
        <v>72</v>
      </c>
      <c r="B83" s="89">
        <v>12.08</v>
      </c>
      <c r="C83" s="89">
        <v>3.9</v>
      </c>
    </row>
    <row r="84" spans="1:3" x14ac:dyDescent="0.25">
      <c r="A84" s="88">
        <v>73</v>
      </c>
      <c r="B84" s="89">
        <v>11.47</v>
      </c>
      <c r="C84" s="89">
        <v>3.86</v>
      </c>
    </row>
    <row r="85" spans="1:3" x14ac:dyDescent="0.25">
      <c r="A85" s="88">
        <v>74</v>
      </c>
      <c r="B85" s="89">
        <v>10.86</v>
      </c>
      <c r="C85" s="89">
        <v>3.68</v>
      </c>
    </row>
  </sheetData>
  <sheetProtection algorithmName="SHA-512" hashValue="vB2N+JiHfCb53alh4tigShh53dll8tMXE44p8uCyVBEPEK/3NRUQDlau3yxiNAJmvFcR1kVM1xSPlx82b1vxyQ==" saltValue="U6Ayu86lVs/CJjJ0Y2moJg==" spinCount="100000" sheet="1" objects="1" scenarios="1"/>
  <conditionalFormatting sqref="A6:A21">
    <cfRule type="expression" dxfId="725" priority="3" stopIfTrue="1">
      <formula>MOD(ROW(),2)=0</formula>
    </cfRule>
    <cfRule type="expression" dxfId="724" priority="4" stopIfTrue="1">
      <formula>MOD(ROW(),2)&lt;&gt;0</formula>
    </cfRule>
  </conditionalFormatting>
  <conditionalFormatting sqref="A26:A85">
    <cfRule type="expression" dxfId="723" priority="13" stopIfTrue="1">
      <formula>MOD(ROW(),2)=0</formula>
    </cfRule>
    <cfRule type="expression" dxfId="722" priority="14" stopIfTrue="1">
      <formula>MOD(ROW(),2)&lt;&gt;0</formula>
    </cfRule>
  </conditionalFormatting>
  <conditionalFormatting sqref="B18:B21">
    <cfRule type="expression" dxfId="721" priority="11" stopIfTrue="1">
      <formula>MOD(ROW(),2)=0</formula>
    </cfRule>
    <cfRule type="expression" dxfId="720" priority="12" stopIfTrue="1">
      <formula>MOD(ROW(),2)&lt;&gt;0</formula>
    </cfRule>
  </conditionalFormatting>
  <conditionalFormatting sqref="B6:C21">
    <cfRule type="expression" dxfId="719" priority="23" stopIfTrue="1">
      <formula>MOD(ROW(),2)=0</formula>
    </cfRule>
    <cfRule type="expression" dxfId="718" priority="24" stopIfTrue="1">
      <formula>MOD(ROW(),2)&lt;&gt;0</formula>
    </cfRule>
  </conditionalFormatting>
  <conditionalFormatting sqref="B26:C85">
    <cfRule type="expression" dxfId="717" priority="15" stopIfTrue="1">
      <formula>MOD(ROW(),2)=0</formula>
    </cfRule>
    <cfRule type="expression" dxfId="716" priority="16" stopIfTrue="1">
      <formula>MOD(ROW(),2)&lt;&gt;0</formula>
    </cfRule>
  </conditionalFormatting>
  <conditionalFormatting sqref="C17">
    <cfRule type="expression" dxfId="715" priority="9" stopIfTrue="1">
      <formula>MOD(ROW(),2)=0</formula>
    </cfRule>
    <cfRule type="expression" dxfId="714"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dimension ref="A1:G85"/>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Fire_S - Consolidated Factor Spreadsheet</v>
      </c>
      <c r="B2" s="42"/>
      <c r="C2" s="42"/>
      <c r="D2" s="42"/>
      <c r="E2" s="42"/>
      <c r="F2" s="42"/>
      <c r="G2" s="42"/>
    </row>
    <row r="3" spans="1:7" ht="15.6" x14ac:dyDescent="0.3">
      <c r="A3" s="43" t="str">
        <f>TABLE_FACTOR_TYPE_1&amp;" - x-"&amp;TABLE_SERIES_NUMBER_1</f>
        <v>CETV - x-210</v>
      </c>
      <c r="B3" s="42"/>
      <c r="C3" s="42"/>
      <c r="D3" s="42"/>
      <c r="E3" s="42"/>
      <c r="F3" s="42"/>
      <c r="G3" s="42"/>
    </row>
    <row r="4" spans="1:7" x14ac:dyDescent="0.25">
      <c r="A4" s="44"/>
    </row>
    <row r="6" spans="1:7" x14ac:dyDescent="0.25">
      <c r="A6" s="75" t="s">
        <v>484</v>
      </c>
      <c r="B6" s="162" t="s">
        <v>485</v>
      </c>
      <c r="C6" s="162"/>
    </row>
    <row r="7" spans="1:7" x14ac:dyDescent="0.25">
      <c r="A7" s="76" t="s">
        <v>486</v>
      </c>
      <c r="B7" s="162" t="s">
        <v>81</v>
      </c>
      <c r="C7" s="162"/>
    </row>
    <row r="8" spans="1:7" x14ac:dyDescent="0.25">
      <c r="A8" s="76" t="s">
        <v>282</v>
      </c>
      <c r="B8" s="162">
        <v>2015</v>
      </c>
      <c r="C8" s="162"/>
    </row>
    <row r="9" spans="1:7" x14ac:dyDescent="0.25">
      <c r="A9" s="76" t="s">
        <v>283</v>
      </c>
      <c r="B9" s="162" t="s">
        <v>292</v>
      </c>
      <c r="C9" s="162"/>
    </row>
    <row r="10" spans="1:7" x14ac:dyDescent="0.25">
      <c r="A10" s="76" t="s">
        <v>6</v>
      </c>
      <c r="B10" s="162" t="s">
        <v>309</v>
      </c>
      <c r="C10" s="162"/>
    </row>
    <row r="11" spans="1:7" x14ac:dyDescent="0.25">
      <c r="A11" s="76" t="s">
        <v>284</v>
      </c>
      <c r="B11" s="162" t="s">
        <v>294</v>
      </c>
      <c r="C11" s="162"/>
    </row>
    <row r="12" spans="1:7" x14ac:dyDescent="0.25">
      <c r="A12" s="76" t="s">
        <v>285</v>
      </c>
      <c r="B12" s="162" t="s">
        <v>295</v>
      </c>
      <c r="C12" s="162"/>
    </row>
    <row r="13" spans="1:7" x14ac:dyDescent="0.25">
      <c r="A13" s="76" t="s">
        <v>493</v>
      </c>
      <c r="B13" s="162">
        <v>0</v>
      </c>
      <c r="C13" s="162"/>
    </row>
    <row r="14" spans="1:7" x14ac:dyDescent="0.25">
      <c r="A14" s="76" t="s">
        <v>287</v>
      </c>
      <c r="B14" s="162">
        <v>210</v>
      </c>
      <c r="C14" s="162"/>
    </row>
    <row r="15" spans="1:7" x14ac:dyDescent="0.25">
      <c r="A15" s="76" t="s">
        <v>496</v>
      </c>
      <c r="B15" s="162" t="s">
        <v>583</v>
      </c>
      <c r="C15" s="162"/>
    </row>
    <row r="16" spans="1:7" x14ac:dyDescent="0.25">
      <c r="A16" s="76" t="s">
        <v>288</v>
      </c>
      <c r="B16" s="162" t="s">
        <v>310</v>
      </c>
      <c r="C16" s="162"/>
    </row>
    <row r="17" spans="1:3" ht="51" customHeight="1" x14ac:dyDescent="0.25">
      <c r="A17" s="76" t="s">
        <v>568</v>
      </c>
      <c r="B17" s="162"/>
      <c r="C17" s="162"/>
    </row>
    <row r="18" spans="1:3" x14ac:dyDescent="0.25">
      <c r="A18" s="76" t="s">
        <v>500</v>
      </c>
      <c r="B18" s="164">
        <v>45070</v>
      </c>
      <c r="C18" s="162"/>
    </row>
    <row r="19" spans="1:3" x14ac:dyDescent="0.25">
      <c r="A19" s="76" t="s">
        <v>290</v>
      </c>
      <c r="B19" s="164">
        <v>45014</v>
      </c>
      <c r="C19" s="162"/>
    </row>
    <row r="20" spans="1:3" x14ac:dyDescent="0.25">
      <c r="A20" s="76" t="s">
        <v>291</v>
      </c>
      <c r="B20" s="162" t="s">
        <v>298</v>
      </c>
      <c r="C20" s="162"/>
    </row>
    <row r="21" spans="1:3" x14ac:dyDescent="0.25">
      <c r="A21" s="150" t="s">
        <v>569</v>
      </c>
      <c r="B21" s="162" t="s">
        <v>297</v>
      </c>
      <c r="C21" s="162"/>
    </row>
    <row r="23" spans="1:3" x14ac:dyDescent="0.25">
      <c r="B23" s="91" t="str">
        <f>HYPERLINK("#'Factor List'!A1","Back to Factor List")</f>
        <v>Back to Factor List</v>
      </c>
    </row>
    <row r="24" spans="1:3" x14ac:dyDescent="0.25">
      <c r="B24" s="91" t="str">
        <f>HYPERLINK("#'Assumptions'!A1","Assumptions")</f>
        <v>Assumptions</v>
      </c>
    </row>
    <row r="26" spans="1:3" ht="39.6" x14ac:dyDescent="0.25">
      <c r="A26" s="87" t="s">
        <v>570</v>
      </c>
      <c r="B26" s="87" t="s">
        <v>578</v>
      </c>
      <c r="C26" s="87" t="s">
        <v>572</v>
      </c>
    </row>
    <row r="27" spans="1:3" x14ac:dyDescent="0.25">
      <c r="A27" s="88">
        <v>16</v>
      </c>
      <c r="B27" s="89">
        <v>7.63</v>
      </c>
      <c r="C27" s="89">
        <v>2.3199999999999998</v>
      </c>
    </row>
    <row r="28" spans="1:3" x14ac:dyDescent="0.25">
      <c r="A28" s="88">
        <v>17</v>
      </c>
      <c r="B28" s="89">
        <v>7.73</v>
      </c>
      <c r="C28" s="89">
        <v>2.5099999999999998</v>
      </c>
    </row>
    <row r="29" spans="1:3" x14ac:dyDescent="0.25">
      <c r="A29" s="88">
        <v>18</v>
      </c>
      <c r="B29" s="89">
        <v>7.84</v>
      </c>
      <c r="C29" s="89">
        <v>2.7</v>
      </c>
    </row>
    <row r="30" spans="1:3" x14ac:dyDescent="0.25">
      <c r="A30" s="88">
        <v>19</v>
      </c>
      <c r="B30" s="89">
        <v>7.94</v>
      </c>
      <c r="C30" s="89">
        <v>2.82</v>
      </c>
    </row>
    <row r="31" spans="1:3" x14ac:dyDescent="0.25">
      <c r="A31" s="88">
        <v>20</v>
      </c>
      <c r="B31" s="89">
        <v>8.0500000000000007</v>
      </c>
      <c r="C31" s="89">
        <v>2.87</v>
      </c>
    </row>
    <row r="32" spans="1:3" x14ac:dyDescent="0.25">
      <c r="A32" s="88">
        <v>21</v>
      </c>
      <c r="B32" s="89">
        <v>8.16</v>
      </c>
      <c r="C32" s="89">
        <v>2.91</v>
      </c>
    </row>
    <row r="33" spans="1:3" x14ac:dyDescent="0.25">
      <c r="A33" s="88">
        <v>22</v>
      </c>
      <c r="B33" s="89">
        <v>8.27</v>
      </c>
      <c r="C33" s="89">
        <v>2.96</v>
      </c>
    </row>
    <row r="34" spans="1:3" x14ac:dyDescent="0.25">
      <c r="A34" s="88">
        <v>23</v>
      </c>
      <c r="B34" s="89">
        <v>8.3800000000000008</v>
      </c>
      <c r="C34" s="89">
        <v>3.01</v>
      </c>
    </row>
    <row r="35" spans="1:3" x14ac:dyDescent="0.25">
      <c r="A35" s="88">
        <v>24</v>
      </c>
      <c r="B35" s="89">
        <v>8.5</v>
      </c>
      <c r="C35" s="89">
        <v>3.06</v>
      </c>
    </row>
    <row r="36" spans="1:3" x14ac:dyDescent="0.25">
      <c r="A36" s="88">
        <v>25</v>
      </c>
      <c r="B36" s="89">
        <v>8.61</v>
      </c>
      <c r="C36" s="89">
        <v>3.11</v>
      </c>
    </row>
    <row r="37" spans="1:3" x14ac:dyDescent="0.25">
      <c r="A37" s="88">
        <v>26</v>
      </c>
      <c r="B37" s="89">
        <v>8.73</v>
      </c>
      <c r="C37" s="89">
        <v>3.16</v>
      </c>
    </row>
    <row r="38" spans="1:3" x14ac:dyDescent="0.25">
      <c r="A38" s="88">
        <v>27</v>
      </c>
      <c r="B38" s="89">
        <v>8.85</v>
      </c>
      <c r="C38" s="89">
        <v>3.2</v>
      </c>
    </row>
    <row r="39" spans="1:3" x14ac:dyDescent="0.25">
      <c r="A39" s="88">
        <v>28</v>
      </c>
      <c r="B39" s="89">
        <v>8.9700000000000006</v>
      </c>
      <c r="C39" s="89">
        <v>3.25</v>
      </c>
    </row>
    <row r="40" spans="1:3" x14ac:dyDescent="0.25">
      <c r="A40" s="88">
        <v>29</v>
      </c>
      <c r="B40" s="89">
        <v>9.09</v>
      </c>
      <c r="C40" s="89">
        <v>3.3</v>
      </c>
    </row>
    <row r="41" spans="1:3" x14ac:dyDescent="0.25">
      <c r="A41" s="88">
        <v>30</v>
      </c>
      <c r="B41" s="89">
        <v>9.2100000000000009</v>
      </c>
      <c r="C41" s="89">
        <v>3.35</v>
      </c>
    </row>
    <row r="42" spans="1:3" x14ac:dyDescent="0.25">
      <c r="A42" s="88">
        <v>31</v>
      </c>
      <c r="B42" s="89">
        <v>9.34</v>
      </c>
      <c r="C42" s="89">
        <v>3.4</v>
      </c>
    </row>
    <row r="43" spans="1:3" x14ac:dyDescent="0.25">
      <c r="A43" s="88">
        <v>32</v>
      </c>
      <c r="B43" s="89">
        <v>9.4700000000000006</v>
      </c>
      <c r="C43" s="89">
        <v>3.44</v>
      </c>
    </row>
    <row r="44" spans="1:3" x14ac:dyDescent="0.25">
      <c r="A44" s="88">
        <v>33</v>
      </c>
      <c r="B44" s="89">
        <v>9.6</v>
      </c>
      <c r="C44" s="89">
        <v>3.49</v>
      </c>
    </row>
    <row r="45" spans="1:3" x14ac:dyDescent="0.25">
      <c r="A45" s="88">
        <v>34</v>
      </c>
      <c r="B45" s="89">
        <v>9.73</v>
      </c>
      <c r="C45" s="89">
        <v>3.53</v>
      </c>
    </row>
    <row r="46" spans="1:3" x14ac:dyDescent="0.25">
      <c r="A46" s="88">
        <v>35</v>
      </c>
      <c r="B46" s="89">
        <v>9.8699999999999992</v>
      </c>
      <c r="C46" s="89">
        <v>3.58</v>
      </c>
    </row>
    <row r="47" spans="1:3" x14ac:dyDescent="0.25">
      <c r="A47" s="88">
        <v>36</v>
      </c>
      <c r="B47" s="89">
        <v>10.01</v>
      </c>
      <c r="C47" s="89">
        <v>3.62</v>
      </c>
    </row>
    <row r="48" spans="1:3" x14ac:dyDescent="0.25">
      <c r="A48" s="88">
        <v>37</v>
      </c>
      <c r="B48" s="89">
        <v>10.15</v>
      </c>
      <c r="C48" s="89">
        <v>3.67</v>
      </c>
    </row>
    <row r="49" spans="1:3" x14ac:dyDescent="0.25">
      <c r="A49" s="88">
        <v>38</v>
      </c>
      <c r="B49" s="89">
        <v>10.29</v>
      </c>
      <c r="C49" s="89">
        <v>3.71</v>
      </c>
    </row>
    <row r="50" spans="1:3" x14ac:dyDescent="0.25">
      <c r="A50" s="88">
        <v>39</v>
      </c>
      <c r="B50" s="89">
        <v>10.44</v>
      </c>
      <c r="C50" s="89">
        <v>3.76</v>
      </c>
    </row>
    <row r="51" spans="1:3" x14ac:dyDescent="0.25">
      <c r="A51" s="88">
        <v>40</v>
      </c>
      <c r="B51" s="89">
        <v>10.58</v>
      </c>
      <c r="C51" s="89">
        <v>3.8</v>
      </c>
    </row>
    <row r="52" spans="1:3" x14ac:dyDescent="0.25">
      <c r="A52" s="88">
        <v>41</v>
      </c>
      <c r="B52" s="89">
        <v>10.74</v>
      </c>
      <c r="C52" s="89">
        <v>3.84</v>
      </c>
    </row>
    <row r="53" spans="1:3" x14ac:dyDescent="0.25">
      <c r="A53" s="88">
        <v>42</v>
      </c>
      <c r="B53" s="89">
        <v>10.89</v>
      </c>
      <c r="C53" s="89">
        <v>3.88</v>
      </c>
    </row>
    <row r="54" spans="1:3" x14ac:dyDescent="0.25">
      <c r="A54" s="88">
        <v>43</v>
      </c>
      <c r="B54" s="89">
        <v>11.05</v>
      </c>
      <c r="C54" s="89">
        <v>3.91</v>
      </c>
    </row>
    <row r="55" spans="1:3" x14ac:dyDescent="0.25">
      <c r="A55" s="88">
        <v>44</v>
      </c>
      <c r="B55" s="89">
        <v>11.21</v>
      </c>
      <c r="C55" s="89">
        <v>3.95</v>
      </c>
    </row>
    <row r="56" spans="1:3" x14ac:dyDescent="0.25">
      <c r="A56" s="88">
        <v>45</v>
      </c>
      <c r="B56" s="89">
        <v>11.38</v>
      </c>
      <c r="C56" s="89">
        <v>3.98</v>
      </c>
    </row>
    <row r="57" spans="1:3" x14ac:dyDescent="0.25">
      <c r="A57" s="88">
        <v>46</v>
      </c>
      <c r="B57" s="89">
        <v>11.55</v>
      </c>
      <c r="C57" s="89">
        <v>4.0199999999999996</v>
      </c>
    </row>
    <row r="58" spans="1:3" x14ac:dyDescent="0.25">
      <c r="A58" s="88">
        <v>47</v>
      </c>
      <c r="B58" s="89">
        <v>11.72</v>
      </c>
      <c r="C58" s="89">
        <v>4.05</v>
      </c>
    </row>
    <row r="59" spans="1:3" x14ac:dyDescent="0.25">
      <c r="A59" s="88">
        <v>48</v>
      </c>
      <c r="B59" s="89">
        <v>11.9</v>
      </c>
      <c r="C59" s="89">
        <v>4.08</v>
      </c>
    </row>
    <row r="60" spans="1:3" x14ac:dyDescent="0.25">
      <c r="A60" s="88">
        <v>49</v>
      </c>
      <c r="B60" s="89">
        <v>12.09</v>
      </c>
      <c r="C60" s="89">
        <v>4.0999999999999996</v>
      </c>
    </row>
    <row r="61" spans="1:3" x14ac:dyDescent="0.25">
      <c r="A61" s="88">
        <v>50</v>
      </c>
      <c r="B61" s="89">
        <v>12.27</v>
      </c>
      <c r="C61" s="89">
        <v>4.13</v>
      </c>
    </row>
    <row r="62" spans="1:3" x14ac:dyDescent="0.25">
      <c r="A62" s="88">
        <v>51</v>
      </c>
      <c r="B62" s="89">
        <v>12.47</v>
      </c>
      <c r="C62" s="89">
        <v>4.1500000000000004</v>
      </c>
    </row>
    <row r="63" spans="1:3" x14ac:dyDescent="0.25">
      <c r="A63" s="88">
        <v>52</v>
      </c>
      <c r="B63" s="89">
        <v>12.67</v>
      </c>
      <c r="C63" s="89">
        <v>4.17</v>
      </c>
    </row>
    <row r="64" spans="1:3" x14ac:dyDescent="0.25">
      <c r="A64" s="88">
        <v>53</v>
      </c>
      <c r="B64" s="89">
        <v>12.87</v>
      </c>
      <c r="C64" s="89">
        <v>4.1900000000000004</v>
      </c>
    </row>
    <row r="65" spans="1:3" x14ac:dyDescent="0.25">
      <c r="A65" s="88">
        <v>54</v>
      </c>
      <c r="B65" s="89">
        <v>13.08</v>
      </c>
      <c r="C65" s="89">
        <v>4.21</v>
      </c>
    </row>
    <row r="66" spans="1:3" x14ac:dyDescent="0.25">
      <c r="A66" s="88">
        <v>55</v>
      </c>
      <c r="B66" s="89">
        <v>13.3</v>
      </c>
      <c r="C66" s="89">
        <v>4.2300000000000004</v>
      </c>
    </row>
    <row r="67" spans="1:3" x14ac:dyDescent="0.25">
      <c r="A67" s="88">
        <v>56</v>
      </c>
      <c r="B67" s="89">
        <v>13.53</v>
      </c>
      <c r="C67" s="89">
        <v>4.24</v>
      </c>
    </row>
    <row r="68" spans="1:3" x14ac:dyDescent="0.25">
      <c r="A68" s="88">
        <v>57</v>
      </c>
      <c r="B68" s="89">
        <v>13.76</v>
      </c>
      <c r="C68" s="89">
        <v>4.25</v>
      </c>
    </row>
    <row r="69" spans="1:3" x14ac:dyDescent="0.25">
      <c r="A69" s="88">
        <v>58</v>
      </c>
      <c r="B69" s="89">
        <v>14.01</v>
      </c>
      <c r="C69" s="89">
        <v>4.25</v>
      </c>
    </row>
    <row r="70" spans="1:3" x14ac:dyDescent="0.25">
      <c r="A70" s="88">
        <v>59</v>
      </c>
      <c r="B70" s="89">
        <v>14.26</v>
      </c>
      <c r="C70" s="89">
        <v>4.26</v>
      </c>
    </row>
    <row r="71" spans="1:3" x14ac:dyDescent="0.25">
      <c r="A71" s="88">
        <v>60</v>
      </c>
      <c r="B71" s="89">
        <v>14.53</v>
      </c>
      <c r="C71" s="89">
        <v>4.26</v>
      </c>
    </row>
    <row r="72" spans="1:3" x14ac:dyDescent="0.25">
      <c r="A72" s="88">
        <v>61</v>
      </c>
      <c r="B72" s="89">
        <v>14.8</v>
      </c>
      <c r="C72" s="89">
        <v>4.25</v>
      </c>
    </row>
    <row r="73" spans="1:3" x14ac:dyDescent="0.25">
      <c r="A73" s="88">
        <v>62</v>
      </c>
      <c r="B73" s="89">
        <v>15.1</v>
      </c>
      <c r="C73" s="89">
        <v>4.24</v>
      </c>
    </row>
    <row r="74" spans="1:3" x14ac:dyDescent="0.25">
      <c r="A74" s="88">
        <v>63</v>
      </c>
      <c r="B74" s="89">
        <v>15.41</v>
      </c>
      <c r="C74" s="89">
        <v>4.2300000000000004</v>
      </c>
    </row>
    <row r="75" spans="1:3" x14ac:dyDescent="0.25">
      <c r="A75" s="88">
        <v>64</v>
      </c>
      <c r="B75" s="89">
        <v>15.74</v>
      </c>
      <c r="C75" s="89">
        <v>4.2</v>
      </c>
    </row>
    <row r="76" spans="1:3" x14ac:dyDescent="0.25">
      <c r="A76" s="88">
        <v>65</v>
      </c>
      <c r="B76" s="89">
        <v>16.09</v>
      </c>
      <c r="C76" s="89">
        <v>4.18</v>
      </c>
    </row>
    <row r="77" spans="1:3" x14ac:dyDescent="0.25">
      <c r="A77" s="88">
        <v>66</v>
      </c>
      <c r="B77" s="89">
        <v>15.94</v>
      </c>
      <c r="C77" s="89">
        <v>4.1500000000000004</v>
      </c>
    </row>
    <row r="78" spans="1:3" x14ac:dyDescent="0.25">
      <c r="A78" s="88">
        <v>67</v>
      </c>
      <c r="B78" s="89">
        <v>15.27</v>
      </c>
      <c r="C78" s="89">
        <v>4.1399999999999997</v>
      </c>
    </row>
    <row r="79" spans="1:3" x14ac:dyDescent="0.25">
      <c r="A79" s="88">
        <v>68</v>
      </c>
      <c r="B79" s="89">
        <v>14.61</v>
      </c>
      <c r="C79" s="89">
        <v>4.12</v>
      </c>
    </row>
    <row r="80" spans="1:3" x14ac:dyDescent="0.25">
      <c r="A80" s="88">
        <v>69</v>
      </c>
      <c r="B80" s="89">
        <v>13.96</v>
      </c>
      <c r="C80" s="89">
        <v>4.05</v>
      </c>
    </row>
    <row r="81" spans="1:3" x14ac:dyDescent="0.25">
      <c r="A81" s="88">
        <v>70</v>
      </c>
      <c r="B81" s="89">
        <v>13.32</v>
      </c>
      <c r="C81" s="89">
        <v>3.97</v>
      </c>
    </row>
    <row r="82" spans="1:3" x14ac:dyDescent="0.25">
      <c r="A82" s="88">
        <v>71</v>
      </c>
      <c r="B82" s="89">
        <v>12.7</v>
      </c>
      <c r="C82" s="89">
        <v>3.94</v>
      </c>
    </row>
    <row r="83" spans="1:3" x14ac:dyDescent="0.25">
      <c r="A83" s="88">
        <v>72</v>
      </c>
      <c r="B83" s="89">
        <v>12.08</v>
      </c>
      <c r="C83" s="89">
        <v>3.9</v>
      </c>
    </row>
    <row r="84" spans="1:3" x14ac:dyDescent="0.25">
      <c r="A84" s="88">
        <v>73</v>
      </c>
      <c r="B84" s="89">
        <v>11.47</v>
      </c>
      <c r="C84" s="89">
        <v>3.86</v>
      </c>
    </row>
    <row r="85" spans="1:3" x14ac:dyDescent="0.25">
      <c r="A85" s="88">
        <v>74</v>
      </c>
      <c r="B85" s="89">
        <v>10.86</v>
      </c>
      <c r="C85" s="89">
        <v>3.68</v>
      </c>
    </row>
  </sheetData>
  <sheetProtection algorithmName="SHA-512" hashValue="AlLcE3HSSnepCW+L0YYXZtNMm5hfe/QgAQnkZy3a7oDU7pRdoZWko9XnzA+yoH21XPRmxJsn3iSiaVQISU+ozQ==" saltValue="HJgvQoi8N3oKmXXJNjEG/w==" spinCount="100000" sheet="1" objects="1" scenarios="1"/>
  <conditionalFormatting sqref="A6:A21">
    <cfRule type="expression" dxfId="713" priority="3" stopIfTrue="1">
      <formula>MOD(ROW(),2)=0</formula>
    </cfRule>
    <cfRule type="expression" dxfId="712" priority="4" stopIfTrue="1">
      <formula>MOD(ROW(),2)&lt;&gt;0</formula>
    </cfRule>
  </conditionalFormatting>
  <conditionalFormatting sqref="A26:A85">
    <cfRule type="expression" dxfId="711" priority="13" stopIfTrue="1">
      <formula>MOD(ROW(),2)=0</formula>
    </cfRule>
    <cfRule type="expression" dxfId="710" priority="14" stopIfTrue="1">
      <formula>MOD(ROW(),2)&lt;&gt;0</formula>
    </cfRule>
  </conditionalFormatting>
  <conditionalFormatting sqref="B18:B21">
    <cfRule type="expression" dxfId="709" priority="11" stopIfTrue="1">
      <formula>MOD(ROW(),2)=0</formula>
    </cfRule>
    <cfRule type="expression" dxfId="708" priority="12" stopIfTrue="1">
      <formula>MOD(ROW(),2)&lt;&gt;0</formula>
    </cfRule>
  </conditionalFormatting>
  <conditionalFormatting sqref="B6:C21">
    <cfRule type="expression" dxfId="707" priority="23" stopIfTrue="1">
      <formula>MOD(ROW(),2)=0</formula>
    </cfRule>
    <cfRule type="expression" dxfId="706" priority="24" stopIfTrue="1">
      <formula>MOD(ROW(),2)&lt;&gt;0</formula>
    </cfRule>
  </conditionalFormatting>
  <conditionalFormatting sqref="B26:C85">
    <cfRule type="expression" dxfId="705" priority="15" stopIfTrue="1">
      <formula>MOD(ROW(),2)=0</formula>
    </cfRule>
    <cfRule type="expression" dxfId="704" priority="16" stopIfTrue="1">
      <formula>MOD(ROW(),2)&lt;&gt;0</formula>
    </cfRule>
  </conditionalFormatting>
  <conditionalFormatting sqref="C17">
    <cfRule type="expression" dxfId="703" priority="9" stopIfTrue="1">
      <formula>MOD(ROW(),2)=0</formula>
    </cfRule>
    <cfRule type="expression" dxfId="70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9"/>
  <dimension ref="A1:G85"/>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Fire_S - Consolidated Factor Spreadsheet</v>
      </c>
      <c r="B2" s="42"/>
      <c r="C2" s="42"/>
      <c r="D2" s="42"/>
      <c r="E2" s="42"/>
      <c r="F2" s="42"/>
      <c r="G2" s="42"/>
    </row>
    <row r="3" spans="1:7" ht="15.6" x14ac:dyDescent="0.3">
      <c r="A3" s="43" t="str">
        <f>TABLE_FACTOR_TYPE_1&amp;" - x-"&amp;TABLE_SERIES_NUMBER_1</f>
        <v>CETV - x-211</v>
      </c>
      <c r="B3" s="42"/>
      <c r="C3" s="42"/>
      <c r="D3" s="42"/>
      <c r="E3" s="42"/>
      <c r="F3" s="42"/>
      <c r="G3" s="42"/>
    </row>
    <row r="4" spans="1:7" x14ac:dyDescent="0.25">
      <c r="A4" s="44"/>
    </row>
    <row r="6" spans="1:7" x14ac:dyDescent="0.25">
      <c r="A6" s="75" t="s">
        <v>484</v>
      </c>
      <c r="B6" s="162" t="s">
        <v>485</v>
      </c>
      <c r="C6" s="162"/>
    </row>
    <row r="7" spans="1:7" x14ac:dyDescent="0.25">
      <c r="A7" s="76" t="s">
        <v>486</v>
      </c>
      <c r="B7" s="162" t="s">
        <v>81</v>
      </c>
      <c r="C7" s="162"/>
    </row>
    <row r="8" spans="1:7" x14ac:dyDescent="0.25">
      <c r="A8" s="76" t="s">
        <v>282</v>
      </c>
      <c r="B8" s="162">
        <v>2015</v>
      </c>
      <c r="C8" s="162"/>
    </row>
    <row r="9" spans="1:7" x14ac:dyDescent="0.25">
      <c r="A9" s="76" t="s">
        <v>283</v>
      </c>
      <c r="B9" s="162" t="s">
        <v>292</v>
      </c>
      <c r="C9" s="162"/>
    </row>
    <row r="10" spans="1:7" x14ac:dyDescent="0.25">
      <c r="A10" s="76" t="s">
        <v>6</v>
      </c>
      <c r="B10" s="162" t="s">
        <v>309</v>
      </c>
      <c r="C10" s="162"/>
    </row>
    <row r="11" spans="1:7" x14ac:dyDescent="0.25">
      <c r="A11" s="76" t="s">
        <v>284</v>
      </c>
      <c r="B11" s="162" t="s">
        <v>299</v>
      </c>
      <c r="C11" s="162"/>
    </row>
    <row r="12" spans="1:7" x14ac:dyDescent="0.25">
      <c r="A12" s="76" t="s">
        <v>285</v>
      </c>
      <c r="B12" s="162" t="s">
        <v>295</v>
      </c>
      <c r="C12" s="162"/>
    </row>
    <row r="13" spans="1:7" x14ac:dyDescent="0.25">
      <c r="A13" s="76" t="s">
        <v>493</v>
      </c>
      <c r="B13" s="162">
        <v>0</v>
      </c>
      <c r="C13" s="162"/>
    </row>
    <row r="14" spans="1:7" x14ac:dyDescent="0.25">
      <c r="A14" s="76" t="s">
        <v>287</v>
      </c>
      <c r="B14" s="162">
        <v>211</v>
      </c>
      <c r="C14" s="162"/>
    </row>
    <row r="15" spans="1:7" x14ac:dyDescent="0.25">
      <c r="A15" s="76" t="s">
        <v>496</v>
      </c>
      <c r="B15" s="162" t="s">
        <v>584</v>
      </c>
      <c r="C15" s="162"/>
    </row>
    <row r="16" spans="1:7" x14ac:dyDescent="0.25">
      <c r="A16" s="76" t="s">
        <v>288</v>
      </c>
      <c r="B16" s="162" t="s">
        <v>311</v>
      </c>
      <c r="C16" s="162"/>
    </row>
    <row r="17" spans="1:3" ht="51" customHeight="1" x14ac:dyDescent="0.25">
      <c r="A17" s="76" t="s">
        <v>568</v>
      </c>
      <c r="B17" s="162"/>
      <c r="C17" s="162"/>
    </row>
    <row r="18" spans="1:3" x14ac:dyDescent="0.25">
      <c r="A18" s="76" t="s">
        <v>500</v>
      </c>
      <c r="B18" s="164">
        <v>45070</v>
      </c>
      <c r="C18" s="162"/>
    </row>
    <row r="19" spans="1:3" x14ac:dyDescent="0.25">
      <c r="A19" s="76" t="s">
        <v>290</v>
      </c>
      <c r="B19" s="164">
        <v>45014</v>
      </c>
      <c r="C19" s="162"/>
    </row>
    <row r="20" spans="1:3" x14ac:dyDescent="0.25">
      <c r="A20" s="76" t="s">
        <v>291</v>
      </c>
      <c r="B20" s="162" t="s">
        <v>298</v>
      </c>
      <c r="C20" s="162"/>
    </row>
    <row r="21" spans="1:3" x14ac:dyDescent="0.25">
      <c r="A21" s="150" t="s">
        <v>569</v>
      </c>
      <c r="B21" s="162" t="s">
        <v>297</v>
      </c>
      <c r="C21" s="162"/>
    </row>
    <row r="23" spans="1:3" x14ac:dyDescent="0.25">
      <c r="B23" s="91" t="str">
        <f>HYPERLINK("#'Factor List'!A1","Back to Factor List")</f>
        <v>Back to Factor List</v>
      </c>
    </row>
    <row r="24" spans="1:3" x14ac:dyDescent="0.25">
      <c r="B24" s="91" t="str">
        <f>HYPERLINK("#'Assumptions'!A1","Assumptions")</f>
        <v>Assumptions</v>
      </c>
    </row>
    <row r="26" spans="1:3" ht="39.6" x14ac:dyDescent="0.25">
      <c r="A26" s="87" t="s">
        <v>570</v>
      </c>
      <c r="B26" s="87" t="s">
        <v>578</v>
      </c>
      <c r="C26" s="87" t="s">
        <v>572</v>
      </c>
    </row>
    <row r="27" spans="1:3" x14ac:dyDescent="0.25">
      <c r="A27" s="88">
        <v>16</v>
      </c>
      <c r="B27" s="89">
        <v>7.63</v>
      </c>
      <c r="C27" s="89">
        <v>2.3199999999999998</v>
      </c>
    </row>
    <row r="28" spans="1:3" x14ac:dyDescent="0.25">
      <c r="A28" s="88">
        <v>17</v>
      </c>
      <c r="B28" s="89">
        <v>7.73</v>
      </c>
      <c r="C28" s="89">
        <v>2.5099999999999998</v>
      </c>
    </row>
    <row r="29" spans="1:3" x14ac:dyDescent="0.25">
      <c r="A29" s="88">
        <v>18</v>
      </c>
      <c r="B29" s="89">
        <v>7.84</v>
      </c>
      <c r="C29" s="89">
        <v>2.7</v>
      </c>
    </row>
    <row r="30" spans="1:3" x14ac:dyDescent="0.25">
      <c r="A30" s="88">
        <v>19</v>
      </c>
      <c r="B30" s="89">
        <v>7.94</v>
      </c>
      <c r="C30" s="89">
        <v>2.82</v>
      </c>
    </row>
    <row r="31" spans="1:3" x14ac:dyDescent="0.25">
      <c r="A31" s="88">
        <v>20</v>
      </c>
      <c r="B31" s="89">
        <v>8.0500000000000007</v>
      </c>
      <c r="C31" s="89">
        <v>2.87</v>
      </c>
    </row>
    <row r="32" spans="1:3" x14ac:dyDescent="0.25">
      <c r="A32" s="88">
        <v>21</v>
      </c>
      <c r="B32" s="89">
        <v>8.16</v>
      </c>
      <c r="C32" s="89">
        <v>2.91</v>
      </c>
    </row>
    <row r="33" spans="1:3" x14ac:dyDescent="0.25">
      <c r="A33" s="88">
        <v>22</v>
      </c>
      <c r="B33" s="89">
        <v>8.27</v>
      </c>
      <c r="C33" s="89">
        <v>2.96</v>
      </c>
    </row>
    <row r="34" spans="1:3" x14ac:dyDescent="0.25">
      <c r="A34" s="88">
        <v>23</v>
      </c>
      <c r="B34" s="89">
        <v>8.3800000000000008</v>
      </c>
      <c r="C34" s="89">
        <v>3.01</v>
      </c>
    </row>
    <row r="35" spans="1:3" x14ac:dyDescent="0.25">
      <c r="A35" s="88">
        <v>24</v>
      </c>
      <c r="B35" s="89">
        <v>8.5</v>
      </c>
      <c r="C35" s="89">
        <v>3.06</v>
      </c>
    </row>
    <row r="36" spans="1:3" x14ac:dyDescent="0.25">
      <c r="A36" s="88">
        <v>25</v>
      </c>
      <c r="B36" s="89">
        <v>8.61</v>
      </c>
      <c r="C36" s="89">
        <v>3.11</v>
      </c>
    </row>
    <row r="37" spans="1:3" x14ac:dyDescent="0.25">
      <c r="A37" s="88">
        <v>26</v>
      </c>
      <c r="B37" s="89">
        <v>8.73</v>
      </c>
      <c r="C37" s="89">
        <v>3.16</v>
      </c>
    </row>
    <row r="38" spans="1:3" x14ac:dyDescent="0.25">
      <c r="A38" s="88">
        <v>27</v>
      </c>
      <c r="B38" s="89">
        <v>8.85</v>
      </c>
      <c r="C38" s="89">
        <v>3.2</v>
      </c>
    </row>
    <row r="39" spans="1:3" x14ac:dyDescent="0.25">
      <c r="A39" s="88">
        <v>28</v>
      </c>
      <c r="B39" s="89">
        <v>8.9700000000000006</v>
      </c>
      <c r="C39" s="89">
        <v>3.25</v>
      </c>
    </row>
    <row r="40" spans="1:3" x14ac:dyDescent="0.25">
      <c r="A40" s="88">
        <v>29</v>
      </c>
      <c r="B40" s="89">
        <v>9.09</v>
      </c>
      <c r="C40" s="89">
        <v>3.3</v>
      </c>
    </row>
    <row r="41" spans="1:3" x14ac:dyDescent="0.25">
      <c r="A41" s="88">
        <v>30</v>
      </c>
      <c r="B41" s="89">
        <v>9.2100000000000009</v>
      </c>
      <c r="C41" s="89">
        <v>3.35</v>
      </c>
    </row>
    <row r="42" spans="1:3" x14ac:dyDescent="0.25">
      <c r="A42" s="88">
        <v>31</v>
      </c>
      <c r="B42" s="89">
        <v>9.34</v>
      </c>
      <c r="C42" s="89">
        <v>3.4</v>
      </c>
    </row>
    <row r="43" spans="1:3" x14ac:dyDescent="0.25">
      <c r="A43" s="88">
        <v>32</v>
      </c>
      <c r="B43" s="89">
        <v>9.4700000000000006</v>
      </c>
      <c r="C43" s="89">
        <v>3.44</v>
      </c>
    </row>
    <row r="44" spans="1:3" x14ac:dyDescent="0.25">
      <c r="A44" s="88">
        <v>33</v>
      </c>
      <c r="B44" s="89">
        <v>9.6</v>
      </c>
      <c r="C44" s="89">
        <v>3.49</v>
      </c>
    </row>
    <row r="45" spans="1:3" x14ac:dyDescent="0.25">
      <c r="A45" s="88">
        <v>34</v>
      </c>
      <c r="B45" s="89">
        <v>9.73</v>
      </c>
      <c r="C45" s="89">
        <v>3.53</v>
      </c>
    </row>
    <row r="46" spans="1:3" x14ac:dyDescent="0.25">
      <c r="A46" s="88">
        <v>35</v>
      </c>
      <c r="B46" s="89">
        <v>9.8699999999999992</v>
      </c>
      <c r="C46" s="89">
        <v>3.58</v>
      </c>
    </row>
    <row r="47" spans="1:3" x14ac:dyDescent="0.25">
      <c r="A47" s="88">
        <v>36</v>
      </c>
      <c r="B47" s="89">
        <v>10.01</v>
      </c>
      <c r="C47" s="89">
        <v>3.62</v>
      </c>
    </row>
    <row r="48" spans="1:3" x14ac:dyDescent="0.25">
      <c r="A48" s="88">
        <v>37</v>
      </c>
      <c r="B48" s="89">
        <v>10.15</v>
      </c>
      <c r="C48" s="89">
        <v>3.67</v>
      </c>
    </row>
    <row r="49" spans="1:3" x14ac:dyDescent="0.25">
      <c r="A49" s="88">
        <v>38</v>
      </c>
      <c r="B49" s="89">
        <v>10.29</v>
      </c>
      <c r="C49" s="89">
        <v>3.71</v>
      </c>
    </row>
    <row r="50" spans="1:3" x14ac:dyDescent="0.25">
      <c r="A50" s="88">
        <v>39</v>
      </c>
      <c r="B50" s="89">
        <v>10.44</v>
      </c>
      <c r="C50" s="89">
        <v>3.76</v>
      </c>
    </row>
    <row r="51" spans="1:3" x14ac:dyDescent="0.25">
      <c r="A51" s="88">
        <v>40</v>
      </c>
      <c r="B51" s="89">
        <v>10.58</v>
      </c>
      <c r="C51" s="89">
        <v>3.8</v>
      </c>
    </row>
    <row r="52" spans="1:3" x14ac:dyDescent="0.25">
      <c r="A52" s="88">
        <v>41</v>
      </c>
      <c r="B52" s="89">
        <v>10.74</v>
      </c>
      <c r="C52" s="89">
        <v>3.84</v>
      </c>
    </row>
    <row r="53" spans="1:3" x14ac:dyDescent="0.25">
      <c r="A53" s="88">
        <v>42</v>
      </c>
      <c r="B53" s="89">
        <v>10.89</v>
      </c>
      <c r="C53" s="89">
        <v>3.88</v>
      </c>
    </row>
    <row r="54" spans="1:3" x14ac:dyDescent="0.25">
      <c r="A54" s="88">
        <v>43</v>
      </c>
      <c r="B54" s="89">
        <v>11.05</v>
      </c>
      <c r="C54" s="89">
        <v>3.91</v>
      </c>
    </row>
    <row r="55" spans="1:3" x14ac:dyDescent="0.25">
      <c r="A55" s="88">
        <v>44</v>
      </c>
      <c r="B55" s="89">
        <v>11.21</v>
      </c>
      <c r="C55" s="89">
        <v>3.95</v>
      </c>
    </row>
    <row r="56" spans="1:3" x14ac:dyDescent="0.25">
      <c r="A56" s="88">
        <v>45</v>
      </c>
      <c r="B56" s="89">
        <v>11.38</v>
      </c>
      <c r="C56" s="89">
        <v>3.98</v>
      </c>
    </row>
    <row r="57" spans="1:3" x14ac:dyDescent="0.25">
      <c r="A57" s="88">
        <v>46</v>
      </c>
      <c r="B57" s="89">
        <v>11.55</v>
      </c>
      <c r="C57" s="89">
        <v>4.0199999999999996</v>
      </c>
    </row>
    <row r="58" spans="1:3" x14ac:dyDescent="0.25">
      <c r="A58" s="88">
        <v>47</v>
      </c>
      <c r="B58" s="89">
        <v>11.72</v>
      </c>
      <c r="C58" s="89">
        <v>4.05</v>
      </c>
    </row>
    <row r="59" spans="1:3" x14ac:dyDescent="0.25">
      <c r="A59" s="88">
        <v>48</v>
      </c>
      <c r="B59" s="89">
        <v>11.9</v>
      </c>
      <c r="C59" s="89">
        <v>4.08</v>
      </c>
    </row>
    <row r="60" spans="1:3" x14ac:dyDescent="0.25">
      <c r="A60" s="88">
        <v>49</v>
      </c>
      <c r="B60" s="89">
        <v>12.09</v>
      </c>
      <c r="C60" s="89">
        <v>4.0999999999999996</v>
      </c>
    </row>
    <row r="61" spans="1:3" x14ac:dyDescent="0.25">
      <c r="A61" s="88">
        <v>50</v>
      </c>
      <c r="B61" s="89">
        <v>12.27</v>
      </c>
      <c r="C61" s="89">
        <v>4.13</v>
      </c>
    </row>
    <row r="62" spans="1:3" x14ac:dyDescent="0.25">
      <c r="A62" s="88">
        <v>51</v>
      </c>
      <c r="B62" s="89">
        <v>12.47</v>
      </c>
      <c r="C62" s="89">
        <v>4.1500000000000004</v>
      </c>
    </row>
    <row r="63" spans="1:3" x14ac:dyDescent="0.25">
      <c r="A63" s="88">
        <v>52</v>
      </c>
      <c r="B63" s="89">
        <v>12.67</v>
      </c>
      <c r="C63" s="89">
        <v>4.17</v>
      </c>
    </row>
    <row r="64" spans="1:3" x14ac:dyDescent="0.25">
      <c r="A64" s="88">
        <v>53</v>
      </c>
      <c r="B64" s="89">
        <v>12.87</v>
      </c>
      <c r="C64" s="89">
        <v>4.1900000000000004</v>
      </c>
    </row>
    <row r="65" spans="1:3" x14ac:dyDescent="0.25">
      <c r="A65" s="88">
        <v>54</v>
      </c>
      <c r="B65" s="89">
        <v>13.08</v>
      </c>
      <c r="C65" s="89">
        <v>4.21</v>
      </c>
    </row>
    <row r="66" spans="1:3" x14ac:dyDescent="0.25">
      <c r="A66" s="88">
        <v>55</v>
      </c>
      <c r="B66" s="89">
        <v>13.3</v>
      </c>
      <c r="C66" s="89">
        <v>4.2300000000000004</v>
      </c>
    </row>
    <row r="67" spans="1:3" x14ac:dyDescent="0.25">
      <c r="A67" s="88">
        <v>56</v>
      </c>
      <c r="B67" s="89">
        <v>13.53</v>
      </c>
      <c r="C67" s="89">
        <v>4.24</v>
      </c>
    </row>
    <row r="68" spans="1:3" x14ac:dyDescent="0.25">
      <c r="A68" s="88">
        <v>57</v>
      </c>
      <c r="B68" s="89">
        <v>13.76</v>
      </c>
      <c r="C68" s="89">
        <v>4.25</v>
      </c>
    </row>
    <row r="69" spans="1:3" x14ac:dyDescent="0.25">
      <c r="A69" s="88">
        <v>58</v>
      </c>
      <c r="B69" s="89">
        <v>14.01</v>
      </c>
      <c r="C69" s="89">
        <v>4.25</v>
      </c>
    </row>
    <row r="70" spans="1:3" x14ac:dyDescent="0.25">
      <c r="A70" s="88">
        <v>59</v>
      </c>
      <c r="B70" s="89">
        <v>14.26</v>
      </c>
      <c r="C70" s="89">
        <v>4.26</v>
      </c>
    </row>
    <row r="71" spans="1:3" x14ac:dyDescent="0.25">
      <c r="A71" s="88">
        <v>60</v>
      </c>
      <c r="B71" s="89">
        <v>14.53</v>
      </c>
      <c r="C71" s="89">
        <v>4.26</v>
      </c>
    </row>
    <row r="72" spans="1:3" x14ac:dyDescent="0.25">
      <c r="A72" s="88">
        <v>61</v>
      </c>
      <c r="B72" s="89">
        <v>14.8</v>
      </c>
      <c r="C72" s="89">
        <v>4.25</v>
      </c>
    </row>
    <row r="73" spans="1:3" x14ac:dyDescent="0.25">
      <c r="A73" s="88">
        <v>62</v>
      </c>
      <c r="B73" s="89">
        <v>15.1</v>
      </c>
      <c r="C73" s="89">
        <v>4.24</v>
      </c>
    </row>
    <row r="74" spans="1:3" x14ac:dyDescent="0.25">
      <c r="A74" s="88">
        <v>63</v>
      </c>
      <c r="B74" s="89">
        <v>15.41</v>
      </c>
      <c r="C74" s="89">
        <v>4.2300000000000004</v>
      </c>
    </row>
    <row r="75" spans="1:3" x14ac:dyDescent="0.25">
      <c r="A75" s="88">
        <v>64</v>
      </c>
      <c r="B75" s="89">
        <v>15.74</v>
      </c>
      <c r="C75" s="89">
        <v>4.2</v>
      </c>
    </row>
    <row r="76" spans="1:3" x14ac:dyDescent="0.25">
      <c r="A76" s="88">
        <v>65</v>
      </c>
      <c r="B76" s="89">
        <v>16.09</v>
      </c>
      <c r="C76" s="89">
        <v>4.18</v>
      </c>
    </row>
    <row r="77" spans="1:3" x14ac:dyDescent="0.25">
      <c r="A77" s="88">
        <v>66</v>
      </c>
      <c r="B77" s="89">
        <v>15.94</v>
      </c>
      <c r="C77" s="89">
        <v>4.1500000000000004</v>
      </c>
    </row>
    <row r="78" spans="1:3" x14ac:dyDescent="0.25">
      <c r="A78" s="88">
        <v>67</v>
      </c>
      <c r="B78" s="89">
        <v>15.27</v>
      </c>
      <c r="C78" s="89">
        <v>4.1399999999999997</v>
      </c>
    </row>
    <row r="79" spans="1:3" x14ac:dyDescent="0.25">
      <c r="A79" s="88">
        <v>68</v>
      </c>
      <c r="B79" s="89">
        <v>14.61</v>
      </c>
      <c r="C79" s="89">
        <v>4.12</v>
      </c>
    </row>
    <row r="80" spans="1:3" x14ac:dyDescent="0.25">
      <c r="A80" s="88">
        <v>69</v>
      </c>
      <c r="B80" s="89">
        <v>13.96</v>
      </c>
      <c r="C80" s="89">
        <v>4.05</v>
      </c>
    </row>
    <row r="81" spans="1:3" x14ac:dyDescent="0.25">
      <c r="A81" s="88">
        <v>70</v>
      </c>
      <c r="B81" s="89">
        <v>13.32</v>
      </c>
      <c r="C81" s="89">
        <v>3.97</v>
      </c>
    </row>
    <row r="82" spans="1:3" x14ac:dyDescent="0.25">
      <c r="A82" s="88">
        <v>71</v>
      </c>
      <c r="B82" s="89">
        <v>12.7</v>
      </c>
      <c r="C82" s="89">
        <v>3.94</v>
      </c>
    </row>
    <row r="83" spans="1:3" x14ac:dyDescent="0.25">
      <c r="A83" s="88">
        <v>72</v>
      </c>
      <c r="B83" s="89">
        <v>12.08</v>
      </c>
      <c r="C83" s="89">
        <v>3.9</v>
      </c>
    </row>
    <row r="84" spans="1:3" x14ac:dyDescent="0.25">
      <c r="A84" s="88">
        <v>73</v>
      </c>
      <c r="B84" s="89">
        <v>11.47</v>
      </c>
      <c r="C84" s="89">
        <v>3.86</v>
      </c>
    </row>
    <row r="85" spans="1:3" x14ac:dyDescent="0.25">
      <c r="A85" s="88">
        <v>74</v>
      </c>
      <c r="B85" s="89">
        <v>10.86</v>
      </c>
      <c r="C85" s="89">
        <v>3.68</v>
      </c>
    </row>
  </sheetData>
  <sheetProtection algorithmName="SHA-512" hashValue="1ZBOLwbdDQjjPszRCtA10J8UwBx0ezfkUUl27+p0Cvq1iuQFoII2HItHLsEhk1ehlfIwTzXoib0fIEcqHFLkOA==" saltValue="NbAn/QdRTCgJ90biZMl+/w==" spinCount="100000" sheet="1" objects="1" scenarios="1"/>
  <conditionalFormatting sqref="A6:A21">
    <cfRule type="expression" dxfId="701" priority="3" stopIfTrue="1">
      <formula>MOD(ROW(),2)=0</formula>
    </cfRule>
    <cfRule type="expression" dxfId="700" priority="4" stopIfTrue="1">
      <formula>MOD(ROW(),2)&lt;&gt;0</formula>
    </cfRule>
  </conditionalFormatting>
  <conditionalFormatting sqref="A26:A85">
    <cfRule type="expression" dxfId="699" priority="13" stopIfTrue="1">
      <formula>MOD(ROW(),2)=0</formula>
    </cfRule>
    <cfRule type="expression" dxfId="698" priority="14" stopIfTrue="1">
      <formula>MOD(ROW(),2)&lt;&gt;0</formula>
    </cfRule>
  </conditionalFormatting>
  <conditionalFormatting sqref="B18:B21">
    <cfRule type="expression" dxfId="697" priority="11" stopIfTrue="1">
      <formula>MOD(ROW(),2)=0</formula>
    </cfRule>
    <cfRule type="expression" dxfId="696" priority="12" stopIfTrue="1">
      <formula>MOD(ROW(),2)&lt;&gt;0</formula>
    </cfRule>
  </conditionalFormatting>
  <conditionalFormatting sqref="B6:C21">
    <cfRule type="expression" dxfId="695" priority="23" stopIfTrue="1">
      <formula>MOD(ROW(),2)=0</formula>
    </cfRule>
    <cfRule type="expression" dxfId="694" priority="24" stopIfTrue="1">
      <formula>MOD(ROW(),2)&lt;&gt;0</formula>
    </cfRule>
  </conditionalFormatting>
  <conditionalFormatting sqref="B26:C85">
    <cfRule type="expression" dxfId="693" priority="15" stopIfTrue="1">
      <formula>MOD(ROW(),2)=0</formula>
    </cfRule>
    <cfRule type="expression" dxfId="692" priority="16" stopIfTrue="1">
      <formula>MOD(ROW(),2)&lt;&gt;0</formula>
    </cfRule>
  </conditionalFormatting>
  <conditionalFormatting sqref="C17">
    <cfRule type="expression" dxfId="691" priority="9" stopIfTrue="1">
      <formula>MOD(ROW(),2)=0</formula>
    </cfRule>
    <cfRule type="expression" dxfId="690"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workbookViewId="0">
      <selection activeCell="B6" sqref="A6:M21"/>
    </sheetView>
  </sheetViews>
  <sheetFormatPr defaultRowHeight="13.2" x14ac:dyDescent="0.25"/>
  <sheetData>
    <row r="1" spans="1:13" ht="21" x14ac:dyDescent="0.4">
      <c r="A1" s="4" t="s">
        <v>0</v>
      </c>
      <c r="B1" s="4"/>
      <c r="C1" s="4"/>
      <c r="D1" s="4"/>
      <c r="E1" s="4"/>
      <c r="F1" s="4"/>
      <c r="G1" s="4"/>
      <c r="H1" s="4"/>
      <c r="I1" s="4"/>
      <c r="J1" s="4"/>
      <c r="K1" s="4"/>
      <c r="L1" s="4"/>
    </row>
    <row r="2" spans="1:13" ht="15.6" x14ac:dyDescent="0.3">
      <c r="A2" s="5" t="str">
        <f>IF(title="&gt; Enter workbook title here","Enter workbook title in Cover sheet",title)</f>
        <v>Fire_S - Consolidated Factor Spreadsheet</v>
      </c>
      <c r="B2" s="5"/>
      <c r="C2" s="5"/>
      <c r="D2" s="5"/>
      <c r="E2" s="5"/>
      <c r="F2" s="5"/>
      <c r="G2" s="5"/>
      <c r="H2" s="5"/>
      <c r="I2" s="5"/>
      <c r="J2" s="5"/>
      <c r="K2" s="5"/>
      <c r="L2" s="5"/>
    </row>
    <row r="3" spans="1:13" ht="15.6" x14ac:dyDescent="0.3">
      <c r="A3" s="6" t="s">
        <v>31</v>
      </c>
      <c r="B3" s="6"/>
      <c r="C3" s="6"/>
      <c r="D3" s="6"/>
      <c r="E3" s="6"/>
      <c r="F3" s="6"/>
      <c r="G3" s="6"/>
      <c r="H3" s="6"/>
      <c r="I3" s="6"/>
      <c r="J3" s="6"/>
      <c r="K3" s="6"/>
      <c r="L3" s="6"/>
    </row>
    <row r="4" spans="1:13" x14ac:dyDescent="0.25">
      <c r="A4" s="7" t="str">
        <f ca="1">CELL("filename",A1)</f>
        <v>https://tris42.sharepoint.com/sites/gad_wrkgrp_actuarial/pspsactuarialwork/Central/Factors &amp; Guidance/2024 Guidance Review/4. Online portal/3. Import data/3. Factor tables/0_client_friendly/Ready to be uploaded/2025-03/[Fire S Consolidated Factors 2025-02.xlsx]Purpose of spreadsheet</v>
      </c>
      <c r="B4" s="7"/>
    </row>
    <row r="5" spans="1:13" x14ac:dyDescent="0.25">
      <c r="E5" s="8"/>
      <c r="F5" s="8"/>
      <c r="G5" s="8"/>
    </row>
    <row r="7" spans="1:13" ht="15.6" x14ac:dyDescent="0.3">
      <c r="A7" s="171" t="s">
        <v>32</v>
      </c>
      <c r="B7" s="172"/>
      <c r="C7" s="172"/>
      <c r="D7" s="172"/>
      <c r="E7" s="172"/>
      <c r="F7" s="172"/>
      <c r="G7" s="172"/>
      <c r="H7" s="172"/>
      <c r="I7" s="172"/>
      <c r="J7" s="172"/>
      <c r="K7" s="172"/>
      <c r="L7" s="172"/>
      <c r="M7" s="173"/>
    </row>
    <row r="8" spans="1:13" x14ac:dyDescent="0.25">
      <c r="A8" s="28"/>
      <c r="M8" s="18"/>
    </row>
    <row r="9" spans="1:13" x14ac:dyDescent="0.25">
      <c r="A9" s="174" t="s">
        <v>33</v>
      </c>
      <c r="B9" s="175"/>
      <c r="C9" s="175"/>
      <c r="D9" s="175"/>
      <c r="E9" s="175"/>
      <c r="F9" s="175"/>
      <c r="G9" s="175"/>
      <c r="H9" s="175"/>
      <c r="I9" s="175"/>
      <c r="J9" s="175"/>
      <c r="K9" s="175"/>
      <c r="L9" s="175"/>
      <c r="M9" s="176"/>
    </row>
    <row r="10" spans="1:13" ht="22.5" customHeight="1" x14ac:dyDescent="0.25">
      <c r="A10" s="177"/>
      <c r="B10" s="175"/>
      <c r="C10" s="175"/>
      <c r="D10" s="175"/>
      <c r="E10" s="175"/>
      <c r="F10" s="175"/>
      <c r="G10" s="175"/>
      <c r="H10" s="175"/>
      <c r="I10" s="175"/>
      <c r="J10" s="175"/>
      <c r="K10" s="175"/>
      <c r="L10" s="175"/>
      <c r="M10" s="176"/>
    </row>
    <row r="11" spans="1:13" ht="31.5" customHeight="1" x14ac:dyDescent="0.25">
      <c r="A11" s="177"/>
      <c r="B11" s="175"/>
      <c r="C11" s="175"/>
      <c r="D11" s="175"/>
      <c r="E11" s="175"/>
      <c r="F11" s="175"/>
      <c r="G11" s="175"/>
      <c r="H11" s="175"/>
      <c r="I11" s="175"/>
      <c r="J11" s="175"/>
      <c r="K11" s="175"/>
      <c r="L11" s="175"/>
      <c r="M11" s="176"/>
    </row>
    <row r="12" spans="1:13" ht="183" customHeight="1" x14ac:dyDescent="0.25">
      <c r="A12" s="178"/>
      <c r="B12" s="179"/>
      <c r="C12" s="179"/>
      <c r="D12" s="179"/>
      <c r="E12" s="179"/>
      <c r="F12" s="179"/>
      <c r="G12" s="179"/>
      <c r="H12" s="179"/>
      <c r="I12" s="179"/>
      <c r="J12" s="179"/>
      <c r="K12" s="179"/>
      <c r="L12" s="179"/>
      <c r="M12" s="180"/>
    </row>
  </sheetData>
  <sheetProtection algorithmName="SHA-512" hashValue="fYleLWdWaWCWq9QQlmPpvN0EFTuWoiHt5D5Gnho0ej3/bB4AZ7TIfJb3LLm4K0CyhvfGwLZD0TNsJ0Msd668PQ==" saltValue="hxX12VbUuajAe/Nzv1GMQQ=="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dimension ref="A1:G85"/>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Fire_S - Consolidated Factor Spreadsheet</v>
      </c>
      <c r="B2" s="42"/>
      <c r="C2" s="42"/>
      <c r="D2" s="42"/>
      <c r="E2" s="42"/>
      <c r="F2" s="42"/>
      <c r="G2" s="42"/>
    </row>
    <row r="3" spans="1:7" ht="15.6" x14ac:dyDescent="0.3">
      <c r="A3" s="43" t="str">
        <f>TABLE_FACTOR_TYPE_1&amp;" - x-"&amp;TABLE_SERIES_NUMBER_1</f>
        <v>CETV - x-212</v>
      </c>
      <c r="B3" s="42"/>
      <c r="C3" s="42"/>
      <c r="D3" s="42"/>
      <c r="E3" s="42"/>
      <c r="F3" s="42"/>
      <c r="G3" s="42"/>
    </row>
    <row r="4" spans="1:7" x14ac:dyDescent="0.25">
      <c r="A4" s="44"/>
    </row>
    <row r="6" spans="1:7" x14ac:dyDescent="0.25">
      <c r="A6" s="75" t="s">
        <v>484</v>
      </c>
      <c r="B6" s="162" t="s">
        <v>485</v>
      </c>
      <c r="C6" s="162"/>
    </row>
    <row r="7" spans="1:7" x14ac:dyDescent="0.25">
      <c r="A7" s="76" t="s">
        <v>486</v>
      </c>
      <c r="B7" s="162" t="s">
        <v>81</v>
      </c>
      <c r="C7" s="162"/>
    </row>
    <row r="8" spans="1:7" x14ac:dyDescent="0.25">
      <c r="A8" s="76" t="s">
        <v>282</v>
      </c>
      <c r="B8" s="162">
        <v>2015</v>
      </c>
      <c r="C8" s="162"/>
    </row>
    <row r="9" spans="1:7" x14ac:dyDescent="0.25">
      <c r="A9" s="76" t="s">
        <v>283</v>
      </c>
      <c r="B9" s="162" t="s">
        <v>292</v>
      </c>
      <c r="C9" s="162"/>
    </row>
    <row r="10" spans="1:7" x14ac:dyDescent="0.25">
      <c r="A10" s="76" t="s">
        <v>6</v>
      </c>
      <c r="B10" s="162" t="s">
        <v>312</v>
      </c>
      <c r="C10" s="162"/>
    </row>
    <row r="11" spans="1:7" x14ac:dyDescent="0.25">
      <c r="A11" s="76" t="s">
        <v>284</v>
      </c>
      <c r="B11" s="162" t="s">
        <v>294</v>
      </c>
      <c r="C11" s="162"/>
    </row>
    <row r="12" spans="1:7" x14ac:dyDescent="0.25">
      <c r="A12" s="76" t="s">
        <v>285</v>
      </c>
      <c r="B12" s="162" t="s">
        <v>295</v>
      </c>
      <c r="C12" s="162"/>
    </row>
    <row r="13" spans="1:7" x14ac:dyDescent="0.25">
      <c r="A13" s="76" t="s">
        <v>493</v>
      </c>
      <c r="B13" s="162">
        <v>0</v>
      </c>
      <c r="C13" s="162"/>
    </row>
    <row r="14" spans="1:7" x14ac:dyDescent="0.25">
      <c r="A14" s="76" t="s">
        <v>287</v>
      </c>
      <c r="B14" s="162">
        <v>212</v>
      </c>
      <c r="C14" s="162"/>
    </row>
    <row r="15" spans="1:7" x14ac:dyDescent="0.25">
      <c r="A15" s="76" t="s">
        <v>496</v>
      </c>
      <c r="B15" s="162" t="s">
        <v>585</v>
      </c>
      <c r="C15" s="162"/>
    </row>
    <row r="16" spans="1:7" x14ac:dyDescent="0.25">
      <c r="A16" s="76" t="s">
        <v>288</v>
      </c>
      <c r="B16" s="162" t="s">
        <v>313</v>
      </c>
      <c r="C16" s="162"/>
    </row>
    <row r="17" spans="1:3" ht="51" customHeight="1" x14ac:dyDescent="0.25">
      <c r="A17" s="76" t="s">
        <v>568</v>
      </c>
      <c r="B17" s="162"/>
      <c r="C17" s="162"/>
    </row>
    <row r="18" spans="1:3" x14ac:dyDescent="0.25">
      <c r="A18" s="76" t="s">
        <v>500</v>
      </c>
      <c r="B18" s="164">
        <v>45070</v>
      </c>
      <c r="C18" s="162"/>
    </row>
    <row r="19" spans="1:3" x14ac:dyDescent="0.25">
      <c r="A19" s="76" t="s">
        <v>290</v>
      </c>
      <c r="B19" s="164">
        <v>45014</v>
      </c>
      <c r="C19" s="162"/>
    </row>
    <row r="20" spans="1:3" x14ac:dyDescent="0.25">
      <c r="A20" s="76" t="s">
        <v>291</v>
      </c>
      <c r="B20" s="162" t="s">
        <v>298</v>
      </c>
      <c r="C20" s="162"/>
    </row>
    <row r="21" spans="1:3" x14ac:dyDescent="0.25">
      <c r="A21" s="150" t="s">
        <v>569</v>
      </c>
      <c r="B21" s="162" t="s">
        <v>297</v>
      </c>
      <c r="C21" s="162"/>
    </row>
    <row r="23" spans="1:3" x14ac:dyDescent="0.25">
      <c r="B23" s="91" t="str">
        <f>HYPERLINK("#'Factor List'!A1","Back to Factor List")</f>
        <v>Back to Factor List</v>
      </c>
    </row>
    <row r="24" spans="1:3" x14ac:dyDescent="0.25">
      <c r="B24" s="91" t="str">
        <f>HYPERLINK("#'Assumptions'!A1","Assumptions")</f>
        <v>Assumptions</v>
      </c>
    </row>
    <row r="26" spans="1:3" ht="39.6" x14ac:dyDescent="0.25">
      <c r="A26" s="87" t="s">
        <v>570</v>
      </c>
      <c r="B26" s="87" t="s">
        <v>578</v>
      </c>
      <c r="C26" s="87" t="s">
        <v>572</v>
      </c>
    </row>
    <row r="27" spans="1:3" x14ac:dyDescent="0.25">
      <c r="A27" s="88">
        <v>16</v>
      </c>
      <c r="B27" s="89">
        <v>7.24</v>
      </c>
      <c r="C27" s="89">
        <v>2.33</v>
      </c>
    </row>
    <row r="28" spans="1:3" x14ac:dyDescent="0.25">
      <c r="A28" s="88">
        <v>17</v>
      </c>
      <c r="B28" s="89">
        <v>7.33</v>
      </c>
      <c r="C28" s="89">
        <v>2.52</v>
      </c>
    </row>
    <row r="29" spans="1:3" x14ac:dyDescent="0.25">
      <c r="A29" s="88">
        <v>18</v>
      </c>
      <c r="B29" s="89">
        <v>7.43</v>
      </c>
      <c r="C29" s="89">
        <v>2.71</v>
      </c>
    </row>
    <row r="30" spans="1:3" x14ac:dyDescent="0.25">
      <c r="A30" s="88">
        <v>19</v>
      </c>
      <c r="B30" s="89">
        <v>7.53</v>
      </c>
      <c r="C30" s="89">
        <v>2.83</v>
      </c>
    </row>
    <row r="31" spans="1:3" x14ac:dyDescent="0.25">
      <c r="A31" s="88">
        <v>20</v>
      </c>
      <c r="B31" s="89">
        <v>7.63</v>
      </c>
      <c r="C31" s="89">
        <v>2.88</v>
      </c>
    </row>
    <row r="32" spans="1:3" x14ac:dyDescent="0.25">
      <c r="A32" s="88">
        <v>21</v>
      </c>
      <c r="B32" s="89">
        <v>7.73</v>
      </c>
      <c r="C32" s="89">
        <v>2.93</v>
      </c>
    </row>
    <row r="33" spans="1:3" x14ac:dyDescent="0.25">
      <c r="A33" s="88">
        <v>22</v>
      </c>
      <c r="B33" s="89">
        <v>7.83</v>
      </c>
      <c r="C33" s="89">
        <v>2.97</v>
      </c>
    </row>
    <row r="34" spans="1:3" x14ac:dyDescent="0.25">
      <c r="A34" s="88">
        <v>23</v>
      </c>
      <c r="B34" s="89">
        <v>7.94</v>
      </c>
      <c r="C34" s="89">
        <v>3.02</v>
      </c>
    </row>
    <row r="35" spans="1:3" x14ac:dyDescent="0.25">
      <c r="A35" s="88">
        <v>24</v>
      </c>
      <c r="B35" s="89">
        <v>8.0500000000000007</v>
      </c>
      <c r="C35" s="89">
        <v>3.07</v>
      </c>
    </row>
    <row r="36" spans="1:3" x14ac:dyDescent="0.25">
      <c r="A36" s="88">
        <v>25</v>
      </c>
      <c r="B36" s="89">
        <v>8.15</v>
      </c>
      <c r="C36" s="89">
        <v>3.12</v>
      </c>
    </row>
    <row r="37" spans="1:3" x14ac:dyDescent="0.25">
      <c r="A37" s="88">
        <v>26</v>
      </c>
      <c r="B37" s="89">
        <v>8.26</v>
      </c>
      <c r="C37" s="89">
        <v>3.17</v>
      </c>
    </row>
    <row r="38" spans="1:3" x14ac:dyDescent="0.25">
      <c r="A38" s="88">
        <v>27</v>
      </c>
      <c r="B38" s="89">
        <v>8.3699999999999992</v>
      </c>
      <c r="C38" s="89">
        <v>3.22</v>
      </c>
    </row>
    <row r="39" spans="1:3" x14ac:dyDescent="0.25">
      <c r="A39" s="88">
        <v>28</v>
      </c>
      <c r="B39" s="89">
        <v>8.49</v>
      </c>
      <c r="C39" s="89">
        <v>3.27</v>
      </c>
    </row>
    <row r="40" spans="1:3" x14ac:dyDescent="0.25">
      <c r="A40" s="88">
        <v>29</v>
      </c>
      <c r="B40" s="89">
        <v>8.6</v>
      </c>
      <c r="C40" s="89">
        <v>3.32</v>
      </c>
    </row>
    <row r="41" spans="1:3" x14ac:dyDescent="0.25">
      <c r="A41" s="88">
        <v>30</v>
      </c>
      <c r="B41" s="89">
        <v>8.7200000000000006</v>
      </c>
      <c r="C41" s="89">
        <v>3.36</v>
      </c>
    </row>
    <row r="42" spans="1:3" x14ac:dyDescent="0.25">
      <c r="A42" s="88">
        <v>31</v>
      </c>
      <c r="B42" s="89">
        <v>8.84</v>
      </c>
      <c r="C42" s="89">
        <v>3.41</v>
      </c>
    </row>
    <row r="43" spans="1:3" x14ac:dyDescent="0.25">
      <c r="A43" s="88">
        <v>32</v>
      </c>
      <c r="B43" s="89">
        <v>8.9600000000000009</v>
      </c>
      <c r="C43" s="89">
        <v>3.46</v>
      </c>
    </row>
    <row r="44" spans="1:3" x14ac:dyDescent="0.25">
      <c r="A44" s="88">
        <v>33</v>
      </c>
      <c r="B44" s="89">
        <v>9.08</v>
      </c>
      <c r="C44" s="89">
        <v>3.51</v>
      </c>
    </row>
    <row r="45" spans="1:3" x14ac:dyDescent="0.25">
      <c r="A45" s="88">
        <v>34</v>
      </c>
      <c r="B45" s="89">
        <v>9.1999999999999993</v>
      </c>
      <c r="C45" s="89">
        <v>3.55</v>
      </c>
    </row>
    <row r="46" spans="1:3" x14ac:dyDescent="0.25">
      <c r="A46" s="88">
        <v>35</v>
      </c>
      <c r="B46" s="89">
        <v>9.33</v>
      </c>
      <c r="C46" s="89">
        <v>3.6</v>
      </c>
    </row>
    <row r="47" spans="1:3" x14ac:dyDescent="0.25">
      <c r="A47" s="88">
        <v>36</v>
      </c>
      <c r="B47" s="89">
        <v>9.4600000000000009</v>
      </c>
      <c r="C47" s="89">
        <v>3.64</v>
      </c>
    </row>
    <row r="48" spans="1:3" x14ac:dyDescent="0.25">
      <c r="A48" s="88">
        <v>37</v>
      </c>
      <c r="B48" s="89">
        <v>9.59</v>
      </c>
      <c r="C48" s="89">
        <v>3.69</v>
      </c>
    </row>
    <row r="49" spans="1:3" x14ac:dyDescent="0.25">
      <c r="A49" s="88">
        <v>38</v>
      </c>
      <c r="B49" s="89">
        <v>9.7200000000000006</v>
      </c>
      <c r="C49" s="89">
        <v>3.73</v>
      </c>
    </row>
    <row r="50" spans="1:3" x14ac:dyDescent="0.25">
      <c r="A50" s="88">
        <v>39</v>
      </c>
      <c r="B50" s="89">
        <v>9.86</v>
      </c>
      <c r="C50" s="89">
        <v>3.78</v>
      </c>
    </row>
    <row r="51" spans="1:3" x14ac:dyDescent="0.25">
      <c r="A51" s="88">
        <v>40</v>
      </c>
      <c r="B51" s="89">
        <v>10</v>
      </c>
      <c r="C51" s="89">
        <v>3.82</v>
      </c>
    </row>
    <row r="52" spans="1:3" x14ac:dyDescent="0.25">
      <c r="A52" s="88">
        <v>41</v>
      </c>
      <c r="B52" s="89">
        <v>10.14</v>
      </c>
      <c r="C52" s="89">
        <v>3.86</v>
      </c>
    </row>
    <row r="53" spans="1:3" x14ac:dyDescent="0.25">
      <c r="A53" s="88">
        <v>42</v>
      </c>
      <c r="B53" s="89">
        <v>10.28</v>
      </c>
      <c r="C53" s="89">
        <v>3.9</v>
      </c>
    </row>
    <row r="54" spans="1:3" x14ac:dyDescent="0.25">
      <c r="A54" s="88">
        <v>43</v>
      </c>
      <c r="B54" s="89">
        <v>10.43</v>
      </c>
      <c r="C54" s="89">
        <v>3.94</v>
      </c>
    </row>
    <row r="55" spans="1:3" x14ac:dyDescent="0.25">
      <c r="A55" s="88">
        <v>44</v>
      </c>
      <c r="B55" s="89">
        <v>10.58</v>
      </c>
      <c r="C55" s="89">
        <v>3.97</v>
      </c>
    </row>
    <row r="56" spans="1:3" x14ac:dyDescent="0.25">
      <c r="A56" s="88">
        <v>45</v>
      </c>
      <c r="B56" s="89">
        <v>10.74</v>
      </c>
      <c r="C56" s="89">
        <v>4.01</v>
      </c>
    </row>
    <row r="57" spans="1:3" x14ac:dyDescent="0.25">
      <c r="A57" s="88">
        <v>46</v>
      </c>
      <c r="B57" s="89">
        <v>10.9</v>
      </c>
      <c r="C57" s="89">
        <v>4.04</v>
      </c>
    </row>
    <row r="58" spans="1:3" x14ac:dyDescent="0.25">
      <c r="A58" s="88">
        <v>47</v>
      </c>
      <c r="B58" s="89">
        <v>11.06</v>
      </c>
      <c r="C58" s="89">
        <v>4.07</v>
      </c>
    </row>
    <row r="59" spans="1:3" x14ac:dyDescent="0.25">
      <c r="A59" s="88">
        <v>48</v>
      </c>
      <c r="B59" s="89">
        <v>11.22</v>
      </c>
      <c r="C59" s="89">
        <v>4.0999999999999996</v>
      </c>
    </row>
    <row r="60" spans="1:3" x14ac:dyDescent="0.25">
      <c r="A60" s="88">
        <v>49</v>
      </c>
      <c r="B60" s="89">
        <v>11.4</v>
      </c>
      <c r="C60" s="89">
        <v>4.13</v>
      </c>
    </row>
    <row r="61" spans="1:3" x14ac:dyDescent="0.25">
      <c r="A61" s="88">
        <v>50</v>
      </c>
      <c r="B61" s="89">
        <v>11.57</v>
      </c>
      <c r="C61" s="89">
        <v>4.1500000000000004</v>
      </c>
    </row>
    <row r="62" spans="1:3" x14ac:dyDescent="0.25">
      <c r="A62" s="88">
        <v>51</v>
      </c>
      <c r="B62" s="89">
        <v>11.75</v>
      </c>
      <c r="C62" s="89">
        <v>4.18</v>
      </c>
    </row>
    <row r="63" spans="1:3" x14ac:dyDescent="0.25">
      <c r="A63" s="88">
        <v>52</v>
      </c>
      <c r="B63" s="89">
        <v>11.94</v>
      </c>
      <c r="C63" s="89">
        <v>4.2</v>
      </c>
    </row>
    <row r="64" spans="1:3" x14ac:dyDescent="0.25">
      <c r="A64" s="88">
        <v>53</v>
      </c>
      <c r="B64" s="89">
        <v>12.13</v>
      </c>
      <c r="C64" s="89">
        <v>4.22</v>
      </c>
    </row>
    <row r="65" spans="1:3" x14ac:dyDescent="0.25">
      <c r="A65" s="88">
        <v>54</v>
      </c>
      <c r="B65" s="89">
        <v>12.33</v>
      </c>
      <c r="C65" s="89">
        <v>4.24</v>
      </c>
    </row>
    <row r="66" spans="1:3" x14ac:dyDescent="0.25">
      <c r="A66" s="88">
        <v>55</v>
      </c>
      <c r="B66" s="89">
        <v>12.53</v>
      </c>
      <c r="C66" s="89">
        <v>4.25</v>
      </c>
    </row>
    <row r="67" spans="1:3" x14ac:dyDescent="0.25">
      <c r="A67" s="88">
        <v>56</v>
      </c>
      <c r="B67" s="89">
        <v>12.74</v>
      </c>
      <c r="C67" s="89">
        <v>4.2699999999999996</v>
      </c>
    </row>
    <row r="68" spans="1:3" x14ac:dyDescent="0.25">
      <c r="A68" s="88">
        <v>57</v>
      </c>
      <c r="B68" s="89">
        <v>12.96</v>
      </c>
      <c r="C68" s="89">
        <v>4.28</v>
      </c>
    </row>
    <row r="69" spans="1:3" x14ac:dyDescent="0.25">
      <c r="A69" s="88">
        <v>58</v>
      </c>
      <c r="B69" s="89">
        <v>13.18</v>
      </c>
      <c r="C69" s="89">
        <v>4.28</v>
      </c>
    </row>
    <row r="70" spans="1:3" x14ac:dyDescent="0.25">
      <c r="A70" s="88">
        <v>59</v>
      </c>
      <c r="B70" s="89">
        <v>13.42</v>
      </c>
      <c r="C70" s="89">
        <v>4.29</v>
      </c>
    </row>
    <row r="71" spans="1:3" x14ac:dyDescent="0.25">
      <c r="A71" s="88">
        <v>60</v>
      </c>
      <c r="B71" s="89">
        <v>13.67</v>
      </c>
      <c r="C71" s="89">
        <v>4.29</v>
      </c>
    </row>
    <row r="72" spans="1:3" x14ac:dyDescent="0.25">
      <c r="A72" s="88">
        <v>61</v>
      </c>
      <c r="B72" s="89">
        <v>13.93</v>
      </c>
      <c r="C72" s="89">
        <v>4.28</v>
      </c>
    </row>
    <row r="73" spans="1:3" x14ac:dyDescent="0.25">
      <c r="A73" s="88">
        <v>62</v>
      </c>
      <c r="B73" s="89">
        <v>14.2</v>
      </c>
      <c r="C73" s="89">
        <v>4.2699999999999996</v>
      </c>
    </row>
    <row r="74" spans="1:3" x14ac:dyDescent="0.25">
      <c r="A74" s="88">
        <v>63</v>
      </c>
      <c r="B74" s="89">
        <v>14.49</v>
      </c>
      <c r="C74" s="89">
        <v>4.26</v>
      </c>
    </row>
    <row r="75" spans="1:3" x14ac:dyDescent="0.25">
      <c r="A75" s="88">
        <v>64</v>
      </c>
      <c r="B75" s="89">
        <v>14.79</v>
      </c>
      <c r="C75" s="89">
        <v>4.2300000000000004</v>
      </c>
    </row>
    <row r="76" spans="1:3" x14ac:dyDescent="0.25">
      <c r="A76" s="88">
        <v>65</v>
      </c>
      <c r="B76" s="89">
        <v>15.12</v>
      </c>
      <c r="C76" s="89">
        <v>4.2</v>
      </c>
    </row>
    <row r="77" spans="1:3" x14ac:dyDescent="0.25">
      <c r="A77" s="88">
        <v>66</v>
      </c>
      <c r="B77" s="89">
        <v>15.47</v>
      </c>
      <c r="C77" s="89">
        <v>4.17</v>
      </c>
    </row>
    <row r="78" spans="1:3" x14ac:dyDescent="0.25">
      <c r="A78" s="88">
        <v>67</v>
      </c>
      <c r="B78" s="89">
        <v>15.32</v>
      </c>
      <c r="C78" s="89">
        <v>4.1399999999999997</v>
      </c>
    </row>
    <row r="79" spans="1:3" x14ac:dyDescent="0.25">
      <c r="A79" s="88">
        <v>68</v>
      </c>
      <c r="B79" s="89">
        <v>14.65</v>
      </c>
      <c r="C79" s="89">
        <v>4.12</v>
      </c>
    </row>
    <row r="80" spans="1:3" x14ac:dyDescent="0.25">
      <c r="A80" s="88">
        <v>69</v>
      </c>
      <c r="B80" s="89">
        <v>13.99</v>
      </c>
      <c r="C80" s="89">
        <v>4.05</v>
      </c>
    </row>
    <row r="81" spans="1:3" x14ac:dyDescent="0.25">
      <c r="A81" s="88">
        <v>70</v>
      </c>
      <c r="B81" s="89">
        <v>13.34</v>
      </c>
      <c r="C81" s="89">
        <v>3.97</v>
      </c>
    </row>
    <row r="82" spans="1:3" x14ac:dyDescent="0.25">
      <c r="A82" s="88">
        <v>71</v>
      </c>
      <c r="B82" s="89">
        <v>12.7</v>
      </c>
      <c r="C82" s="89">
        <v>3.94</v>
      </c>
    </row>
    <row r="83" spans="1:3" x14ac:dyDescent="0.25">
      <c r="A83" s="88">
        <v>72</v>
      </c>
      <c r="B83" s="89">
        <v>12.08</v>
      </c>
      <c r="C83" s="89">
        <v>3.9</v>
      </c>
    </row>
    <row r="84" spans="1:3" x14ac:dyDescent="0.25">
      <c r="A84" s="88">
        <v>73</v>
      </c>
      <c r="B84" s="89">
        <v>11.47</v>
      </c>
      <c r="C84" s="89">
        <v>3.86</v>
      </c>
    </row>
    <row r="85" spans="1:3" x14ac:dyDescent="0.25">
      <c r="A85" s="88">
        <v>74</v>
      </c>
      <c r="B85" s="89">
        <v>10.86</v>
      </c>
      <c r="C85" s="89">
        <v>3.68</v>
      </c>
    </row>
  </sheetData>
  <sheetProtection algorithmName="SHA-512" hashValue="mo3tWzxzFYaHNLZ/HRL7QnK1u9xza4d03Fza08PpYYl2JVWndInit3YChjp0aWETIbCyv2MJxW1lrDIHAFVi+g==" saltValue="QsBDSxGE2LiclwrSxx+8WA==" spinCount="100000" sheet="1" objects="1" scenarios="1"/>
  <conditionalFormatting sqref="A6:A21">
    <cfRule type="expression" dxfId="689" priority="3" stopIfTrue="1">
      <formula>MOD(ROW(),2)=0</formula>
    </cfRule>
    <cfRule type="expression" dxfId="688" priority="4" stopIfTrue="1">
      <formula>MOD(ROW(),2)&lt;&gt;0</formula>
    </cfRule>
  </conditionalFormatting>
  <conditionalFormatting sqref="A26:A85">
    <cfRule type="expression" dxfId="687" priority="13" stopIfTrue="1">
      <formula>MOD(ROW(),2)=0</formula>
    </cfRule>
    <cfRule type="expression" dxfId="686" priority="14" stopIfTrue="1">
      <formula>MOD(ROW(),2)&lt;&gt;0</formula>
    </cfRule>
  </conditionalFormatting>
  <conditionalFormatting sqref="B18:B21">
    <cfRule type="expression" dxfId="685" priority="11" stopIfTrue="1">
      <formula>MOD(ROW(),2)=0</formula>
    </cfRule>
    <cfRule type="expression" dxfId="684" priority="12" stopIfTrue="1">
      <formula>MOD(ROW(),2)&lt;&gt;0</formula>
    </cfRule>
  </conditionalFormatting>
  <conditionalFormatting sqref="B6:C21">
    <cfRule type="expression" dxfId="683" priority="23" stopIfTrue="1">
      <formula>MOD(ROW(),2)=0</formula>
    </cfRule>
    <cfRule type="expression" dxfId="682" priority="24" stopIfTrue="1">
      <formula>MOD(ROW(),2)&lt;&gt;0</formula>
    </cfRule>
  </conditionalFormatting>
  <conditionalFormatting sqref="B26:C85">
    <cfRule type="expression" dxfId="681" priority="15" stopIfTrue="1">
      <formula>MOD(ROW(),2)=0</formula>
    </cfRule>
    <cfRule type="expression" dxfId="680" priority="16" stopIfTrue="1">
      <formula>MOD(ROW(),2)&lt;&gt;0</formula>
    </cfRule>
  </conditionalFormatting>
  <conditionalFormatting sqref="C17">
    <cfRule type="expression" dxfId="679" priority="9" stopIfTrue="1">
      <formula>MOD(ROW(),2)=0</formula>
    </cfRule>
    <cfRule type="expression" dxfId="678"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dimension ref="A1:G85"/>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Fire_S - Consolidated Factor Spreadsheet</v>
      </c>
      <c r="B2" s="42"/>
      <c r="C2" s="42"/>
      <c r="D2" s="42"/>
      <c r="E2" s="42"/>
      <c r="F2" s="42"/>
      <c r="G2" s="42"/>
    </row>
    <row r="3" spans="1:7" ht="15.6" x14ac:dyDescent="0.3">
      <c r="A3" s="43" t="str">
        <f>TABLE_FACTOR_TYPE_1&amp;" - x-"&amp;TABLE_SERIES_NUMBER_1</f>
        <v>CETV - x-213</v>
      </c>
      <c r="B3" s="42"/>
      <c r="C3" s="42"/>
      <c r="D3" s="42"/>
      <c r="E3" s="42"/>
      <c r="F3" s="42"/>
      <c r="G3" s="42"/>
    </row>
    <row r="4" spans="1:7" x14ac:dyDescent="0.25">
      <c r="A4" s="44"/>
    </row>
    <row r="6" spans="1:7" x14ac:dyDescent="0.25">
      <c r="A6" s="75" t="s">
        <v>484</v>
      </c>
      <c r="B6" s="162" t="s">
        <v>485</v>
      </c>
      <c r="C6" s="162"/>
    </row>
    <row r="7" spans="1:7" x14ac:dyDescent="0.25">
      <c r="A7" s="76" t="s">
        <v>486</v>
      </c>
      <c r="B7" s="162" t="s">
        <v>81</v>
      </c>
      <c r="C7" s="162"/>
    </row>
    <row r="8" spans="1:7" x14ac:dyDescent="0.25">
      <c r="A8" s="76" t="s">
        <v>282</v>
      </c>
      <c r="B8" s="162">
        <v>2015</v>
      </c>
      <c r="C8" s="162"/>
    </row>
    <row r="9" spans="1:7" x14ac:dyDescent="0.25">
      <c r="A9" s="76" t="s">
        <v>283</v>
      </c>
      <c r="B9" s="162" t="s">
        <v>292</v>
      </c>
      <c r="C9" s="162"/>
    </row>
    <row r="10" spans="1:7" x14ac:dyDescent="0.25">
      <c r="A10" s="76" t="s">
        <v>6</v>
      </c>
      <c r="B10" s="162" t="s">
        <v>312</v>
      </c>
      <c r="C10" s="162"/>
    </row>
    <row r="11" spans="1:7" x14ac:dyDescent="0.25">
      <c r="A11" s="76" t="s">
        <v>284</v>
      </c>
      <c r="B11" s="162" t="s">
        <v>299</v>
      </c>
      <c r="C11" s="162"/>
    </row>
    <row r="12" spans="1:7" x14ac:dyDescent="0.25">
      <c r="A12" s="76" t="s">
        <v>285</v>
      </c>
      <c r="B12" s="162" t="s">
        <v>295</v>
      </c>
      <c r="C12" s="162"/>
    </row>
    <row r="13" spans="1:7" x14ac:dyDescent="0.25">
      <c r="A13" s="76" t="s">
        <v>493</v>
      </c>
      <c r="B13" s="162">
        <v>0</v>
      </c>
      <c r="C13" s="162"/>
    </row>
    <row r="14" spans="1:7" x14ac:dyDescent="0.25">
      <c r="A14" s="76" t="s">
        <v>287</v>
      </c>
      <c r="B14" s="162">
        <v>213</v>
      </c>
      <c r="C14" s="162"/>
    </row>
    <row r="15" spans="1:7" x14ac:dyDescent="0.25">
      <c r="A15" s="76" t="s">
        <v>496</v>
      </c>
      <c r="B15" s="162" t="s">
        <v>586</v>
      </c>
      <c r="C15" s="162"/>
    </row>
    <row r="16" spans="1:7" x14ac:dyDescent="0.25">
      <c r="A16" s="76" t="s">
        <v>288</v>
      </c>
      <c r="B16" s="162" t="s">
        <v>314</v>
      </c>
      <c r="C16" s="162"/>
    </row>
    <row r="17" spans="1:3" ht="51" customHeight="1" x14ac:dyDescent="0.25">
      <c r="A17" s="76" t="s">
        <v>568</v>
      </c>
      <c r="B17" s="162"/>
      <c r="C17" s="162"/>
    </row>
    <row r="18" spans="1:3" x14ac:dyDescent="0.25">
      <c r="A18" s="76" t="s">
        <v>500</v>
      </c>
      <c r="B18" s="164">
        <v>45070</v>
      </c>
      <c r="C18" s="162"/>
    </row>
    <row r="19" spans="1:3" x14ac:dyDescent="0.25">
      <c r="A19" s="76" t="s">
        <v>290</v>
      </c>
      <c r="B19" s="164">
        <v>45014</v>
      </c>
      <c r="C19" s="162"/>
    </row>
    <row r="20" spans="1:3" x14ac:dyDescent="0.25">
      <c r="A20" s="76" t="s">
        <v>291</v>
      </c>
      <c r="B20" s="162" t="s">
        <v>298</v>
      </c>
      <c r="C20" s="162"/>
    </row>
    <row r="21" spans="1:3" x14ac:dyDescent="0.25">
      <c r="A21" s="150" t="s">
        <v>569</v>
      </c>
      <c r="B21" s="162" t="s">
        <v>297</v>
      </c>
      <c r="C21" s="162"/>
    </row>
    <row r="23" spans="1:3" x14ac:dyDescent="0.25">
      <c r="B23" s="91" t="str">
        <f>HYPERLINK("#'Factor List'!A1","Back to Factor List")</f>
        <v>Back to Factor List</v>
      </c>
    </row>
    <row r="24" spans="1:3" x14ac:dyDescent="0.25">
      <c r="B24" s="91" t="str">
        <f>HYPERLINK("#'Assumptions'!A1","Assumptions")</f>
        <v>Assumptions</v>
      </c>
    </row>
    <row r="26" spans="1:3" ht="39.6" x14ac:dyDescent="0.25">
      <c r="A26" s="87" t="s">
        <v>570</v>
      </c>
      <c r="B26" s="87" t="s">
        <v>578</v>
      </c>
      <c r="C26" s="87" t="s">
        <v>572</v>
      </c>
    </row>
    <row r="27" spans="1:3" x14ac:dyDescent="0.25">
      <c r="A27" s="88">
        <v>16</v>
      </c>
      <c r="B27" s="89">
        <v>7.24</v>
      </c>
      <c r="C27" s="89">
        <v>2.33</v>
      </c>
    </row>
    <row r="28" spans="1:3" x14ac:dyDescent="0.25">
      <c r="A28" s="88">
        <v>17</v>
      </c>
      <c r="B28" s="89">
        <v>7.33</v>
      </c>
      <c r="C28" s="89">
        <v>2.52</v>
      </c>
    </row>
    <row r="29" spans="1:3" x14ac:dyDescent="0.25">
      <c r="A29" s="88">
        <v>18</v>
      </c>
      <c r="B29" s="89">
        <v>7.43</v>
      </c>
      <c r="C29" s="89">
        <v>2.71</v>
      </c>
    </row>
    <row r="30" spans="1:3" x14ac:dyDescent="0.25">
      <c r="A30" s="88">
        <v>19</v>
      </c>
      <c r="B30" s="89">
        <v>7.53</v>
      </c>
      <c r="C30" s="89">
        <v>2.83</v>
      </c>
    </row>
    <row r="31" spans="1:3" x14ac:dyDescent="0.25">
      <c r="A31" s="88">
        <v>20</v>
      </c>
      <c r="B31" s="89">
        <v>7.63</v>
      </c>
      <c r="C31" s="89">
        <v>2.88</v>
      </c>
    </row>
    <row r="32" spans="1:3" x14ac:dyDescent="0.25">
      <c r="A32" s="88">
        <v>21</v>
      </c>
      <c r="B32" s="89">
        <v>7.73</v>
      </c>
      <c r="C32" s="89">
        <v>2.93</v>
      </c>
    </row>
    <row r="33" spans="1:3" x14ac:dyDescent="0.25">
      <c r="A33" s="88">
        <v>22</v>
      </c>
      <c r="B33" s="89">
        <v>7.83</v>
      </c>
      <c r="C33" s="89">
        <v>2.97</v>
      </c>
    </row>
    <row r="34" spans="1:3" x14ac:dyDescent="0.25">
      <c r="A34" s="88">
        <v>23</v>
      </c>
      <c r="B34" s="89">
        <v>7.94</v>
      </c>
      <c r="C34" s="89">
        <v>3.02</v>
      </c>
    </row>
    <row r="35" spans="1:3" x14ac:dyDescent="0.25">
      <c r="A35" s="88">
        <v>24</v>
      </c>
      <c r="B35" s="89">
        <v>8.0500000000000007</v>
      </c>
      <c r="C35" s="89">
        <v>3.07</v>
      </c>
    </row>
    <row r="36" spans="1:3" x14ac:dyDescent="0.25">
      <c r="A36" s="88">
        <v>25</v>
      </c>
      <c r="B36" s="89">
        <v>8.15</v>
      </c>
      <c r="C36" s="89">
        <v>3.12</v>
      </c>
    </row>
    <row r="37" spans="1:3" x14ac:dyDescent="0.25">
      <c r="A37" s="88">
        <v>26</v>
      </c>
      <c r="B37" s="89">
        <v>8.26</v>
      </c>
      <c r="C37" s="89">
        <v>3.17</v>
      </c>
    </row>
    <row r="38" spans="1:3" x14ac:dyDescent="0.25">
      <c r="A38" s="88">
        <v>27</v>
      </c>
      <c r="B38" s="89">
        <v>8.3699999999999992</v>
      </c>
      <c r="C38" s="89">
        <v>3.22</v>
      </c>
    </row>
    <row r="39" spans="1:3" x14ac:dyDescent="0.25">
      <c r="A39" s="88">
        <v>28</v>
      </c>
      <c r="B39" s="89">
        <v>8.49</v>
      </c>
      <c r="C39" s="89">
        <v>3.27</v>
      </c>
    </row>
    <row r="40" spans="1:3" x14ac:dyDescent="0.25">
      <c r="A40" s="88">
        <v>29</v>
      </c>
      <c r="B40" s="89">
        <v>8.6</v>
      </c>
      <c r="C40" s="89">
        <v>3.32</v>
      </c>
    </row>
    <row r="41" spans="1:3" x14ac:dyDescent="0.25">
      <c r="A41" s="88">
        <v>30</v>
      </c>
      <c r="B41" s="89">
        <v>8.7200000000000006</v>
      </c>
      <c r="C41" s="89">
        <v>3.36</v>
      </c>
    </row>
    <row r="42" spans="1:3" x14ac:dyDescent="0.25">
      <c r="A42" s="88">
        <v>31</v>
      </c>
      <c r="B42" s="89">
        <v>8.84</v>
      </c>
      <c r="C42" s="89">
        <v>3.41</v>
      </c>
    </row>
    <row r="43" spans="1:3" x14ac:dyDescent="0.25">
      <c r="A43" s="88">
        <v>32</v>
      </c>
      <c r="B43" s="89">
        <v>8.9600000000000009</v>
      </c>
      <c r="C43" s="89">
        <v>3.46</v>
      </c>
    </row>
    <row r="44" spans="1:3" x14ac:dyDescent="0.25">
      <c r="A44" s="88">
        <v>33</v>
      </c>
      <c r="B44" s="89">
        <v>9.08</v>
      </c>
      <c r="C44" s="89">
        <v>3.51</v>
      </c>
    </row>
    <row r="45" spans="1:3" x14ac:dyDescent="0.25">
      <c r="A45" s="88">
        <v>34</v>
      </c>
      <c r="B45" s="89">
        <v>9.1999999999999993</v>
      </c>
      <c r="C45" s="89">
        <v>3.55</v>
      </c>
    </row>
    <row r="46" spans="1:3" x14ac:dyDescent="0.25">
      <c r="A46" s="88">
        <v>35</v>
      </c>
      <c r="B46" s="89">
        <v>9.33</v>
      </c>
      <c r="C46" s="89">
        <v>3.6</v>
      </c>
    </row>
    <row r="47" spans="1:3" x14ac:dyDescent="0.25">
      <c r="A47" s="88">
        <v>36</v>
      </c>
      <c r="B47" s="89">
        <v>9.4600000000000009</v>
      </c>
      <c r="C47" s="89">
        <v>3.64</v>
      </c>
    </row>
    <row r="48" spans="1:3" x14ac:dyDescent="0.25">
      <c r="A48" s="88">
        <v>37</v>
      </c>
      <c r="B48" s="89">
        <v>9.59</v>
      </c>
      <c r="C48" s="89">
        <v>3.69</v>
      </c>
    </row>
    <row r="49" spans="1:3" x14ac:dyDescent="0.25">
      <c r="A49" s="88">
        <v>38</v>
      </c>
      <c r="B49" s="89">
        <v>9.7200000000000006</v>
      </c>
      <c r="C49" s="89">
        <v>3.73</v>
      </c>
    </row>
    <row r="50" spans="1:3" x14ac:dyDescent="0.25">
      <c r="A50" s="88">
        <v>39</v>
      </c>
      <c r="B50" s="89">
        <v>9.86</v>
      </c>
      <c r="C50" s="89">
        <v>3.78</v>
      </c>
    </row>
    <row r="51" spans="1:3" x14ac:dyDescent="0.25">
      <c r="A51" s="88">
        <v>40</v>
      </c>
      <c r="B51" s="89">
        <v>10</v>
      </c>
      <c r="C51" s="89">
        <v>3.82</v>
      </c>
    </row>
    <row r="52" spans="1:3" x14ac:dyDescent="0.25">
      <c r="A52" s="88">
        <v>41</v>
      </c>
      <c r="B52" s="89">
        <v>10.14</v>
      </c>
      <c r="C52" s="89">
        <v>3.86</v>
      </c>
    </row>
    <row r="53" spans="1:3" x14ac:dyDescent="0.25">
      <c r="A53" s="88">
        <v>42</v>
      </c>
      <c r="B53" s="89">
        <v>10.28</v>
      </c>
      <c r="C53" s="89">
        <v>3.9</v>
      </c>
    </row>
    <row r="54" spans="1:3" x14ac:dyDescent="0.25">
      <c r="A54" s="88">
        <v>43</v>
      </c>
      <c r="B54" s="89">
        <v>10.43</v>
      </c>
      <c r="C54" s="89">
        <v>3.94</v>
      </c>
    </row>
    <row r="55" spans="1:3" x14ac:dyDescent="0.25">
      <c r="A55" s="88">
        <v>44</v>
      </c>
      <c r="B55" s="89">
        <v>10.58</v>
      </c>
      <c r="C55" s="89">
        <v>3.97</v>
      </c>
    </row>
    <row r="56" spans="1:3" x14ac:dyDescent="0.25">
      <c r="A56" s="88">
        <v>45</v>
      </c>
      <c r="B56" s="89">
        <v>10.74</v>
      </c>
      <c r="C56" s="89">
        <v>4.01</v>
      </c>
    </row>
    <row r="57" spans="1:3" x14ac:dyDescent="0.25">
      <c r="A57" s="88">
        <v>46</v>
      </c>
      <c r="B57" s="89">
        <v>10.9</v>
      </c>
      <c r="C57" s="89">
        <v>4.04</v>
      </c>
    </row>
    <row r="58" spans="1:3" x14ac:dyDescent="0.25">
      <c r="A58" s="88">
        <v>47</v>
      </c>
      <c r="B58" s="89">
        <v>11.06</v>
      </c>
      <c r="C58" s="89">
        <v>4.07</v>
      </c>
    </row>
    <row r="59" spans="1:3" x14ac:dyDescent="0.25">
      <c r="A59" s="88">
        <v>48</v>
      </c>
      <c r="B59" s="89">
        <v>11.22</v>
      </c>
      <c r="C59" s="89">
        <v>4.0999999999999996</v>
      </c>
    </row>
    <row r="60" spans="1:3" x14ac:dyDescent="0.25">
      <c r="A60" s="88">
        <v>49</v>
      </c>
      <c r="B60" s="89">
        <v>11.4</v>
      </c>
      <c r="C60" s="89">
        <v>4.13</v>
      </c>
    </row>
    <row r="61" spans="1:3" x14ac:dyDescent="0.25">
      <c r="A61" s="88">
        <v>50</v>
      </c>
      <c r="B61" s="89">
        <v>11.57</v>
      </c>
      <c r="C61" s="89">
        <v>4.1500000000000004</v>
      </c>
    </row>
    <row r="62" spans="1:3" x14ac:dyDescent="0.25">
      <c r="A62" s="88">
        <v>51</v>
      </c>
      <c r="B62" s="89">
        <v>11.75</v>
      </c>
      <c r="C62" s="89">
        <v>4.18</v>
      </c>
    </row>
    <row r="63" spans="1:3" x14ac:dyDescent="0.25">
      <c r="A63" s="88">
        <v>52</v>
      </c>
      <c r="B63" s="89">
        <v>11.94</v>
      </c>
      <c r="C63" s="89">
        <v>4.2</v>
      </c>
    </row>
    <row r="64" spans="1:3" x14ac:dyDescent="0.25">
      <c r="A64" s="88">
        <v>53</v>
      </c>
      <c r="B64" s="89">
        <v>12.13</v>
      </c>
      <c r="C64" s="89">
        <v>4.22</v>
      </c>
    </row>
    <row r="65" spans="1:3" x14ac:dyDescent="0.25">
      <c r="A65" s="88">
        <v>54</v>
      </c>
      <c r="B65" s="89">
        <v>12.33</v>
      </c>
      <c r="C65" s="89">
        <v>4.24</v>
      </c>
    </row>
    <row r="66" spans="1:3" x14ac:dyDescent="0.25">
      <c r="A66" s="88">
        <v>55</v>
      </c>
      <c r="B66" s="89">
        <v>12.53</v>
      </c>
      <c r="C66" s="89">
        <v>4.25</v>
      </c>
    </row>
    <row r="67" spans="1:3" x14ac:dyDescent="0.25">
      <c r="A67" s="88">
        <v>56</v>
      </c>
      <c r="B67" s="89">
        <v>12.74</v>
      </c>
      <c r="C67" s="89">
        <v>4.2699999999999996</v>
      </c>
    </row>
    <row r="68" spans="1:3" x14ac:dyDescent="0.25">
      <c r="A68" s="88">
        <v>57</v>
      </c>
      <c r="B68" s="89">
        <v>12.96</v>
      </c>
      <c r="C68" s="89">
        <v>4.28</v>
      </c>
    </row>
    <row r="69" spans="1:3" x14ac:dyDescent="0.25">
      <c r="A69" s="88">
        <v>58</v>
      </c>
      <c r="B69" s="89">
        <v>13.18</v>
      </c>
      <c r="C69" s="89">
        <v>4.28</v>
      </c>
    </row>
    <row r="70" spans="1:3" x14ac:dyDescent="0.25">
      <c r="A70" s="88">
        <v>59</v>
      </c>
      <c r="B70" s="89">
        <v>13.42</v>
      </c>
      <c r="C70" s="89">
        <v>4.29</v>
      </c>
    </row>
    <row r="71" spans="1:3" x14ac:dyDescent="0.25">
      <c r="A71" s="88">
        <v>60</v>
      </c>
      <c r="B71" s="89">
        <v>13.67</v>
      </c>
      <c r="C71" s="89">
        <v>4.29</v>
      </c>
    </row>
    <row r="72" spans="1:3" x14ac:dyDescent="0.25">
      <c r="A72" s="88">
        <v>61</v>
      </c>
      <c r="B72" s="89">
        <v>13.93</v>
      </c>
      <c r="C72" s="89">
        <v>4.28</v>
      </c>
    </row>
    <row r="73" spans="1:3" x14ac:dyDescent="0.25">
      <c r="A73" s="88">
        <v>62</v>
      </c>
      <c r="B73" s="89">
        <v>14.2</v>
      </c>
      <c r="C73" s="89">
        <v>4.2699999999999996</v>
      </c>
    </row>
    <row r="74" spans="1:3" x14ac:dyDescent="0.25">
      <c r="A74" s="88">
        <v>63</v>
      </c>
      <c r="B74" s="89">
        <v>14.49</v>
      </c>
      <c r="C74" s="89">
        <v>4.26</v>
      </c>
    </row>
    <row r="75" spans="1:3" x14ac:dyDescent="0.25">
      <c r="A75" s="88">
        <v>64</v>
      </c>
      <c r="B75" s="89">
        <v>14.79</v>
      </c>
      <c r="C75" s="89">
        <v>4.2300000000000004</v>
      </c>
    </row>
    <row r="76" spans="1:3" x14ac:dyDescent="0.25">
      <c r="A76" s="88">
        <v>65</v>
      </c>
      <c r="B76" s="89">
        <v>15.12</v>
      </c>
      <c r="C76" s="89">
        <v>4.2</v>
      </c>
    </row>
    <row r="77" spans="1:3" x14ac:dyDescent="0.25">
      <c r="A77" s="88">
        <v>66</v>
      </c>
      <c r="B77" s="89">
        <v>15.47</v>
      </c>
      <c r="C77" s="89">
        <v>4.17</v>
      </c>
    </row>
    <row r="78" spans="1:3" x14ac:dyDescent="0.25">
      <c r="A78" s="88">
        <v>67</v>
      </c>
      <c r="B78" s="89">
        <v>15.32</v>
      </c>
      <c r="C78" s="89">
        <v>4.1399999999999997</v>
      </c>
    </row>
    <row r="79" spans="1:3" x14ac:dyDescent="0.25">
      <c r="A79" s="88">
        <v>68</v>
      </c>
      <c r="B79" s="89">
        <v>14.65</v>
      </c>
      <c r="C79" s="89">
        <v>4.12</v>
      </c>
    </row>
    <row r="80" spans="1:3" x14ac:dyDescent="0.25">
      <c r="A80" s="88">
        <v>69</v>
      </c>
      <c r="B80" s="89">
        <v>13.99</v>
      </c>
      <c r="C80" s="89">
        <v>4.05</v>
      </c>
    </row>
    <row r="81" spans="1:3" x14ac:dyDescent="0.25">
      <c r="A81" s="88">
        <v>70</v>
      </c>
      <c r="B81" s="89">
        <v>13.34</v>
      </c>
      <c r="C81" s="89">
        <v>3.97</v>
      </c>
    </row>
    <row r="82" spans="1:3" x14ac:dyDescent="0.25">
      <c r="A82" s="88">
        <v>71</v>
      </c>
      <c r="B82" s="89">
        <v>12.7</v>
      </c>
      <c r="C82" s="89">
        <v>3.94</v>
      </c>
    </row>
    <row r="83" spans="1:3" x14ac:dyDescent="0.25">
      <c r="A83" s="88">
        <v>72</v>
      </c>
      <c r="B83" s="89">
        <v>12.08</v>
      </c>
      <c r="C83" s="89">
        <v>3.9</v>
      </c>
    </row>
    <row r="84" spans="1:3" x14ac:dyDescent="0.25">
      <c r="A84" s="88">
        <v>73</v>
      </c>
      <c r="B84" s="89">
        <v>11.47</v>
      </c>
      <c r="C84" s="89">
        <v>3.86</v>
      </c>
    </row>
    <row r="85" spans="1:3" x14ac:dyDescent="0.25">
      <c r="A85" s="88">
        <v>74</v>
      </c>
      <c r="B85" s="89">
        <v>10.86</v>
      </c>
      <c r="C85" s="89">
        <v>3.68</v>
      </c>
    </row>
  </sheetData>
  <sheetProtection algorithmName="SHA-512" hashValue="vOnFjRfDQ9HdGFKPbUul5uAUkZDDJIe7kn6VRt/605u+qv6TkZ8AW/FSa7L2BP2QB/T6C0DYPr7emS8XLjz6Dw==" saltValue="DgIwnHpMYZq2/nwUPcuOrw==" spinCount="100000" sheet="1" objects="1" scenarios="1"/>
  <conditionalFormatting sqref="A6:A21">
    <cfRule type="expression" dxfId="677" priority="3" stopIfTrue="1">
      <formula>MOD(ROW(),2)=0</formula>
    </cfRule>
    <cfRule type="expression" dxfId="676" priority="4" stopIfTrue="1">
      <formula>MOD(ROW(),2)&lt;&gt;0</formula>
    </cfRule>
  </conditionalFormatting>
  <conditionalFormatting sqref="A26:A85">
    <cfRule type="expression" dxfId="675" priority="13" stopIfTrue="1">
      <formula>MOD(ROW(),2)=0</formula>
    </cfRule>
    <cfRule type="expression" dxfId="674" priority="14" stopIfTrue="1">
      <formula>MOD(ROW(),2)&lt;&gt;0</formula>
    </cfRule>
  </conditionalFormatting>
  <conditionalFormatting sqref="B18:B21">
    <cfRule type="expression" dxfId="673" priority="11" stopIfTrue="1">
      <formula>MOD(ROW(),2)=0</formula>
    </cfRule>
    <cfRule type="expression" dxfId="672" priority="12" stopIfTrue="1">
      <formula>MOD(ROW(),2)&lt;&gt;0</formula>
    </cfRule>
  </conditionalFormatting>
  <conditionalFormatting sqref="B6:C21">
    <cfRule type="expression" dxfId="671" priority="23" stopIfTrue="1">
      <formula>MOD(ROW(),2)=0</formula>
    </cfRule>
    <cfRule type="expression" dxfId="670" priority="24" stopIfTrue="1">
      <formula>MOD(ROW(),2)&lt;&gt;0</formula>
    </cfRule>
  </conditionalFormatting>
  <conditionalFormatting sqref="B26:C85">
    <cfRule type="expression" dxfId="669" priority="15" stopIfTrue="1">
      <formula>MOD(ROW(),2)=0</formula>
    </cfRule>
    <cfRule type="expression" dxfId="668" priority="16" stopIfTrue="1">
      <formula>MOD(ROW(),2)&lt;&gt;0</formula>
    </cfRule>
  </conditionalFormatting>
  <conditionalFormatting sqref="C17">
    <cfRule type="expression" dxfId="667" priority="9" stopIfTrue="1">
      <formula>MOD(ROW(),2)=0</formula>
    </cfRule>
    <cfRule type="expression" dxfId="666"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2"/>
  <dimension ref="A1:G85"/>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Fire_S - Consolidated Factor Spreadsheet</v>
      </c>
      <c r="B2" s="42"/>
      <c r="C2" s="42"/>
      <c r="D2" s="42"/>
      <c r="E2" s="42"/>
      <c r="F2" s="42"/>
      <c r="G2" s="42"/>
    </row>
    <row r="3" spans="1:7" ht="15.6" x14ac:dyDescent="0.3">
      <c r="A3" s="43" t="str">
        <f>TABLE_FACTOR_TYPE_1&amp;" - x-"&amp;TABLE_SERIES_NUMBER_1</f>
        <v>CETV - x-214</v>
      </c>
      <c r="B3" s="42"/>
      <c r="C3" s="42"/>
      <c r="D3" s="42"/>
      <c r="E3" s="42"/>
      <c r="F3" s="42"/>
      <c r="G3" s="42"/>
    </row>
    <row r="4" spans="1:7" x14ac:dyDescent="0.25">
      <c r="A4" s="44"/>
    </row>
    <row r="6" spans="1:7" x14ac:dyDescent="0.25">
      <c r="A6" s="75" t="s">
        <v>484</v>
      </c>
      <c r="B6" s="162" t="s">
        <v>485</v>
      </c>
      <c r="C6" s="162"/>
    </row>
    <row r="7" spans="1:7" x14ac:dyDescent="0.25">
      <c r="A7" s="76" t="s">
        <v>486</v>
      </c>
      <c r="B7" s="162" t="s">
        <v>81</v>
      </c>
      <c r="C7" s="162"/>
    </row>
    <row r="8" spans="1:7" x14ac:dyDescent="0.25">
      <c r="A8" s="76" t="s">
        <v>282</v>
      </c>
      <c r="B8" s="162">
        <v>2015</v>
      </c>
      <c r="C8" s="162"/>
    </row>
    <row r="9" spans="1:7" x14ac:dyDescent="0.25">
      <c r="A9" s="76" t="s">
        <v>283</v>
      </c>
      <c r="B9" s="162" t="s">
        <v>292</v>
      </c>
      <c r="C9" s="162"/>
    </row>
    <row r="10" spans="1:7" x14ac:dyDescent="0.25">
      <c r="A10" s="76" t="s">
        <v>6</v>
      </c>
      <c r="B10" s="162" t="s">
        <v>315</v>
      </c>
      <c r="C10" s="162"/>
    </row>
    <row r="11" spans="1:7" x14ac:dyDescent="0.25">
      <c r="A11" s="76" t="s">
        <v>284</v>
      </c>
      <c r="B11" s="162" t="s">
        <v>294</v>
      </c>
      <c r="C11" s="162"/>
    </row>
    <row r="12" spans="1:7" x14ac:dyDescent="0.25">
      <c r="A12" s="76" t="s">
        <v>285</v>
      </c>
      <c r="B12" s="162" t="s">
        <v>295</v>
      </c>
      <c r="C12" s="162"/>
    </row>
    <row r="13" spans="1:7" x14ac:dyDescent="0.25">
      <c r="A13" s="76" t="s">
        <v>493</v>
      </c>
      <c r="B13" s="162">
        <v>0</v>
      </c>
      <c r="C13" s="162"/>
    </row>
    <row r="14" spans="1:7" x14ac:dyDescent="0.25">
      <c r="A14" s="76" t="s">
        <v>287</v>
      </c>
      <c r="B14" s="162">
        <v>214</v>
      </c>
      <c r="C14" s="162"/>
    </row>
    <row r="15" spans="1:7" x14ac:dyDescent="0.25">
      <c r="A15" s="76" t="s">
        <v>496</v>
      </c>
      <c r="B15" s="162" t="s">
        <v>587</v>
      </c>
      <c r="C15" s="162"/>
    </row>
    <row r="16" spans="1:7" x14ac:dyDescent="0.25">
      <c r="A16" s="76" t="s">
        <v>288</v>
      </c>
      <c r="B16" s="162" t="s">
        <v>316</v>
      </c>
      <c r="C16" s="162"/>
    </row>
    <row r="17" spans="1:3" ht="51" customHeight="1" x14ac:dyDescent="0.25">
      <c r="A17" s="76" t="s">
        <v>568</v>
      </c>
      <c r="B17" s="162"/>
      <c r="C17" s="162"/>
    </row>
    <row r="18" spans="1:3" x14ac:dyDescent="0.25">
      <c r="A18" s="76" t="s">
        <v>500</v>
      </c>
      <c r="B18" s="164">
        <v>45070</v>
      </c>
      <c r="C18" s="162"/>
    </row>
    <row r="19" spans="1:3" x14ac:dyDescent="0.25">
      <c r="A19" s="76" t="s">
        <v>290</v>
      </c>
      <c r="B19" s="164">
        <v>45014</v>
      </c>
      <c r="C19" s="162"/>
    </row>
    <row r="20" spans="1:3" x14ac:dyDescent="0.25">
      <c r="A20" s="76" t="s">
        <v>291</v>
      </c>
      <c r="B20" s="162" t="s">
        <v>298</v>
      </c>
      <c r="C20" s="162"/>
    </row>
    <row r="21" spans="1:3" x14ac:dyDescent="0.25">
      <c r="A21" s="150" t="s">
        <v>569</v>
      </c>
      <c r="B21" s="162" t="s">
        <v>297</v>
      </c>
      <c r="C21" s="162"/>
    </row>
    <row r="23" spans="1:3" x14ac:dyDescent="0.25">
      <c r="B23" s="91" t="str">
        <f>HYPERLINK("#'Factor List'!A1","Back to Factor List")</f>
        <v>Back to Factor List</v>
      </c>
    </row>
    <row r="24" spans="1:3" x14ac:dyDescent="0.25">
      <c r="B24" s="91" t="str">
        <f>HYPERLINK("#'Assumptions'!A1","Assumptions")</f>
        <v>Assumptions</v>
      </c>
    </row>
    <row r="26" spans="1:3" ht="39.6" x14ac:dyDescent="0.25">
      <c r="A26" s="87" t="s">
        <v>570</v>
      </c>
      <c r="B26" s="87" t="s">
        <v>578</v>
      </c>
      <c r="C26" s="87" t="s">
        <v>572</v>
      </c>
    </row>
    <row r="27" spans="1:3" x14ac:dyDescent="0.25">
      <c r="A27" s="88">
        <v>16</v>
      </c>
      <c r="B27" s="89">
        <v>6.85</v>
      </c>
      <c r="C27" s="89">
        <v>2.34</v>
      </c>
    </row>
    <row r="28" spans="1:3" x14ac:dyDescent="0.25">
      <c r="A28" s="88">
        <v>17</v>
      </c>
      <c r="B28" s="89">
        <v>6.94</v>
      </c>
      <c r="C28" s="89">
        <v>2.5299999999999998</v>
      </c>
    </row>
    <row r="29" spans="1:3" x14ac:dyDescent="0.25">
      <c r="A29" s="88">
        <v>18</v>
      </c>
      <c r="B29" s="89">
        <v>7.03</v>
      </c>
      <c r="C29" s="89">
        <v>2.72</v>
      </c>
    </row>
    <row r="30" spans="1:3" x14ac:dyDescent="0.25">
      <c r="A30" s="88">
        <v>19</v>
      </c>
      <c r="B30" s="89">
        <v>7.12</v>
      </c>
      <c r="C30" s="89">
        <v>2.84</v>
      </c>
    </row>
    <row r="31" spans="1:3" x14ac:dyDescent="0.25">
      <c r="A31" s="88">
        <v>20</v>
      </c>
      <c r="B31" s="89">
        <v>7.22</v>
      </c>
      <c r="C31" s="89">
        <v>2.89</v>
      </c>
    </row>
    <row r="32" spans="1:3" x14ac:dyDescent="0.25">
      <c r="A32" s="88">
        <v>21</v>
      </c>
      <c r="B32" s="89">
        <v>7.31</v>
      </c>
      <c r="C32" s="89">
        <v>2.94</v>
      </c>
    </row>
    <row r="33" spans="1:3" x14ac:dyDescent="0.25">
      <c r="A33" s="88">
        <v>22</v>
      </c>
      <c r="B33" s="89">
        <v>7.41</v>
      </c>
      <c r="C33" s="89">
        <v>2.99</v>
      </c>
    </row>
    <row r="34" spans="1:3" x14ac:dyDescent="0.25">
      <c r="A34" s="88">
        <v>23</v>
      </c>
      <c r="B34" s="89">
        <v>7.51</v>
      </c>
      <c r="C34" s="89">
        <v>3.04</v>
      </c>
    </row>
    <row r="35" spans="1:3" x14ac:dyDescent="0.25">
      <c r="A35" s="88">
        <v>24</v>
      </c>
      <c r="B35" s="89">
        <v>7.61</v>
      </c>
      <c r="C35" s="89">
        <v>3.09</v>
      </c>
    </row>
    <row r="36" spans="1:3" x14ac:dyDescent="0.25">
      <c r="A36" s="88">
        <v>25</v>
      </c>
      <c r="B36" s="89">
        <v>7.71</v>
      </c>
      <c r="C36" s="89">
        <v>3.14</v>
      </c>
    </row>
    <row r="37" spans="1:3" x14ac:dyDescent="0.25">
      <c r="A37" s="88">
        <v>26</v>
      </c>
      <c r="B37" s="89">
        <v>7.81</v>
      </c>
      <c r="C37" s="89">
        <v>3.18</v>
      </c>
    </row>
    <row r="38" spans="1:3" x14ac:dyDescent="0.25">
      <c r="A38" s="88">
        <v>27</v>
      </c>
      <c r="B38" s="89">
        <v>7.91</v>
      </c>
      <c r="C38" s="89">
        <v>3.23</v>
      </c>
    </row>
    <row r="39" spans="1:3" x14ac:dyDescent="0.25">
      <c r="A39" s="88">
        <v>28</v>
      </c>
      <c r="B39" s="89">
        <v>8.02</v>
      </c>
      <c r="C39" s="89">
        <v>3.28</v>
      </c>
    </row>
    <row r="40" spans="1:3" x14ac:dyDescent="0.25">
      <c r="A40" s="88">
        <v>29</v>
      </c>
      <c r="B40" s="89">
        <v>8.1199999999999992</v>
      </c>
      <c r="C40" s="89">
        <v>3.33</v>
      </c>
    </row>
    <row r="41" spans="1:3" x14ac:dyDescent="0.25">
      <c r="A41" s="88">
        <v>30</v>
      </c>
      <c r="B41" s="89">
        <v>8.23</v>
      </c>
      <c r="C41" s="89">
        <v>3.38</v>
      </c>
    </row>
    <row r="42" spans="1:3" x14ac:dyDescent="0.25">
      <c r="A42" s="88">
        <v>31</v>
      </c>
      <c r="B42" s="89">
        <v>8.34</v>
      </c>
      <c r="C42" s="89">
        <v>3.43</v>
      </c>
    </row>
    <row r="43" spans="1:3" x14ac:dyDescent="0.25">
      <c r="A43" s="88">
        <v>32</v>
      </c>
      <c r="B43" s="89">
        <v>8.4499999999999993</v>
      </c>
      <c r="C43" s="89">
        <v>3.48</v>
      </c>
    </row>
    <row r="44" spans="1:3" x14ac:dyDescent="0.25">
      <c r="A44" s="88">
        <v>33</v>
      </c>
      <c r="B44" s="89">
        <v>8.57</v>
      </c>
      <c r="C44" s="89">
        <v>3.52</v>
      </c>
    </row>
    <row r="45" spans="1:3" x14ac:dyDescent="0.25">
      <c r="A45" s="88">
        <v>34</v>
      </c>
      <c r="B45" s="89">
        <v>8.68</v>
      </c>
      <c r="C45" s="89">
        <v>3.57</v>
      </c>
    </row>
    <row r="46" spans="1:3" x14ac:dyDescent="0.25">
      <c r="A46" s="88">
        <v>35</v>
      </c>
      <c r="B46" s="89">
        <v>8.8000000000000007</v>
      </c>
      <c r="C46" s="89">
        <v>3.62</v>
      </c>
    </row>
    <row r="47" spans="1:3" x14ac:dyDescent="0.25">
      <c r="A47" s="88">
        <v>36</v>
      </c>
      <c r="B47" s="89">
        <v>8.92</v>
      </c>
      <c r="C47" s="89">
        <v>3.66</v>
      </c>
    </row>
    <row r="48" spans="1:3" x14ac:dyDescent="0.25">
      <c r="A48" s="88">
        <v>37</v>
      </c>
      <c r="B48" s="89">
        <v>9.0399999999999991</v>
      </c>
      <c r="C48" s="89">
        <v>3.71</v>
      </c>
    </row>
    <row r="49" spans="1:3" x14ac:dyDescent="0.25">
      <c r="A49" s="88">
        <v>38</v>
      </c>
      <c r="B49" s="89">
        <v>9.17</v>
      </c>
      <c r="C49" s="89">
        <v>3.75</v>
      </c>
    </row>
    <row r="50" spans="1:3" x14ac:dyDescent="0.25">
      <c r="A50" s="88">
        <v>39</v>
      </c>
      <c r="B50" s="89">
        <v>9.3000000000000007</v>
      </c>
      <c r="C50" s="89">
        <v>3.8</v>
      </c>
    </row>
    <row r="51" spans="1:3" x14ac:dyDescent="0.25">
      <c r="A51" s="88">
        <v>40</v>
      </c>
      <c r="B51" s="89">
        <v>9.42</v>
      </c>
      <c r="C51" s="89">
        <v>3.84</v>
      </c>
    </row>
    <row r="52" spans="1:3" x14ac:dyDescent="0.25">
      <c r="A52" s="88">
        <v>41</v>
      </c>
      <c r="B52" s="89">
        <v>9.56</v>
      </c>
      <c r="C52" s="89">
        <v>3.88</v>
      </c>
    </row>
    <row r="53" spans="1:3" x14ac:dyDescent="0.25">
      <c r="A53" s="88">
        <v>42</v>
      </c>
      <c r="B53" s="89">
        <v>9.69</v>
      </c>
      <c r="C53" s="89">
        <v>3.92</v>
      </c>
    </row>
    <row r="54" spans="1:3" x14ac:dyDescent="0.25">
      <c r="A54" s="88">
        <v>43</v>
      </c>
      <c r="B54" s="89">
        <v>9.83</v>
      </c>
      <c r="C54" s="89">
        <v>3.96</v>
      </c>
    </row>
    <row r="55" spans="1:3" x14ac:dyDescent="0.25">
      <c r="A55" s="88">
        <v>44</v>
      </c>
      <c r="B55" s="89">
        <v>9.9700000000000006</v>
      </c>
      <c r="C55" s="89">
        <v>4</v>
      </c>
    </row>
    <row r="56" spans="1:3" x14ac:dyDescent="0.25">
      <c r="A56" s="88">
        <v>45</v>
      </c>
      <c r="B56" s="89">
        <v>10.11</v>
      </c>
      <c r="C56" s="89">
        <v>4.03</v>
      </c>
    </row>
    <row r="57" spans="1:3" x14ac:dyDescent="0.25">
      <c r="A57" s="88">
        <v>46</v>
      </c>
      <c r="B57" s="89">
        <v>10.26</v>
      </c>
      <c r="C57" s="89">
        <v>4.0599999999999996</v>
      </c>
    </row>
    <row r="58" spans="1:3" x14ac:dyDescent="0.25">
      <c r="A58" s="88">
        <v>47</v>
      </c>
      <c r="B58" s="89">
        <v>10.41</v>
      </c>
      <c r="C58" s="89">
        <v>4.0999999999999996</v>
      </c>
    </row>
    <row r="59" spans="1:3" x14ac:dyDescent="0.25">
      <c r="A59" s="88">
        <v>48</v>
      </c>
      <c r="B59" s="89">
        <v>10.57</v>
      </c>
      <c r="C59" s="89">
        <v>4.13</v>
      </c>
    </row>
    <row r="60" spans="1:3" x14ac:dyDescent="0.25">
      <c r="A60" s="88">
        <v>49</v>
      </c>
      <c r="B60" s="89">
        <v>10.72</v>
      </c>
      <c r="C60" s="89">
        <v>4.1500000000000004</v>
      </c>
    </row>
    <row r="61" spans="1:3" x14ac:dyDescent="0.25">
      <c r="A61" s="88">
        <v>50</v>
      </c>
      <c r="B61" s="89">
        <v>10.89</v>
      </c>
      <c r="C61" s="89">
        <v>4.18</v>
      </c>
    </row>
    <row r="62" spans="1:3" x14ac:dyDescent="0.25">
      <c r="A62" s="88">
        <v>51</v>
      </c>
      <c r="B62" s="89">
        <v>11.06</v>
      </c>
      <c r="C62" s="89">
        <v>4.2</v>
      </c>
    </row>
    <row r="63" spans="1:3" x14ac:dyDescent="0.25">
      <c r="A63" s="88">
        <v>52</v>
      </c>
      <c r="B63" s="89">
        <v>11.23</v>
      </c>
      <c r="C63" s="89">
        <v>4.2300000000000004</v>
      </c>
    </row>
    <row r="64" spans="1:3" x14ac:dyDescent="0.25">
      <c r="A64" s="88">
        <v>53</v>
      </c>
      <c r="B64" s="89">
        <v>11.4</v>
      </c>
      <c r="C64" s="89">
        <v>4.25</v>
      </c>
    </row>
    <row r="65" spans="1:3" x14ac:dyDescent="0.25">
      <c r="A65" s="88">
        <v>54</v>
      </c>
      <c r="B65" s="89">
        <v>11.59</v>
      </c>
      <c r="C65" s="89">
        <v>4.2699999999999996</v>
      </c>
    </row>
    <row r="66" spans="1:3" x14ac:dyDescent="0.25">
      <c r="A66" s="88">
        <v>55</v>
      </c>
      <c r="B66" s="89">
        <v>11.78</v>
      </c>
      <c r="C66" s="89">
        <v>4.28</v>
      </c>
    </row>
    <row r="67" spans="1:3" x14ac:dyDescent="0.25">
      <c r="A67" s="88">
        <v>56</v>
      </c>
      <c r="B67" s="89">
        <v>11.97</v>
      </c>
      <c r="C67" s="89">
        <v>4.3</v>
      </c>
    </row>
    <row r="68" spans="1:3" x14ac:dyDescent="0.25">
      <c r="A68" s="88">
        <v>57</v>
      </c>
      <c r="B68" s="89">
        <v>12.17</v>
      </c>
      <c r="C68" s="89">
        <v>4.3099999999999996</v>
      </c>
    </row>
    <row r="69" spans="1:3" x14ac:dyDescent="0.25">
      <c r="A69" s="88">
        <v>58</v>
      </c>
      <c r="B69" s="89">
        <v>12.38</v>
      </c>
      <c r="C69" s="89">
        <v>4.3099999999999996</v>
      </c>
    </row>
    <row r="70" spans="1:3" x14ac:dyDescent="0.25">
      <c r="A70" s="88">
        <v>59</v>
      </c>
      <c r="B70" s="89">
        <v>12.6</v>
      </c>
      <c r="C70" s="89">
        <v>4.32</v>
      </c>
    </row>
    <row r="71" spans="1:3" x14ac:dyDescent="0.25">
      <c r="A71" s="88">
        <v>60</v>
      </c>
      <c r="B71" s="89">
        <v>12.83</v>
      </c>
      <c r="C71" s="89">
        <v>4.32</v>
      </c>
    </row>
    <row r="72" spans="1:3" x14ac:dyDescent="0.25">
      <c r="A72" s="88">
        <v>61</v>
      </c>
      <c r="B72" s="89">
        <v>13.07</v>
      </c>
      <c r="C72" s="89">
        <v>4.3099999999999996</v>
      </c>
    </row>
    <row r="73" spans="1:3" x14ac:dyDescent="0.25">
      <c r="A73" s="88">
        <v>62</v>
      </c>
      <c r="B73" s="89">
        <v>13.32</v>
      </c>
      <c r="C73" s="89">
        <v>4.3</v>
      </c>
    </row>
    <row r="74" spans="1:3" x14ac:dyDescent="0.25">
      <c r="A74" s="88">
        <v>63</v>
      </c>
      <c r="B74" s="89">
        <v>13.59</v>
      </c>
      <c r="C74" s="89">
        <v>4.29</v>
      </c>
    </row>
    <row r="75" spans="1:3" x14ac:dyDescent="0.25">
      <c r="A75" s="88">
        <v>64</v>
      </c>
      <c r="B75" s="89">
        <v>13.88</v>
      </c>
      <c r="C75" s="89">
        <v>4.2699999999999996</v>
      </c>
    </row>
    <row r="76" spans="1:3" x14ac:dyDescent="0.25">
      <c r="A76" s="88">
        <v>65</v>
      </c>
      <c r="B76" s="89">
        <v>14.18</v>
      </c>
      <c r="C76" s="89">
        <v>4.24</v>
      </c>
    </row>
    <row r="77" spans="1:3" x14ac:dyDescent="0.25">
      <c r="A77" s="88">
        <v>66</v>
      </c>
      <c r="B77" s="89">
        <v>14.51</v>
      </c>
      <c r="C77" s="89">
        <v>4.2</v>
      </c>
    </row>
    <row r="78" spans="1:3" x14ac:dyDescent="0.25">
      <c r="A78" s="88">
        <v>67</v>
      </c>
      <c r="B78" s="89">
        <v>14.86</v>
      </c>
      <c r="C78" s="89">
        <v>4.16</v>
      </c>
    </row>
    <row r="79" spans="1:3" x14ac:dyDescent="0.25">
      <c r="A79" s="88">
        <v>68</v>
      </c>
      <c r="B79" s="89">
        <v>14.7</v>
      </c>
      <c r="C79" s="89">
        <v>4.12</v>
      </c>
    </row>
    <row r="80" spans="1:3" x14ac:dyDescent="0.25">
      <c r="A80" s="88">
        <v>69</v>
      </c>
      <c r="B80" s="89">
        <v>14.03</v>
      </c>
      <c r="C80" s="89">
        <v>4.05</v>
      </c>
    </row>
    <row r="81" spans="1:3" x14ac:dyDescent="0.25">
      <c r="A81" s="88">
        <v>70</v>
      </c>
      <c r="B81" s="89">
        <v>13.37</v>
      </c>
      <c r="C81" s="89">
        <v>3.97</v>
      </c>
    </row>
    <row r="82" spans="1:3" x14ac:dyDescent="0.25">
      <c r="A82" s="88">
        <v>71</v>
      </c>
      <c r="B82" s="89">
        <v>12.72</v>
      </c>
      <c r="C82" s="89">
        <v>3.94</v>
      </c>
    </row>
    <row r="83" spans="1:3" x14ac:dyDescent="0.25">
      <c r="A83" s="88">
        <v>72</v>
      </c>
      <c r="B83" s="89">
        <v>12.08</v>
      </c>
      <c r="C83" s="89">
        <v>3.9</v>
      </c>
    </row>
    <row r="84" spans="1:3" x14ac:dyDescent="0.25">
      <c r="A84" s="88">
        <v>73</v>
      </c>
      <c r="B84" s="89">
        <v>11.47</v>
      </c>
      <c r="C84" s="89">
        <v>3.86</v>
      </c>
    </row>
    <row r="85" spans="1:3" x14ac:dyDescent="0.25">
      <c r="A85" s="88">
        <v>74</v>
      </c>
      <c r="B85" s="89">
        <v>10.86</v>
      </c>
      <c r="C85" s="89">
        <v>3.68</v>
      </c>
    </row>
  </sheetData>
  <sheetProtection algorithmName="SHA-512" hashValue="0tru7nZnx5Ds06ClD497HR5QMUQcG9QtP0Gd8Zbw81SIW/nCW6Z6g38CzgAUIPZvujnlRnVeMh7s7LPvAsVnBA==" saltValue="YOkoWEIT6t4T1TNrr9dADg==" spinCount="100000" sheet="1" objects="1" scenarios="1"/>
  <conditionalFormatting sqref="A6:A21">
    <cfRule type="expression" dxfId="665" priority="3" stopIfTrue="1">
      <formula>MOD(ROW(),2)=0</formula>
    </cfRule>
    <cfRule type="expression" dxfId="664" priority="4" stopIfTrue="1">
      <formula>MOD(ROW(),2)&lt;&gt;0</formula>
    </cfRule>
  </conditionalFormatting>
  <conditionalFormatting sqref="A26:A85">
    <cfRule type="expression" dxfId="663" priority="13" stopIfTrue="1">
      <formula>MOD(ROW(),2)=0</formula>
    </cfRule>
    <cfRule type="expression" dxfId="662" priority="14" stopIfTrue="1">
      <formula>MOD(ROW(),2)&lt;&gt;0</formula>
    </cfRule>
  </conditionalFormatting>
  <conditionalFormatting sqref="B18:B21">
    <cfRule type="expression" dxfId="661" priority="11" stopIfTrue="1">
      <formula>MOD(ROW(),2)=0</formula>
    </cfRule>
    <cfRule type="expression" dxfId="660" priority="12" stopIfTrue="1">
      <formula>MOD(ROW(),2)&lt;&gt;0</formula>
    </cfRule>
  </conditionalFormatting>
  <conditionalFormatting sqref="B6:C21">
    <cfRule type="expression" dxfId="659" priority="23" stopIfTrue="1">
      <formula>MOD(ROW(),2)=0</formula>
    </cfRule>
    <cfRule type="expression" dxfId="658" priority="24" stopIfTrue="1">
      <formula>MOD(ROW(),2)&lt;&gt;0</formula>
    </cfRule>
  </conditionalFormatting>
  <conditionalFormatting sqref="B26:C85">
    <cfRule type="expression" dxfId="657" priority="15" stopIfTrue="1">
      <formula>MOD(ROW(),2)=0</formula>
    </cfRule>
    <cfRule type="expression" dxfId="656" priority="16" stopIfTrue="1">
      <formula>MOD(ROW(),2)&lt;&gt;0</formula>
    </cfRule>
  </conditionalFormatting>
  <conditionalFormatting sqref="C17">
    <cfRule type="expression" dxfId="655" priority="9" stopIfTrue="1">
      <formula>MOD(ROW(),2)=0</formula>
    </cfRule>
    <cfRule type="expression" dxfId="654"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dimension ref="A1:G85"/>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Fire_S - Consolidated Factor Spreadsheet</v>
      </c>
      <c r="B2" s="42"/>
      <c r="C2" s="42"/>
      <c r="D2" s="42"/>
      <c r="E2" s="42"/>
      <c r="F2" s="42"/>
      <c r="G2" s="42"/>
    </row>
    <row r="3" spans="1:7" ht="15.6" x14ac:dyDescent="0.3">
      <c r="A3" s="43" t="str">
        <f>TABLE_FACTOR_TYPE_1&amp;" - x-"&amp;TABLE_SERIES_NUMBER_1</f>
        <v>CETV - x-215</v>
      </c>
      <c r="B3" s="42"/>
      <c r="C3" s="42"/>
      <c r="D3" s="42"/>
      <c r="E3" s="42"/>
      <c r="F3" s="42"/>
      <c r="G3" s="42"/>
    </row>
    <row r="4" spans="1:7" x14ac:dyDescent="0.25">
      <c r="A4" s="44"/>
    </row>
    <row r="6" spans="1:7" x14ac:dyDescent="0.25">
      <c r="A6" s="75" t="s">
        <v>484</v>
      </c>
      <c r="B6" s="162" t="s">
        <v>485</v>
      </c>
      <c r="C6" s="162"/>
    </row>
    <row r="7" spans="1:7" x14ac:dyDescent="0.25">
      <c r="A7" s="76" t="s">
        <v>486</v>
      </c>
      <c r="B7" s="162" t="s">
        <v>81</v>
      </c>
      <c r="C7" s="162"/>
    </row>
    <row r="8" spans="1:7" x14ac:dyDescent="0.25">
      <c r="A8" s="76" t="s">
        <v>282</v>
      </c>
      <c r="B8" s="162">
        <v>2015</v>
      </c>
      <c r="C8" s="162"/>
    </row>
    <row r="9" spans="1:7" x14ac:dyDescent="0.25">
      <c r="A9" s="76" t="s">
        <v>283</v>
      </c>
      <c r="B9" s="162" t="s">
        <v>292</v>
      </c>
      <c r="C9" s="162"/>
    </row>
    <row r="10" spans="1:7" x14ac:dyDescent="0.25">
      <c r="A10" s="76" t="s">
        <v>6</v>
      </c>
      <c r="B10" s="162" t="s">
        <v>315</v>
      </c>
      <c r="C10" s="162"/>
    </row>
    <row r="11" spans="1:7" x14ac:dyDescent="0.25">
      <c r="A11" s="76" t="s">
        <v>284</v>
      </c>
      <c r="B11" s="162" t="s">
        <v>299</v>
      </c>
      <c r="C11" s="162"/>
    </row>
    <row r="12" spans="1:7" x14ac:dyDescent="0.25">
      <c r="A12" s="76" t="s">
        <v>285</v>
      </c>
      <c r="B12" s="162" t="s">
        <v>295</v>
      </c>
      <c r="C12" s="162"/>
    </row>
    <row r="13" spans="1:7" x14ac:dyDescent="0.25">
      <c r="A13" s="76" t="s">
        <v>493</v>
      </c>
      <c r="B13" s="162">
        <v>0</v>
      </c>
      <c r="C13" s="162"/>
    </row>
    <row r="14" spans="1:7" x14ac:dyDescent="0.25">
      <c r="A14" s="76" t="s">
        <v>287</v>
      </c>
      <c r="B14" s="162">
        <v>215</v>
      </c>
      <c r="C14" s="162"/>
    </row>
    <row r="15" spans="1:7" x14ac:dyDescent="0.25">
      <c r="A15" s="76" t="s">
        <v>496</v>
      </c>
      <c r="B15" s="162" t="s">
        <v>588</v>
      </c>
      <c r="C15" s="162"/>
    </row>
    <row r="16" spans="1:7" x14ac:dyDescent="0.25">
      <c r="A16" s="76" t="s">
        <v>288</v>
      </c>
      <c r="B16" s="162" t="s">
        <v>317</v>
      </c>
      <c r="C16" s="162"/>
    </row>
    <row r="17" spans="1:3" ht="51" customHeight="1" x14ac:dyDescent="0.25">
      <c r="A17" s="76" t="s">
        <v>568</v>
      </c>
      <c r="B17" s="162"/>
      <c r="C17" s="162"/>
    </row>
    <row r="18" spans="1:3" x14ac:dyDescent="0.25">
      <c r="A18" s="76" t="s">
        <v>500</v>
      </c>
      <c r="B18" s="164">
        <v>45070</v>
      </c>
      <c r="C18" s="162"/>
    </row>
    <row r="19" spans="1:3" x14ac:dyDescent="0.25">
      <c r="A19" s="76" t="s">
        <v>290</v>
      </c>
      <c r="B19" s="164">
        <v>45014</v>
      </c>
      <c r="C19" s="162"/>
    </row>
    <row r="20" spans="1:3" x14ac:dyDescent="0.25">
      <c r="A20" s="76" t="s">
        <v>291</v>
      </c>
      <c r="B20" s="162" t="s">
        <v>298</v>
      </c>
      <c r="C20" s="162"/>
    </row>
    <row r="21" spans="1:3" x14ac:dyDescent="0.25">
      <c r="A21" s="150" t="s">
        <v>569</v>
      </c>
      <c r="B21" s="162" t="s">
        <v>297</v>
      </c>
      <c r="C21" s="162"/>
    </row>
    <row r="23" spans="1:3" x14ac:dyDescent="0.25">
      <c r="B23" s="91" t="str">
        <f>HYPERLINK("#'Factor List'!A1","Back to Factor List")</f>
        <v>Back to Factor List</v>
      </c>
    </row>
    <row r="24" spans="1:3" x14ac:dyDescent="0.25">
      <c r="B24" s="91" t="str">
        <f>HYPERLINK("#'Assumptions'!A1","Assumptions")</f>
        <v>Assumptions</v>
      </c>
    </row>
    <row r="26" spans="1:3" ht="39.6" x14ac:dyDescent="0.25">
      <c r="A26" s="87" t="s">
        <v>570</v>
      </c>
      <c r="B26" s="87" t="s">
        <v>578</v>
      </c>
      <c r="C26" s="87" t="s">
        <v>572</v>
      </c>
    </row>
    <row r="27" spans="1:3" x14ac:dyDescent="0.25">
      <c r="A27" s="88">
        <v>16</v>
      </c>
      <c r="B27" s="89">
        <v>6.85</v>
      </c>
      <c r="C27" s="89">
        <v>2.34</v>
      </c>
    </row>
    <row r="28" spans="1:3" x14ac:dyDescent="0.25">
      <c r="A28" s="88">
        <v>17</v>
      </c>
      <c r="B28" s="89">
        <v>6.94</v>
      </c>
      <c r="C28" s="89">
        <v>2.5299999999999998</v>
      </c>
    </row>
    <row r="29" spans="1:3" x14ac:dyDescent="0.25">
      <c r="A29" s="88">
        <v>18</v>
      </c>
      <c r="B29" s="89">
        <v>7.03</v>
      </c>
      <c r="C29" s="89">
        <v>2.72</v>
      </c>
    </row>
    <row r="30" spans="1:3" x14ac:dyDescent="0.25">
      <c r="A30" s="88">
        <v>19</v>
      </c>
      <c r="B30" s="89">
        <v>7.12</v>
      </c>
      <c r="C30" s="89">
        <v>2.84</v>
      </c>
    </row>
    <row r="31" spans="1:3" x14ac:dyDescent="0.25">
      <c r="A31" s="88">
        <v>20</v>
      </c>
      <c r="B31" s="89">
        <v>7.22</v>
      </c>
      <c r="C31" s="89">
        <v>2.89</v>
      </c>
    </row>
    <row r="32" spans="1:3" x14ac:dyDescent="0.25">
      <c r="A32" s="88">
        <v>21</v>
      </c>
      <c r="B32" s="89">
        <v>7.31</v>
      </c>
      <c r="C32" s="89">
        <v>2.94</v>
      </c>
    </row>
    <row r="33" spans="1:3" x14ac:dyDescent="0.25">
      <c r="A33" s="88">
        <v>22</v>
      </c>
      <c r="B33" s="89">
        <v>7.41</v>
      </c>
      <c r="C33" s="89">
        <v>2.99</v>
      </c>
    </row>
    <row r="34" spans="1:3" x14ac:dyDescent="0.25">
      <c r="A34" s="88">
        <v>23</v>
      </c>
      <c r="B34" s="89">
        <v>7.51</v>
      </c>
      <c r="C34" s="89">
        <v>3.04</v>
      </c>
    </row>
    <row r="35" spans="1:3" x14ac:dyDescent="0.25">
      <c r="A35" s="88">
        <v>24</v>
      </c>
      <c r="B35" s="89">
        <v>7.61</v>
      </c>
      <c r="C35" s="89">
        <v>3.09</v>
      </c>
    </row>
    <row r="36" spans="1:3" x14ac:dyDescent="0.25">
      <c r="A36" s="88">
        <v>25</v>
      </c>
      <c r="B36" s="89">
        <v>7.71</v>
      </c>
      <c r="C36" s="89">
        <v>3.14</v>
      </c>
    </row>
    <row r="37" spans="1:3" x14ac:dyDescent="0.25">
      <c r="A37" s="88">
        <v>26</v>
      </c>
      <c r="B37" s="89">
        <v>7.81</v>
      </c>
      <c r="C37" s="89">
        <v>3.18</v>
      </c>
    </row>
    <row r="38" spans="1:3" x14ac:dyDescent="0.25">
      <c r="A38" s="88">
        <v>27</v>
      </c>
      <c r="B38" s="89">
        <v>7.91</v>
      </c>
      <c r="C38" s="89">
        <v>3.23</v>
      </c>
    </row>
    <row r="39" spans="1:3" x14ac:dyDescent="0.25">
      <c r="A39" s="88">
        <v>28</v>
      </c>
      <c r="B39" s="89">
        <v>8.02</v>
      </c>
      <c r="C39" s="89">
        <v>3.28</v>
      </c>
    </row>
    <row r="40" spans="1:3" x14ac:dyDescent="0.25">
      <c r="A40" s="88">
        <v>29</v>
      </c>
      <c r="B40" s="89">
        <v>8.1199999999999992</v>
      </c>
      <c r="C40" s="89">
        <v>3.33</v>
      </c>
    </row>
    <row r="41" spans="1:3" x14ac:dyDescent="0.25">
      <c r="A41" s="88">
        <v>30</v>
      </c>
      <c r="B41" s="89">
        <v>8.23</v>
      </c>
      <c r="C41" s="89">
        <v>3.38</v>
      </c>
    </row>
    <row r="42" spans="1:3" x14ac:dyDescent="0.25">
      <c r="A42" s="88">
        <v>31</v>
      </c>
      <c r="B42" s="89">
        <v>8.34</v>
      </c>
      <c r="C42" s="89">
        <v>3.43</v>
      </c>
    </row>
    <row r="43" spans="1:3" x14ac:dyDescent="0.25">
      <c r="A43" s="88">
        <v>32</v>
      </c>
      <c r="B43" s="89">
        <v>8.4499999999999993</v>
      </c>
      <c r="C43" s="89">
        <v>3.48</v>
      </c>
    </row>
    <row r="44" spans="1:3" x14ac:dyDescent="0.25">
      <c r="A44" s="88">
        <v>33</v>
      </c>
      <c r="B44" s="89">
        <v>8.57</v>
      </c>
      <c r="C44" s="89">
        <v>3.52</v>
      </c>
    </row>
    <row r="45" spans="1:3" x14ac:dyDescent="0.25">
      <c r="A45" s="88">
        <v>34</v>
      </c>
      <c r="B45" s="89">
        <v>8.68</v>
      </c>
      <c r="C45" s="89">
        <v>3.57</v>
      </c>
    </row>
    <row r="46" spans="1:3" x14ac:dyDescent="0.25">
      <c r="A46" s="88">
        <v>35</v>
      </c>
      <c r="B46" s="89">
        <v>8.8000000000000007</v>
      </c>
      <c r="C46" s="89">
        <v>3.62</v>
      </c>
    </row>
    <row r="47" spans="1:3" x14ac:dyDescent="0.25">
      <c r="A47" s="88">
        <v>36</v>
      </c>
      <c r="B47" s="89">
        <v>8.92</v>
      </c>
      <c r="C47" s="89">
        <v>3.66</v>
      </c>
    </row>
    <row r="48" spans="1:3" x14ac:dyDescent="0.25">
      <c r="A48" s="88">
        <v>37</v>
      </c>
      <c r="B48" s="89">
        <v>9.0399999999999991</v>
      </c>
      <c r="C48" s="89">
        <v>3.71</v>
      </c>
    </row>
    <row r="49" spans="1:3" x14ac:dyDescent="0.25">
      <c r="A49" s="88">
        <v>38</v>
      </c>
      <c r="B49" s="89">
        <v>9.17</v>
      </c>
      <c r="C49" s="89">
        <v>3.75</v>
      </c>
    </row>
    <row r="50" spans="1:3" x14ac:dyDescent="0.25">
      <c r="A50" s="88">
        <v>39</v>
      </c>
      <c r="B50" s="89">
        <v>9.3000000000000007</v>
      </c>
      <c r="C50" s="89">
        <v>3.8</v>
      </c>
    </row>
    <row r="51" spans="1:3" x14ac:dyDescent="0.25">
      <c r="A51" s="88">
        <v>40</v>
      </c>
      <c r="B51" s="89">
        <v>9.42</v>
      </c>
      <c r="C51" s="89">
        <v>3.84</v>
      </c>
    </row>
    <row r="52" spans="1:3" x14ac:dyDescent="0.25">
      <c r="A52" s="88">
        <v>41</v>
      </c>
      <c r="B52" s="89">
        <v>9.56</v>
      </c>
      <c r="C52" s="89">
        <v>3.88</v>
      </c>
    </row>
    <row r="53" spans="1:3" x14ac:dyDescent="0.25">
      <c r="A53" s="88">
        <v>42</v>
      </c>
      <c r="B53" s="89">
        <v>9.69</v>
      </c>
      <c r="C53" s="89">
        <v>3.92</v>
      </c>
    </row>
    <row r="54" spans="1:3" x14ac:dyDescent="0.25">
      <c r="A54" s="88">
        <v>43</v>
      </c>
      <c r="B54" s="89">
        <v>9.83</v>
      </c>
      <c r="C54" s="89">
        <v>3.96</v>
      </c>
    </row>
    <row r="55" spans="1:3" x14ac:dyDescent="0.25">
      <c r="A55" s="88">
        <v>44</v>
      </c>
      <c r="B55" s="89">
        <v>9.9700000000000006</v>
      </c>
      <c r="C55" s="89">
        <v>4</v>
      </c>
    </row>
    <row r="56" spans="1:3" x14ac:dyDescent="0.25">
      <c r="A56" s="88">
        <v>45</v>
      </c>
      <c r="B56" s="89">
        <v>10.11</v>
      </c>
      <c r="C56" s="89">
        <v>4.03</v>
      </c>
    </row>
    <row r="57" spans="1:3" x14ac:dyDescent="0.25">
      <c r="A57" s="88">
        <v>46</v>
      </c>
      <c r="B57" s="89">
        <v>10.26</v>
      </c>
      <c r="C57" s="89">
        <v>4.0599999999999996</v>
      </c>
    </row>
    <row r="58" spans="1:3" x14ac:dyDescent="0.25">
      <c r="A58" s="88">
        <v>47</v>
      </c>
      <c r="B58" s="89">
        <v>10.41</v>
      </c>
      <c r="C58" s="89">
        <v>4.0999999999999996</v>
      </c>
    </row>
    <row r="59" spans="1:3" x14ac:dyDescent="0.25">
      <c r="A59" s="88">
        <v>48</v>
      </c>
      <c r="B59" s="89">
        <v>10.57</v>
      </c>
      <c r="C59" s="89">
        <v>4.13</v>
      </c>
    </row>
    <row r="60" spans="1:3" x14ac:dyDescent="0.25">
      <c r="A60" s="88">
        <v>49</v>
      </c>
      <c r="B60" s="89">
        <v>10.72</v>
      </c>
      <c r="C60" s="89">
        <v>4.1500000000000004</v>
      </c>
    </row>
    <row r="61" spans="1:3" x14ac:dyDescent="0.25">
      <c r="A61" s="88">
        <v>50</v>
      </c>
      <c r="B61" s="89">
        <v>10.89</v>
      </c>
      <c r="C61" s="89">
        <v>4.18</v>
      </c>
    </row>
    <row r="62" spans="1:3" x14ac:dyDescent="0.25">
      <c r="A62" s="88">
        <v>51</v>
      </c>
      <c r="B62" s="89">
        <v>11.06</v>
      </c>
      <c r="C62" s="89">
        <v>4.2</v>
      </c>
    </row>
    <row r="63" spans="1:3" x14ac:dyDescent="0.25">
      <c r="A63" s="88">
        <v>52</v>
      </c>
      <c r="B63" s="89">
        <v>11.23</v>
      </c>
      <c r="C63" s="89">
        <v>4.2300000000000004</v>
      </c>
    </row>
    <row r="64" spans="1:3" x14ac:dyDescent="0.25">
      <c r="A64" s="88">
        <v>53</v>
      </c>
      <c r="B64" s="89">
        <v>11.4</v>
      </c>
      <c r="C64" s="89">
        <v>4.25</v>
      </c>
    </row>
    <row r="65" spans="1:3" x14ac:dyDescent="0.25">
      <c r="A65" s="88">
        <v>54</v>
      </c>
      <c r="B65" s="89">
        <v>11.59</v>
      </c>
      <c r="C65" s="89">
        <v>4.2699999999999996</v>
      </c>
    </row>
    <row r="66" spans="1:3" x14ac:dyDescent="0.25">
      <c r="A66" s="88">
        <v>55</v>
      </c>
      <c r="B66" s="89">
        <v>11.78</v>
      </c>
      <c r="C66" s="89">
        <v>4.28</v>
      </c>
    </row>
    <row r="67" spans="1:3" x14ac:dyDescent="0.25">
      <c r="A67" s="88">
        <v>56</v>
      </c>
      <c r="B67" s="89">
        <v>11.97</v>
      </c>
      <c r="C67" s="89">
        <v>4.3</v>
      </c>
    </row>
    <row r="68" spans="1:3" x14ac:dyDescent="0.25">
      <c r="A68" s="88">
        <v>57</v>
      </c>
      <c r="B68" s="89">
        <v>12.17</v>
      </c>
      <c r="C68" s="89">
        <v>4.3099999999999996</v>
      </c>
    </row>
    <row r="69" spans="1:3" x14ac:dyDescent="0.25">
      <c r="A69" s="88">
        <v>58</v>
      </c>
      <c r="B69" s="89">
        <v>12.38</v>
      </c>
      <c r="C69" s="89">
        <v>4.3099999999999996</v>
      </c>
    </row>
    <row r="70" spans="1:3" x14ac:dyDescent="0.25">
      <c r="A70" s="88">
        <v>59</v>
      </c>
      <c r="B70" s="89">
        <v>12.6</v>
      </c>
      <c r="C70" s="89">
        <v>4.32</v>
      </c>
    </row>
    <row r="71" spans="1:3" x14ac:dyDescent="0.25">
      <c r="A71" s="88">
        <v>60</v>
      </c>
      <c r="B71" s="89">
        <v>12.83</v>
      </c>
      <c r="C71" s="89">
        <v>4.32</v>
      </c>
    </row>
    <row r="72" spans="1:3" x14ac:dyDescent="0.25">
      <c r="A72" s="88">
        <v>61</v>
      </c>
      <c r="B72" s="89">
        <v>13.07</v>
      </c>
      <c r="C72" s="89">
        <v>4.3099999999999996</v>
      </c>
    </row>
    <row r="73" spans="1:3" x14ac:dyDescent="0.25">
      <c r="A73" s="88">
        <v>62</v>
      </c>
      <c r="B73" s="89">
        <v>13.32</v>
      </c>
      <c r="C73" s="89">
        <v>4.3</v>
      </c>
    </row>
    <row r="74" spans="1:3" x14ac:dyDescent="0.25">
      <c r="A74" s="88">
        <v>63</v>
      </c>
      <c r="B74" s="89">
        <v>13.59</v>
      </c>
      <c r="C74" s="89">
        <v>4.29</v>
      </c>
    </row>
    <row r="75" spans="1:3" x14ac:dyDescent="0.25">
      <c r="A75" s="88">
        <v>64</v>
      </c>
      <c r="B75" s="89">
        <v>13.88</v>
      </c>
      <c r="C75" s="89">
        <v>4.2699999999999996</v>
      </c>
    </row>
    <row r="76" spans="1:3" x14ac:dyDescent="0.25">
      <c r="A76" s="88">
        <v>65</v>
      </c>
      <c r="B76" s="89">
        <v>14.18</v>
      </c>
      <c r="C76" s="89">
        <v>4.24</v>
      </c>
    </row>
    <row r="77" spans="1:3" x14ac:dyDescent="0.25">
      <c r="A77" s="88">
        <v>66</v>
      </c>
      <c r="B77" s="89">
        <v>14.51</v>
      </c>
      <c r="C77" s="89">
        <v>4.2</v>
      </c>
    </row>
    <row r="78" spans="1:3" x14ac:dyDescent="0.25">
      <c r="A78" s="88">
        <v>67</v>
      </c>
      <c r="B78" s="89">
        <v>14.86</v>
      </c>
      <c r="C78" s="89">
        <v>4.16</v>
      </c>
    </row>
    <row r="79" spans="1:3" x14ac:dyDescent="0.25">
      <c r="A79" s="88">
        <v>68</v>
      </c>
      <c r="B79" s="89">
        <v>14.7</v>
      </c>
      <c r="C79" s="89">
        <v>4.12</v>
      </c>
    </row>
    <row r="80" spans="1:3" x14ac:dyDescent="0.25">
      <c r="A80" s="88">
        <v>69</v>
      </c>
      <c r="B80" s="89">
        <v>14.03</v>
      </c>
      <c r="C80" s="89">
        <v>4.05</v>
      </c>
    </row>
    <row r="81" spans="1:3" x14ac:dyDescent="0.25">
      <c r="A81" s="88">
        <v>70</v>
      </c>
      <c r="B81" s="89">
        <v>13.37</v>
      </c>
      <c r="C81" s="89">
        <v>3.97</v>
      </c>
    </row>
    <row r="82" spans="1:3" x14ac:dyDescent="0.25">
      <c r="A82" s="88">
        <v>71</v>
      </c>
      <c r="B82" s="89">
        <v>12.72</v>
      </c>
      <c r="C82" s="89">
        <v>3.94</v>
      </c>
    </row>
    <row r="83" spans="1:3" x14ac:dyDescent="0.25">
      <c r="A83" s="88">
        <v>72</v>
      </c>
      <c r="B83" s="89">
        <v>12.08</v>
      </c>
      <c r="C83" s="89">
        <v>3.9</v>
      </c>
    </row>
    <row r="84" spans="1:3" x14ac:dyDescent="0.25">
      <c r="A84" s="88">
        <v>73</v>
      </c>
      <c r="B84" s="89">
        <v>11.47</v>
      </c>
      <c r="C84" s="89">
        <v>3.86</v>
      </c>
    </row>
    <row r="85" spans="1:3" x14ac:dyDescent="0.25">
      <c r="A85" s="88">
        <v>74</v>
      </c>
      <c r="B85" s="89">
        <v>10.86</v>
      </c>
      <c r="C85" s="89">
        <v>3.68</v>
      </c>
    </row>
  </sheetData>
  <sheetProtection algorithmName="SHA-512" hashValue="PtIw6ObsIcTP0+58vu60ztS7Zf5LdYAUKavDrwIzmM9HLyvSaMrBrYBeDLtCbsvS8/b2Y12UcRRGa8dTdZheAw==" saltValue="cy7cB/gtV4wh/MO3mY6IrQ==" spinCount="100000" sheet="1" objects="1" scenarios="1"/>
  <conditionalFormatting sqref="A6:A21">
    <cfRule type="expression" dxfId="653" priority="3" stopIfTrue="1">
      <formula>MOD(ROW(),2)=0</formula>
    </cfRule>
    <cfRule type="expression" dxfId="652" priority="4" stopIfTrue="1">
      <formula>MOD(ROW(),2)&lt;&gt;0</formula>
    </cfRule>
  </conditionalFormatting>
  <conditionalFormatting sqref="A26:A85">
    <cfRule type="expression" dxfId="651" priority="13" stopIfTrue="1">
      <formula>MOD(ROW(),2)=0</formula>
    </cfRule>
    <cfRule type="expression" dxfId="650" priority="14" stopIfTrue="1">
      <formula>MOD(ROW(),2)&lt;&gt;0</formula>
    </cfRule>
  </conditionalFormatting>
  <conditionalFormatting sqref="B18:B21">
    <cfRule type="expression" dxfId="649" priority="11" stopIfTrue="1">
      <formula>MOD(ROW(),2)=0</formula>
    </cfRule>
    <cfRule type="expression" dxfId="648" priority="12" stopIfTrue="1">
      <formula>MOD(ROW(),2)&lt;&gt;0</formula>
    </cfRule>
  </conditionalFormatting>
  <conditionalFormatting sqref="B6:C21">
    <cfRule type="expression" dxfId="647" priority="23" stopIfTrue="1">
      <formula>MOD(ROW(),2)=0</formula>
    </cfRule>
    <cfRule type="expression" dxfId="646" priority="24" stopIfTrue="1">
      <formula>MOD(ROW(),2)&lt;&gt;0</formula>
    </cfRule>
  </conditionalFormatting>
  <conditionalFormatting sqref="B26:C85">
    <cfRule type="expression" dxfId="645" priority="15" stopIfTrue="1">
      <formula>MOD(ROW(),2)=0</formula>
    </cfRule>
    <cfRule type="expression" dxfId="644" priority="16" stopIfTrue="1">
      <formula>MOD(ROW(),2)&lt;&gt;0</formula>
    </cfRule>
  </conditionalFormatting>
  <conditionalFormatting sqref="C17">
    <cfRule type="expression" dxfId="643" priority="9" stopIfTrue="1">
      <formula>MOD(ROW(),2)=0</formula>
    </cfRule>
    <cfRule type="expression" dxfId="64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65"/>
  <dimension ref="A1:G68"/>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Fire_S - Consolidated Factor Spreadsheet</v>
      </c>
      <c r="B2" s="42"/>
      <c r="C2" s="42"/>
      <c r="D2" s="42"/>
      <c r="E2" s="42"/>
      <c r="F2" s="42"/>
      <c r="G2" s="42"/>
    </row>
    <row r="3" spans="1:7" ht="15.6" x14ac:dyDescent="0.3">
      <c r="A3" s="43" t="str">
        <f>TABLE_FACTOR_TYPE_1&amp;" - x-"&amp;TABLE_SERIES_NUMBER_1</f>
        <v>TV In (non-club) - x-220</v>
      </c>
      <c r="B3" s="42"/>
      <c r="C3" s="42"/>
      <c r="D3" s="42"/>
      <c r="E3" s="42"/>
      <c r="F3" s="42"/>
      <c r="G3" s="42"/>
    </row>
    <row r="4" spans="1:7" x14ac:dyDescent="0.25">
      <c r="A4" s="44"/>
    </row>
    <row r="6" spans="1:7" x14ac:dyDescent="0.25">
      <c r="A6" s="75" t="s">
        <v>484</v>
      </c>
      <c r="B6" s="162" t="s">
        <v>485</v>
      </c>
      <c r="C6" s="162"/>
    </row>
    <row r="7" spans="1:7" x14ac:dyDescent="0.25">
      <c r="A7" s="76" t="s">
        <v>486</v>
      </c>
      <c r="B7" s="162" t="s">
        <v>81</v>
      </c>
      <c r="C7" s="162"/>
    </row>
    <row r="8" spans="1:7" x14ac:dyDescent="0.25">
      <c r="A8" s="76" t="s">
        <v>282</v>
      </c>
      <c r="B8" s="162">
        <v>2015</v>
      </c>
      <c r="C8" s="162"/>
    </row>
    <row r="9" spans="1:7" x14ac:dyDescent="0.25">
      <c r="A9" s="76" t="s">
        <v>283</v>
      </c>
      <c r="B9" s="162" t="s">
        <v>318</v>
      </c>
      <c r="C9" s="162"/>
    </row>
    <row r="10" spans="1:7" x14ac:dyDescent="0.25">
      <c r="A10" s="76" t="s">
        <v>6</v>
      </c>
      <c r="B10" s="162" t="s">
        <v>319</v>
      </c>
      <c r="C10" s="162"/>
    </row>
    <row r="11" spans="1:7" x14ac:dyDescent="0.25">
      <c r="A11" s="76" t="s">
        <v>284</v>
      </c>
      <c r="B11" s="162" t="s">
        <v>294</v>
      </c>
      <c r="C11" s="162"/>
    </row>
    <row r="12" spans="1:7" x14ac:dyDescent="0.25">
      <c r="A12" s="76" t="s">
        <v>285</v>
      </c>
      <c r="B12" s="162" t="s">
        <v>295</v>
      </c>
      <c r="C12" s="162"/>
    </row>
    <row r="13" spans="1:7" hidden="1" x14ac:dyDescent="0.25">
      <c r="A13" s="76" t="s">
        <v>493</v>
      </c>
      <c r="B13" s="162">
        <v>0</v>
      </c>
      <c r="C13" s="162"/>
    </row>
    <row r="14" spans="1:7" hidden="1" x14ac:dyDescent="0.25">
      <c r="A14" s="76" t="s">
        <v>287</v>
      </c>
      <c r="B14" s="162">
        <v>220</v>
      </c>
      <c r="C14" s="162"/>
    </row>
    <row r="15" spans="1:7" x14ac:dyDescent="0.25">
      <c r="A15" s="76" t="s">
        <v>496</v>
      </c>
      <c r="B15" s="162" t="s">
        <v>320</v>
      </c>
      <c r="C15" s="162"/>
    </row>
    <row r="16" spans="1:7" x14ac:dyDescent="0.25">
      <c r="A16" s="76" t="s">
        <v>288</v>
      </c>
      <c r="B16" s="162" t="s">
        <v>321</v>
      </c>
      <c r="C16" s="162"/>
    </row>
    <row r="17" spans="1:3" ht="39.9" customHeight="1" x14ac:dyDescent="0.25">
      <c r="A17" s="76" t="s">
        <v>568</v>
      </c>
      <c r="B17" s="162"/>
      <c r="C17" s="162"/>
    </row>
    <row r="18" spans="1:3" x14ac:dyDescent="0.25">
      <c r="A18" s="76" t="s">
        <v>500</v>
      </c>
      <c r="B18" s="164">
        <v>45106</v>
      </c>
      <c r="C18" s="162"/>
    </row>
    <row r="19" spans="1:3" x14ac:dyDescent="0.25">
      <c r="A19" s="76" t="s">
        <v>290</v>
      </c>
      <c r="B19" s="164">
        <v>45014</v>
      </c>
      <c r="C19" s="162"/>
    </row>
    <row r="20" spans="1:3" x14ac:dyDescent="0.25">
      <c r="A20" s="76" t="s">
        <v>291</v>
      </c>
      <c r="B20" s="162" t="s">
        <v>298</v>
      </c>
      <c r="C20" s="162"/>
    </row>
    <row r="21" spans="1:3" x14ac:dyDescent="0.25">
      <c r="A21" s="150" t="s">
        <v>569</v>
      </c>
      <c r="B21" s="162" t="s">
        <v>297</v>
      </c>
      <c r="C21" s="162"/>
    </row>
    <row r="23" spans="1:3" x14ac:dyDescent="0.25">
      <c r="B23" s="91" t="str">
        <f>HYPERLINK("#'Factor List'!A1","Back to Factor List")</f>
        <v>Back to Factor List</v>
      </c>
    </row>
    <row r="24" spans="1:3" x14ac:dyDescent="0.25">
      <c r="B24" s="91" t="str">
        <f>HYPERLINK("#'Assumptions'!A1","Assumptions")</f>
        <v>Assumptions</v>
      </c>
    </row>
    <row r="26" spans="1:3" ht="37.5" customHeight="1" x14ac:dyDescent="0.25">
      <c r="A26" s="87" t="s">
        <v>570</v>
      </c>
      <c r="B26" s="87" t="s">
        <v>571</v>
      </c>
      <c r="C26" s="87" t="s">
        <v>589</v>
      </c>
    </row>
    <row r="27" spans="1:3" x14ac:dyDescent="0.25">
      <c r="A27" s="88">
        <v>18</v>
      </c>
      <c r="B27" s="89">
        <v>22.86</v>
      </c>
      <c r="C27" s="89">
        <v>4.21</v>
      </c>
    </row>
    <row r="28" spans="1:3" x14ac:dyDescent="0.25">
      <c r="A28" s="88">
        <v>19</v>
      </c>
      <c r="B28" s="89">
        <v>22.79</v>
      </c>
      <c r="C28" s="89">
        <v>4.4000000000000004</v>
      </c>
    </row>
    <row r="29" spans="1:3" x14ac:dyDescent="0.25">
      <c r="A29" s="88">
        <v>20</v>
      </c>
      <c r="B29" s="89">
        <v>22.73</v>
      </c>
      <c r="C29" s="89">
        <v>4.4000000000000004</v>
      </c>
    </row>
    <row r="30" spans="1:3" x14ac:dyDescent="0.25">
      <c r="A30" s="88">
        <v>21</v>
      </c>
      <c r="B30" s="89">
        <v>22.66</v>
      </c>
      <c r="C30" s="89">
        <v>4.4000000000000004</v>
      </c>
    </row>
    <row r="31" spans="1:3" x14ac:dyDescent="0.25">
      <c r="A31" s="88">
        <v>22</v>
      </c>
      <c r="B31" s="89">
        <v>22.59</v>
      </c>
      <c r="C31" s="89">
        <v>4.4000000000000004</v>
      </c>
    </row>
    <row r="32" spans="1:3" x14ac:dyDescent="0.25">
      <c r="A32" s="88">
        <v>23</v>
      </c>
      <c r="B32" s="89">
        <v>22.53</v>
      </c>
      <c r="C32" s="89">
        <v>4.4000000000000004</v>
      </c>
    </row>
    <row r="33" spans="1:3" x14ac:dyDescent="0.25">
      <c r="A33" s="88">
        <v>24</v>
      </c>
      <c r="B33" s="89">
        <v>22.46</v>
      </c>
      <c r="C33" s="89">
        <v>4.4000000000000004</v>
      </c>
    </row>
    <row r="34" spans="1:3" x14ac:dyDescent="0.25">
      <c r="A34" s="88">
        <v>25</v>
      </c>
      <c r="B34" s="89">
        <v>22.39</v>
      </c>
      <c r="C34" s="89">
        <v>4.4000000000000004</v>
      </c>
    </row>
    <row r="35" spans="1:3" x14ac:dyDescent="0.25">
      <c r="A35" s="88">
        <v>26</v>
      </c>
      <c r="B35" s="89">
        <v>22.32</v>
      </c>
      <c r="C35" s="89">
        <v>4.4000000000000004</v>
      </c>
    </row>
    <row r="36" spans="1:3" x14ac:dyDescent="0.25">
      <c r="A36" s="88">
        <v>27</v>
      </c>
      <c r="B36" s="89">
        <v>22.25</v>
      </c>
      <c r="C36" s="89">
        <v>4.4000000000000004</v>
      </c>
    </row>
    <row r="37" spans="1:3" x14ac:dyDescent="0.25">
      <c r="A37" s="88">
        <v>28</v>
      </c>
      <c r="B37" s="89">
        <v>22.19</v>
      </c>
      <c r="C37" s="89">
        <v>4.4000000000000004</v>
      </c>
    </row>
    <row r="38" spans="1:3" x14ac:dyDescent="0.25">
      <c r="A38" s="88">
        <v>29</v>
      </c>
      <c r="B38" s="89">
        <v>22.12</v>
      </c>
      <c r="C38" s="89">
        <v>4.4000000000000004</v>
      </c>
    </row>
    <row r="39" spans="1:3" x14ac:dyDescent="0.25">
      <c r="A39" s="88">
        <v>30</v>
      </c>
      <c r="B39" s="89">
        <v>22.05</v>
      </c>
      <c r="C39" s="89">
        <v>4.4000000000000004</v>
      </c>
    </row>
    <row r="40" spans="1:3" x14ac:dyDescent="0.25">
      <c r="A40" s="88">
        <v>31</v>
      </c>
      <c r="B40" s="89">
        <v>21.98</v>
      </c>
      <c r="C40" s="89">
        <v>4.3899999999999997</v>
      </c>
    </row>
    <row r="41" spans="1:3" x14ac:dyDescent="0.25">
      <c r="A41" s="88">
        <v>32</v>
      </c>
      <c r="B41" s="89">
        <v>21.91</v>
      </c>
      <c r="C41" s="89">
        <v>4.3899999999999997</v>
      </c>
    </row>
    <row r="42" spans="1:3" x14ac:dyDescent="0.25">
      <c r="A42" s="88">
        <v>33</v>
      </c>
      <c r="B42" s="89">
        <v>21.84</v>
      </c>
      <c r="C42" s="89">
        <v>4.3899999999999997</v>
      </c>
    </row>
    <row r="43" spans="1:3" x14ac:dyDescent="0.25">
      <c r="A43" s="88">
        <v>34</v>
      </c>
      <c r="B43" s="89">
        <v>21.77</v>
      </c>
      <c r="C43" s="89">
        <v>4.3899999999999997</v>
      </c>
    </row>
    <row r="44" spans="1:3" x14ac:dyDescent="0.25">
      <c r="A44" s="88">
        <v>35</v>
      </c>
      <c r="B44" s="89">
        <v>21.7</v>
      </c>
      <c r="C44" s="89">
        <v>4.38</v>
      </c>
    </row>
    <row r="45" spans="1:3" x14ac:dyDescent="0.25">
      <c r="A45" s="88">
        <v>36</v>
      </c>
      <c r="B45" s="89">
        <v>21.63</v>
      </c>
      <c r="C45" s="89">
        <v>4.38</v>
      </c>
    </row>
    <row r="46" spans="1:3" x14ac:dyDescent="0.25">
      <c r="A46" s="88">
        <v>37</v>
      </c>
      <c r="B46" s="89">
        <v>21.56</v>
      </c>
      <c r="C46" s="89">
        <v>4.38</v>
      </c>
    </row>
    <row r="47" spans="1:3" x14ac:dyDescent="0.25">
      <c r="A47" s="88">
        <v>38</v>
      </c>
      <c r="B47" s="89">
        <v>21.49</v>
      </c>
      <c r="C47" s="89">
        <v>4.37</v>
      </c>
    </row>
    <row r="48" spans="1:3" x14ac:dyDescent="0.25">
      <c r="A48" s="88">
        <v>39</v>
      </c>
      <c r="B48" s="89">
        <v>21.41</v>
      </c>
      <c r="C48" s="89">
        <v>4.37</v>
      </c>
    </row>
    <row r="49" spans="1:3" x14ac:dyDescent="0.25">
      <c r="A49" s="88">
        <v>40</v>
      </c>
      <c r="B49" s="89">
        <v>21.34</v>
      </c>
      <c r="C49" s="89">
        <v>4.3600000000000003</v>
      </c>
    </row>
    <row r="50" spans="1:3" x14ac:dyDescent="0.25">
      <c r="A50" s="88">
        <v>41</v>
      </c>
      <c r="B50" s="89">
        <v>21.27</v>
      </c>
      <c r="C50" s="89">
        <v>4.3600000000000003</v>
      </c>
    </row>
    <row r="51" spans="1:3" x14ac:dyDescent="0.25">
      <c r="A51" s="88">
        <v>42</v>
      </c>
      <c r="B51" s="89">
        <v>21.19</v>
      </c>
      <c r="C51" s="89">
        <v>4.3499999999999996</v>
      </c>
    </row>
    <row r="52" spans="1:3" x14ac:dyDescent="0.25">
      <c r="A52" s="88">
        <v>43</v>
      </c>
      <c r="B52" s="89">
        <v>21.12</v>
      </c>
      <c r="C52" s="89">
        <v>4.3499999999999996</v>
      </c>
    </row>
    <row r="53" spans="1:3" x14ac:dyDescent="0.25">
      <c r="A53" s="88">
        <v>44</v>
      </c>
      <c r="B53" s="89">
        <v>21.04</v>
      </c>
      <c r="C53" s="89">
        <v>4.34</v>
      </c>
    </row>
    <row r="54" spans="1:3" x14ac:dyDescent="0.25">
      <c r="A54" s="88">
        <v>45</v>
      </c>
      <c r="B54" s="89">
        <v>20.96</v>
      </c>
      <c r="C54" s="89">
        <v>4.33</v>
      </c>
    </row>
    <row r="55" spans="1:3" x14ac:dyDescent="0.25">
      <c r="A55" s="88">
        <v>46</v>
      </c>
      <c r="B55" s="89">
        <v>20.88</v>
      </c>
      <c r="C55" s="89">
        <v>4.33</v>
      </c>
    </row>
    <row r="56" spans="1:3" x14ac:dyDescent="0.25">
      <c r="A56" s="88">
        <v>47</v>
      </c>
      <c r="B56" s="89">
        <v>20.81</v>
      </c>
      <c r="C56" s="89">
        <v>4.32</v>
      </c>
    </row>
    <row r="57" spans="1:3" x14ac:dyDescent="0.25">
      <c r="A57" s="88">
        <v>48</v>
      </c>
      <c r="B57" s="89">
        <v>20.73</v>
      </c>
      <c r="C57" s="89">
        <v>4.3099999999999996</v>
      </c>
    </row>
    <row r="58" spans="1:3" x14ac:dyDescent="0.25">
      <c r="A58" s="88">
        <v>49</v>
      </c>
      <c r="B58" s="89">
        <v>20.65</v>
      </c>
      <c r="C58" s="89">
        <v>4.3</v>
      </c>
    </row>
    <row r="59" spans="1:3" x14ac:dyDescent="0.25">
      <c r="A59" s="88">
        <v>50</v>
      </c>
      <c r="B59" s="89">
        <v>20.57</v>
      </c>
      <c r="C59" s="89">
        <v>4.29</v>
      </c>
    </row>
    <row r="60" spans="1:3" x14ac:dyDescent="0.25">
      <c r="A60" s="88">
        <v>51</v>
      </c>
      <c r="B60" s="89">
        <v>20.49</v>
      </c>
      <c r="C60" s="89">
        <v>4.28</v>
      </c>
    </row>
    <row r="61" spans="1:3" x14ac:dyDescent="0.25">
      <c r="A61" s="88">
        <v>52</v>
      </c>
      <c r="B61" s="89">
        <v>20.41</v>
      </c>
      <c r="C61" s="89">
        <v>4.2699999999999996</v>
      </c>
    </row>
    <row r="62" spans="1:3" x14ac:dyDescent="0.25">
      <c r="A62" s="88">
        <v>53</v>
      </c>
      <c r="B62" s="89">
        <v>20.329999999999998</v>
      </c>
      <c r="C62" s="89">
        <v>4.25</v>
      </c>
    </row>
    <row r="63" spans="1:3" x14ac:dyDescent="0.25">
      <c r="A63" s="88">
        <v>54</v>
      </c>
      <c r="B63" s="89">
        <v>20.260000000000002</v>
      </c>
      <c r="C63" s="89">
        <v>4.24</v>
      </c>
    </row>
    <row r="64" spans="1:3" x14ac:dyDescent="0.25">
      <c r="A64" s="88">
        <v>55</v>
      </c>
      <c r="B64" s="89">
        <v>20.190000000000001</v>
      </c>
      <c r="C64" s="89">
        <v>4.22</v>
      </c>
    </row>
    <row r="65" spans="1:3" x14ac:dyDescent="0.25">
      <c r="A65" s="88">
        <v>56</v>
      </c>
      <c r="B65" s="89">
        <v>20.12</v>
      </c>
      <c r="C65" s="89">
        <v>4.2</v>
      </c>
    </row>
    <row r="66" spans="1:3" x14ac:dyDescent="0.25">
      <c r="A66" s="88">
        <v>57</v>
      </c>
      <c r="B66" s="89">
        <v>20.07</v>
      </c>
      <c r="C66" s="89">
        <v>4.18</v>
      </c>
    </row>
    <row r="67" spans="1:3" x14ac:dyDescent="0.25">
      <c r="A67" s="88">
        <v>58</v>
      </c>
      <c r="B67" s="89">
        <v>20.02</v>
      </c>
      <c r="C67" s="89">
        <v>4.16</v>
      </c>
    </row>
    <row r="68" spans="1:3" x14ac:dyDescent="0.25">
      <c r="A68" s="88">
        <v>59</v>
      </c>
      <c r="B68" s="89">
        <v>19.98</v>
      </c>
      <c r="C68" s="89">
        <v>4.1399999999999997</v>
      </c>
    </row>
  </sheetData>
  <sheetProtection algorithmName="SHA-512" hashValue="5LV4UFJ3ed7VzEN80+gcdiVRlI2nvDKY2YSrhmsdWD8rAfVWhJ980+vZPJZLLOl1IVrpHoM73N15MQnBI7AV7g==" saltValue="AnSQgRdwNL0HywpWuGPDMg==" spinCount="100000" sheet="1" objects="1" scenarios="1"/>
  <conditionalFormatting sqref="A6:A21">
    <cfRule type="expression" dxfId="641" priority="3" stopIfTrue="1">
      <formula>MOD(ROW(),2)=0</formula>
    </cfRule>
    <cfRule type="expression" dxfId="640" priority="4" stopIfTrue="1">
      <formula>MOD(ROW(),2)&lt;&gt;0</formula>
    </cfRule>
  </conditionalFormatting>
  <conditionalFormatting sqref="A26:A68">
    <cfRule type="expression" dxfId="639" priority="11" stopIfTrue="1">
      <formula>MOD(ROW(),2)=0</formula>
    </cfRule>
    <cfRule type="expression" dxfId="638" priority="12" stopIfTrue="1">
      <formula>MOD(ROW(),2)&lt;&gt;0</formula>
    </cfRule>
  </conditionalFormatting>
  <conditionalFormatting sqref="B6:C21">
    <cfRule type="expression" dxfId="637" priority="23" stopIfTrue="1">
      <formula>MOD(ROW(),2)=0</formula>
    </cfRule>
    <cfRule type="expression" dxfId="636" priority="24" stopIfTrue="1">
      <formula>MOD(ROW(),2)&lt;&gt;0</formula>
    </cfRule>
  </conditionalFormatting>
  <conditionalFormatting sqref="B26:C68">
    <cfRule type="expression" dxfId="635" priority="13" stopIfTrue="1">
      <formula>MOD(ROW(),2)=0</formula>
    </cfRule>
    <cfRule type="expression" dxfId="634" priority="14" stopIfTrue="1">
      <formula>MOD(ROW(),2)&lt;&gt;0</formula>
    </cfRule>
  </conditionalFormatting>
  <conditionalFormatting sqref="C17">
    <cfRule type="expression" dxfId="633" priority="9" stopIfTrue="1">
      <formula>MOD(ROW(),2)=0</formula>
    </cfRule>
    <cfRule type="expression" dxfId="63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66"/>
  <dimension ref="A1:G68"/>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Fire_S - Consolidated Factor Spreadsheet</v>
      </c>
      <c r="B2" s="42"/>
      <c r="C2" s="42"/>
      <c r="D2" s="42"/>
      <c r="E2" s="42"/>
      <c r="F2" s="42"/>
      <c r="G2" s="42"/>
    </row>
    <row r="3" spans="1:7" ht="15.6" x14ac:dyDescent="0.3">
      <c r="A3" s="43" t="str">
        <f>TABLE_FACTOR_TYPE_1&amp;" - x-"&amp;TABLE_SERIES_NUMBER_1</f>
        <v>TV In (non-club) - x-221</v>
      </c>
      <c r="B3" s="42"/>
      <c r="C3" s="42"/>
      <c r="D3" s="42"/>
      <c r="E3" s="42"/>
      <c r="F3" s="42"/>
      <c r="G3" s="42"/>
    </row>
    <row r="4" spans="1:7" x14ac:dyDescent="0.25">
      <c r="A4" s="44"/>
    </row>
    <row r="6" spans="1:7" x14ac:dyDescent="0.25">
      <c r="A6" s="75" t="s">
        <v>484</v>
      </c>
      <c r="B6" s="162" t="s">
        <v>485</v>
      </c>
      <c r="C6" s="162"/>
    </row>
    <row r="7" spans="1:7" x14ac:dyDescent="0.25">
      <c r="A7" s="76" t="s">
        <v>486</v>
      </c>
      <c r="B7" s="162" t="s">
        <v>81</v>
      </c>
      <c r="C7" s="162"/>
    </row>
    <row r="8" spans="1:7" x14ac:dyDescent="0.25">
      <c r="A8" s="76" t="s">
        <v>282</v>
      </c>
      <c r="B8" s="162">
        <v>2015</v>
      </c>
      <c r="C8" s="162"/>
    </row>
    <row r="9" spans="1:7" x14ac:dyDescent="0.25">
      <c r="A9" s="76" t="s">
        <v>283</v>
      </c>
      <c r="B9" s="162" t="s">
        <v>318</v>
      </c>
      <c r="C9" s="162"/>
    </row>
    <row r="10" spans="1:7" x14ac:dyDescent="0.25">
      <c r="A10" s="76" t="s">
        <v>6</v>
      </c>
      <c r="B10" s="162" t="s">
        <v>319</v>
      </c>
      <c r="C10" s="162"/>
    </row>
    <row r="11" spans="1:7" x14ac:dyDescent="0.25">
      <c r="A11" s="76" t="s">
        <v>284</v>
      </c>
      <c r="B11" s="162" t="s">
        <v>299</v>
      </c>
      <c r="C11" s="162"/>
    </row>
    <row r="12" spans="1:7" x14ac:dyDescent="0.25">
      <c r="A12" s="76" t="s">
        <v>285</v>
      </c>
      <c r="B12" s="162" t="s">
        <v>295</v>
      </c>
      <c r="C12" s="162"/>
    </row>
    <row r="13" spans="1:7" hidden="1" x14ac:dyDescent="0.25">
      <c r="A13" s="76" t="s">
        <v>493</v>
      </c>
      <c r="B13" s="162">
        <v>0</v>
      </c>
      <c r="C13" s="162"/>
    </row>
    <row r="14" spans="1:7" hidden="1" x14ac:dyDescent="0.25">
      <c r="A14" s="76" t="s">
        <v>287</v>
      </c>
      <c r="B14" s="162">
        <v>221</v>
      </c>
      <c r="C14" s="162"/>
    </row>
    <row r="15" spans="1:7" x14ac:dyDescent="0.25">
      <c r="A15" s="76" t="s">
        <v>496</v>
      </c>
      <c r="B15" s="162" t="s">
        <v>322</v>
      </c>
      <c r="C15" s="162"/>
    </row>
    <row r="16" spans="1:7" x14ac:dyDescent="0.25">
      <c r="A16" s="76" t="s">
        <v>288</v>
      </c>
      <c r="B16" s="162" t="s">
        <v>323</v>
      </c>
      <c r="C16" s="162"/>
    </row>
    <row r="17" spans="1:3" ht="44.4" customHeight="1" x14ac:dyDescent="0.25">
      <c r="A17" s="76" t="s">
        <v>568</v>
      </c>
      <c r="B17" s="162"/>
      <c r="C17" s="162"/>
    </row>
    <row r="18" spans="1:3" x14ac:dyDescent="0.25">
      <c r="A18" s="76" t="s">
        <v>500</v>
      </c>
      <c r="B18" s="164">
        <v>45106</v>
      </c>
      <c r="C18" s="162"/>
    </row>
    <row r="19" spans="1:3" x14ac:dyDescent="0.25">
      <c r="A19" s="76" t="s">
        <v>290</v>
      </c>
      <c r="B19" s="164">
        <v>45014</v>
      </c>
      <c r="C19" s="162"/>
    </row>
    <row r="20" spans="1:3" x14ac:dyDescent="0.25">
      <c r="A20" s="76" t="s">
        <v>291</v>
      </c>
      <c r="B20" s="162" t="s">
        <v>298</v>
      </c>
      <c r="C20" s="162"/>
    </row>
    <row r="21" spans="1:3" x14ac:dyDescent="0.25">
      <c r="A21" s="150" t="s">
        <v>569</v>
      </c>
      <c r="B21" s="162" t="s">
        <v>297</v>
      </c>
      <c r="C21" s="162"/>
    </row>
    <row r="23" spans="1:3" x14ac:dyDescent="0.25">
      <c r="B23" s="91" t="str">
        <f>HYPERLINK("#'Factor List'!A1","Back to Factor List")</f>
        <v>Back to Factor List</v>
      </c>
    </row>
    <row r="24" spans="1:3" x14ac:dyDescent="0.25">
      <c r="B24" s="91" t="str">
        <f>HYPERLINK("#'Assumptions'!A1","Assumptions")</f>
        <v>Assumptions</v>
      </c>
    </row>
    <row r="26" spans="1:3" ht="38.1" customHeight="1" x14ac:dyDescent="0.25">
      <c r="A26" s="87" t="s">
        <v>570</v>
      </c>
      <c r="B26" s="87" t="s">
        <v>571</v>
      </c>
      <c r="C26" s="87" t="s">
        <v>589</v>
      </c>
    </row>
    <row r="27" spans="1:3" x14ac:dyDescent="0.25">
      <c r="A27" s="88">
        <v>18</v>
      </c>
      <c r="B27" s="89">
        <v>22.86</v>
      </c>
      <c r="C27" s="89">
        <v>4.21</v>
      </c>
    </row>
    <row r="28" spans="1:3" x14ac:dyDescent="0.25">
      <c r="A28" s="88">
        <v>19</v>
      </c>
      <c r="B28" s="89">
        <v>22.79</v>
      </c>
      <c r="C28" s="89">
        <v>4.4000000000000004</v>
      </c>
    </row>
    <row r="29" spans="1:3" x14ac:dyDescent="0.25">
      <c r="A29" s="88">
        <v>20</v>
      </c>
      <c r="B29" s="89">
        <v>22.73</v>
      </c>
      <c r="C29" s="89">
        <v>4.4000000000000004</v>
      </c>
    </row>
    <row r="30" spans="1:3" x14ac:dyDescent="0.25">
      <c r="A30" s="88">
        <v>21</v>
      </c>
      <c r="B30" s="89">
        <v>22.66</v>
      </c>
      <c r="C30" s="89">
        <v>4.4000000000000004</v>
      </c>
    </row>
    <row r="31" spans="1:3" x14ac:dyDescent="0.25">
      <c r="A31" s="88">
        <v>22</v>
      </c>
      <c r="B31" s="89">
        <v>22.59</v>
      </c>
      <c r="C31" s="89">
        <v>4.4000000000000004</v>
      </c>
    </row>
    <row r="32" spans="1:3" x14ac:dyDescent="0.25">
      <c r="A32" s="88">
        <v>23</v>
      </c>
      <c r="B32" s="89">
        <v>22.53</v>
      </c>
      <c r="C32" s="89">
        <v>4.4000000000000004</v>
      </c>
    </row>
    <row r="33" spans="1:3" x14ac:dyDescent="0.25">
      <c r="A33" s="88">
        <v>24</v>
      </c>
      <c r="B33" s="89">
        <v>22.46</v>
      </c>
      <c r="C33" s="89">
        <v>4.4000000000000004</v>
      </c>
    </row>
    <row r="34" spans="1:3" x14ac:dyDescent="0.25">
      <c r="A34" s="88">
        <v>25</v>
      </c>
      <c r="B34" s="89">
        <v>22.39</v>
      </c>
      <c r="C34" s="89">
        <v>4.4000000000000004</v>
      </c>
    </row>
    <row r="35" spans="1:3" x14ac:dyDescent="0.25">
      <c r="A35" s="88">
        <v>26</v>
      </c>
      <c r="B35" s="89">
        <v>22.32</v>
      </c>
      <c r="C35" s="89">
        <v>4.4000000000000004</v>
      </c>
    </row>
    <row r="36" spans="1:3" x14ac:dyDescent="0.25">
      <c r="A36" s="88">
        <v>27</v>
      </c>
      <c r="B36" s="89">
        <v>22.25</v>
      </c>
      <c r="C36" s="89">
        <v>4.4000000000000004</v>
      </c>
    </row>
    <row r="37" spans="1:3" x14ac:dyDescent="0.25">
      <c r="A37" s="88">
        <v>28</v>
      </c>
      <c r="B37" s="89">
        <v>22.19</v>
      </c>
      <c r="C37" s="89">
        <v>4.4000000000000004</v>
      </c>
    </row>
    <row r="38" spans="1:3" x14ac:dyDescent="0.25">
      <c r="A38" s="88">
        <v>29</v>
      </c>
      <c r="B38" s="89">
        <v>22.12</v>
      </c>
      <c r="C38" s="89">
        <v>4.4000000000000004</v>
      </c>
    </row>
    <row r="39" spans="1:3" x14ac:dyDescent="0.25">
      <c r="A39" s="88">
        <v>30</v>
      </c>
      <c r="B39" s="89">
        <v>22.05</v>
      </c>
      <c r="C39" s="89">
        <v>4.4000000000000004</v>
      </c>
    </row>
    <row r="40" spans="1:3" x14ac:dyDescent="0.25">
      <c r="A40" s="88">
        <v>31</v>
      </c>
      <c r="B40" s="89">
        <v>21.98</v>
      </c>
      <c r="C40" s="89">
        <v>4.3899999999999997</v>
      </c>
    </row>
    <row r="41" spans="1:3" x14ac:dyDescent="0.25">
      <c r="A41" s="88">
        <v>32</v>
      </c>
      <c r="B41" s="89">
        <v>21.91</v>
      </c>
      <c r="C41" s="89">
        <v>4.3899999999999997</v>
      </c>
    </row>
    <row r="42" spans="1:3" x14ac:dyDescent="0.25">
      <c r="A42" s="88">
        <v>33</v>
      </c>
      <c r="B42" s="89">
        <v>21.84</v>
      </c>
      <c r="C42" s="89">
        <v>4.3899999999999997</v>
      </c>
    </row>
    <row r="43" spans="1:3" x14ac:dyDescent="0.25">
      <c r="A43" s="88">
        <v>34</v>
      </c>
      <c r="B43" s="89">
        <v>21.77</v>
      </c>
      <c r="C43" s="89">
        <v>4.3899999999999997</v>
      </c>
    </row>
    <row r="44" spans="1:3" x14ac:dyDescent="0.25">
      <c r="A44" s="88">
        <v>35</v>
      </c>
      <c r="B44" s="89">
        <v>21.7</v>
      </c>
      <c r="C44" s="89">
        <v>4.38</v>
      </c>
    </row>
    <row r="45" spans="1:3" x14ac:dyDescent="0.25">
      <c r="A45" s="88">
        <v>36</v>
      </c>
      <c r="B45" s="89">
        <v>21.63</v>
      </c>
      <c r="C45" s="89">
        <v>4.38</v>
      </c>
    </row>
    <row r="46" spans="1:3" x14ac:dyDescent="0.25">
      <c r="A46" s="88">
        <v>37</v>
      </c>
      <c r="B46" s="89">
        <v>21.56</v>
      </c>
      <c r="C46" s="89">
        <v>4.38</v>
      </c>
    </row>
    <row r="47" spans="1:3" x14ac:dyDescent="0.25">
      <c r="A47" s="88">
        <v>38</v>
      </c>
      <c r="B47" s="89">
        <v>21.49</v>
      </c>
      <c r="C47" s="89">
        <v>4.37</v>
      </c>
    </row>
    <row r="48" spans="1:3" x14ac:dyDescent="0.25">
      <c r="A48" s="88">
        <v>39</v>
      </c>
      <c r="B48" s="89">
        <v>21.41</v>
      </c>
      <c r="C48" s="89">
        <v>4.37</v>
      </c>
    </row>
    <row r="49" spans="1:3" x14ac:dyDescent="0.25">
      <c r="A49" s="88">
        <v>40</v>
      </c>
      <c r="B49" s="89">
        <v>21.34</v>
      </c>
      <c r="C49" s="89">
        <v>4.3600000000000003</v>
      </c>
    </row>
    <row r="50" spans="1:3" x14ac:dyDescent="0.25">
      <c r="A50" s="88">
        <v>41</v>
      </c>
      <c r="B50" s="89">
        <v>21.27</v>
      </c>
      <c r="C50" s="89">
        <v>4.3600000000000003</v>
      </c>
    </row>
    <row r="51" spans="1:3" x14ac:dyDescent="0.25">
      <c r="A51" s="88">
        <v>42</v>
      </c>
      <c r="B51" s="89">
        <v>21.19</v>
      </c>
      <c r="C51" s="89">
        <v>4.3499999999999996</v>
      </c>
    </row>
    <row r="52" spans="1:3" x14ac:dyDescent="0.25">
      <c r="A52" s="88">
        <v>43</v>
      </c>
      <c r="B52" s="89">
        <v>21.12</v>
      </c>
      <c r="C52" s="89">
        <v>4.3499999999999996</v>
      </c>
    </row>
    <row r="53" spans="1:3" x14ac:dyDescent="0.25">
      <c r="A53" s="88">
        <v>44</v>
      </c>
      <c r="B53" s="89">
        <v>21.04</v>
      </c>
      <c r="C53" s="89">
        <v>4.34</v>
      </c>
    </row>
    <row r="54" spans="1:3" x14ac:dyDescent="0.25">
      <c r="A54" s="88">
        <v>45</v>
      </c>
      <c r="B54" s="89">
        <v>20.96</v>
      </c>
      <c r="C54" s="89">
        <v>4.33</v>
      </c>
    </row>
    <row r="55" spans="1:3" x14ac:dyDescent="0.25">
      <c r="A55" s="88">
        <v>46</v>
      </c>
      <c r="B55" s="89">
        <v>20.88</v>
      </c>
      <c r="C55" s="89">
        <v>4.33</v>
      </c>
    </row>
    <row r="56" spans="1:3" x14ac:dyDescent="0.25">
      <c r="A56" s="88">
        <v>47</v>
      </c>
      <c r="B56" s="89">
        <v>20.81</v>
      </c>
      <c r="C56" s="89">
        <v>4.32</v>
      </c>
    </row>
    <row r="57" spans="1:3" x14ac:dyDescent="0.25">
      <c r="A57" s="88">
        <v>48</v>
      </c>
      <c r="B57" s="89">
        <v>20.73</v>
      </c>
      <c r="C57" s="89">
        <v>4.3099999999999996</v>
      </c>
    </row>
    <row r="58" spans="1:3" x14ac:dyDescent="0.25">
      <c r="A58" s="88">
        <v>49</v>
      </c>
      <c r="B58" s="89">
        <v>20.65</v>
      </c>
      <c r="C58" s="89">
        <v>4.3</v>
      </c>
    </row>
    <row r="59" spans="1:3" x14ac:dyDescent="0.25">
      <c r="A59" s="88">
        <v>50</v>
      </c>
      <c r="B59" s="89">
        <v>20.57</v>
      </c>
      <c r="C59" s="89">
        <v>4.29</v>
      </c>
    </row>
    <row r="60" spans="1:3" x14ac:dyDescent="0.25">
      <c r="A60" s="88">
        <v>51</v>
      </c>
      <c r="B60" s="89">
        <v>20.49</v>
      </c>
      <c r="C60" s="89">
        <v>4.28</v>
      </c>
    </row>
    <row r="61" spans="1:3" x14ac:dyDescent="0.25">
      <c r="A61" s="88">
        <v>52</v>
      </c>
      <c r="B61" s="89">
        <v>20.41</v>
      </c>
      <c r="C61" s="89">
        <v>4.2699999999999996</v>
      </c>
    </row>
    <row r="62" spans="1:3" x14ac:dyDescent="0.25">
      <c r="A62" s="88">
        <v>53</v>
      </c>
      <c r="B62" s="89">
        <v>20.329999999999998</v>
      </c>
      <c r="C62" s="89">
        <v>4.25</v>
      </c>
    </row>
    <row r="63" spans="1:3" x14ac:dyDescent="0.25">
      <c r="A63" s="88">
        <v>54</v>
      </c>
      <c r="B63" s="89">
        <v>20.260000000000002</v>
      </c>
      <c r="C63" s="89">
        <v>4.24</v>
      </c>
    </row>
    <row r="64" spans="1:3" x14ac:dyDescent="0.25">
      <c r="A64" s="88">
        <v>55</v>
      </c>
      <c r="B64" s="89">
        <v>20.190000000000001</v>
      </c>
      <c r="C64" s="89">
        <v>4.22</v>
      </c>
    </row>
    <row r="65" spans="1:3" x14ac:dyDescent="0.25">
      <c r="A65" s="88">
        <v>56</v>
      </c>
      <c r="B65" s="89">
        <v>20.12</v>
      </c>
      <c r="C65" s="89">
        <v>4.2</v>
      </c>
    </row>
    <row r="66" spans="1:3" x14ac:dyDescent="0.25">
      <c r="A66" s="88">
        <v>57</v>
      </c>
      <c r="B66" s="89">
        <v>20.07</v>
      </c>
      <c r="C66" s="89">
        <v>4.18</v>
      </c>
    </row>
    <row r="67" spans="1:3" x14ac:dyDescent="0.25">
      <c r="A67" s="88">
        <v>58</v>
      </c>
      <c r="B67" s="89">
        <v>20.02</v>
      </c>
      <c r="C67" s="89">
        <v>4.16</v>
      </c>
    </row>
    <row r="68" spans="1:3" x14ac:dyDescent="0.25">
      <c r="A68" s="88">
        <v>59</v>
      </c>
      <c r="B68" s="89">
        <v>19.98</v>
      </c>
      <c r="C68" s="89">
        <v>4.1399999999999997</v>
      </c>
    </row>
  </sheetData>
  <sheetProtection algorithmName="SHA-512" hashValue="OeU+FJtNZPYSSlAcHytUQUroTWVTvydV8MJ5iXsAODddRzohYDmdavs02tU77FX3TbVA/lyggf9Wao9JUznFSA==" saltValue="JJiVuv2zs0yK2VF1p+Yz5A==" spinCount="100000" sheet="1" objects="1" scenarios="1"/>
  <conditionalFormatting sqref="A6:A21">
    <cfRule type="expression" dxfId="631" priority="3" stopIfTrue="1">
      <formula>MOD(ROW(),2)=0</formula>
    </cfRule>
    <cfRule type="expression" dxfId="630" priority="4" stopIfTrue="1">
      <formula>MOD(ROW(),2)&lt;&gt;0</formula>
    </cfRule>
  </conditionalFormatting>
  <conditionalFormatting sqref="A26:A68">
    <cfRule type="expression" dxfId="629" priority="11" stopIfTrue="1">
      <formula>MOD(ROW(),2)=0</formula>
    </cfRule>
    <cfRule type="expression" dxfId="628" priority="12" stopIfTrue="1">
      <formula>MOD(ROW(),2)&lt;&gt;0</formula>
    </cfRule>
  </conditionalFormatting>
  <conditionalFormatting sqref="B6:C21">
    <cfRule type="expression" dxfId="627" priority="25" stopIfTrue="1">
      <formula>MOD(ROW(),2)=0</formula>
    </cfRule>
    <cfRule type="expression" dxfId="626" priority="26" stopIfTrue="1">
      <formula>MOD(ROW(),2)&lt;&gt;0</formula>
    </cfRule>
  </conditionalFormatting>
  <conditionalFormatting sqref="B17:C21">
    <cfRule type="expression" dxfId="625" priority="9" stopIfTrue="1">
      <formula>MOD(ROW(),2)=0</formula>
    </cfRule>
    <cfRule type="expression" dxfId="624" priority="10" stopIfTrue="1">
      <formula>MOD(ROW(),2)&lt;&gt;0</formula>
    </cfRule>
  </conditionalFormatting>
  <conditionalFormatting sqref="B26:C68">
    <cfRule type="expression" dxfId="623" priority="13" stopIfTrue="1">
      <formula>MOD(ROW(),2)=0</formula>
    </cfRule>
    <cfRule type="expression" dxfId="622"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4"/>
  <dimension ref="A1:I65"/>
  <sheetViews>
    <sheetView showGridLines="0" zoomScale="85" zoomScaleNormal="85" workbookViewId="0">
      <selection activeCell="A4" sqref="A4"/>
    </sheetView>
  </sheetViews>
  <sheetFormatPr defaultColWidth="10" defaultRowHeight="13.2" x14ac:dyDescent="0.25"/>
  <cols>
    <col min="1" max="1" width="31.88671875" style="27" customWidth="1"/>
    <col min="2" max="6" width="22.88671875" style="27" customWidth="1"/>
    <col min="7"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PenCE - x-301</v>
      </c>
      <c r="B3" s="42"/>
      <c r="C3" s="42"/>
      <c r="D3" s="42"/>
      <c r="E3" s="42"/>
      <c r="F3" s="42"/>
      <c r="G3" s="42"/>
      <c r="H3" s="42"/>
      <c r="I3" s="42"/>
    </row>
    <row r="4" spans="1:9" x14ac:dyDescent="0.25">
      <c r="A4" s="44"/>
    </row>
    <row r="6" spans="1:9" x14ac:dyDescent="0.25">
      <c r="A6" s="75" t="s">
        <v>484</v>
      </c>
      <c r="B6" s="162" t="s">
        <v>485</v>
      </c>
      <c r="C6" s="162"/>
      <c r="D6" s="162"/>
      <c r="E6" s="162"/>
      <c r="F6" s="162"/>
    </row>
    <row r="7" spans="1:9" x14ac:dyDescent="0.25">
      <c r="A7" s="76" t="s">
        <v>486</v>
      </c>
      <c r="B7" s="162" t="s">
        <v>81</v>
      </c>
      <c r="C7" s="162"/>
      <c r="D7" s="162"/>
      <c r="E7" s="162"/>
      <c r="F7" s="162"/>
    </row>
    <row r="8" spans="1:9" x14ac:dyDescent="0.25">
      <c r="A8" s="76" t="s">
        <v>282</v>
      </c>
      <c r="B8" s="162">
        <v>1992</v>
      </c>
      <c r="C8" s="162"/>
      <c r="D8" s="162"/>
      <c r="E8" s="162"/>
      <c r="F8" s="162"/>
    </row>
    <row r="9" spans="1:9" x14ac:dyDescent="0.25">
      <c r="A9" s="76" t="s">
        <v>283</v>
      </c>
      <c r="B9" s="162" t="s">
        <v>324</v>
      </c>
      <c r="C9" s="162"/>
      <c r="D9" s="162"/>
      <c r="E9" s="162"/>
      <c r="F9" s="162"/>
    </row>
    <row r="10" spans="1:9" x14ac:dyDescent="0.25">
      <c r="A10" s="76" t="s">
        <v>6</v>
      </c>
      <c r="B10" s="162" t="s">
        <v>325</v>
      </c>
      <c r="C10" s="162"/>
      <c r="D10" s="162"/>
      <c r="E10" s="162"/>
      <c r="F10" s="162"/>
    </row>
    <row r="11" spans="1:9" x14ac:dyDescent="0.25">
      <c r="A11" s="76" t="s">
        <v>284</v>
      </c>
      <c r="B11" s="162" t="s">
        <v>294</v>
      </c>
      <c r="C11" s="162"/>
      <c r="D11" s="162"/>
      <c r="E11" s="162"/>
      <c r="F11" s="162"/>
    </row>
    <row r="12" spans="1:9" x14ac:dyDescent="0.25">
      <c r="A12" s="76" t="s">
        <v>285</v>
      </c>
      <c r="B12" s="162" t="s">
        <v>295</v>
      </c>
      <c r="C12" s="162"/>
      <c r="D12" s="162"/>
      <c r="E12" s="162"/>
      <c r="F12" s="162"/>
    </row>
    <row r="13" spans="1:9" x14ac:dyDescent="0.25">
      <c r="A13" s="76" t="s">
        <v>493</v>
      </c>
      <c r="B13" s="162">
        <v>2</v>
      </c>
      <c r="C13" s="162"/>
      <c r="D13" s="162"/>
      <c r="E13" s="162"/>
      <c r="F13" s="162"/>
    </row>
    <row r="14" spans="1:9" x14ac:dyDescent="0.25">
      <c r="A14" s="76" t="s">
        <v>287</v>
      </c>
      <c r="B14" s="162">
        <v>301</v>
      </c>
      <c r="C14" s="162"/>
      <c r="D14" s="162"/>
      <c r="E14" s="162"/>
      <c r="F14" s="162"/>
    </row>
    <row r="15" spans="1:9" x14ac:dyDescent="0.25">
      <c r="A15" s="76" t="s">
        <v>496</v>
      </c>
      <c r="B15" s="162" t="s">
        <v>590</v>
      </c>
      <c r="C15" s="162"/>
      <c r="D15" s="162"/>
      <c r="E15" s="162"/>
      <c r="F15" s="162"/>
    </row>
    <row r="16" spans="1:9" x14ac:dyDescent="0.25">
      <c r="A16" s="76" t="s">
        <v>288</v>
      </c>
      <c r="B16" s="162" t="s">
        <v>326</v>
      </c>
      <c r="C16" s="162"/>
      <c r="D16" s="162"/>
      <c r="E16" s="162"/>
      <c r="F16" s="162"/>
    </row>
    <row r="17" spans="1:6" ht="51" customHeight="1" x14ac:dyDescent="0.25">
      <c r="A17" s="76" t="s">
        <v>568</v>
      </c>
      <c r="B17" s="162"/>
      <c r="C17" s="162"/>
      <c r="D17" s="162"/>
      <c r="E17" s="162"/>
      <c r="F17" s="162"/>
    </row>
    <row r="18" spans="1:6" x14ac:dyDescent="0.25">
      <c r="A18" s="76" t="s">
        <v>500</v>
      </c>
      <c r="B18" s="164">
        <v>45070</v>
      </c>
      <c r="C18" s="162"/>
      <c r="D18" s="162"/>
      <c r="E18" s="162"/>
      <c r="F18" s="162"/>
    </row>
    <row r="19" spans="1:6" x14ac:dyDescent="0.25">
      <c r="A19" s="76" t="s">
        <v>290</v>
      </c>
      <c r="B19" s="164">
        <v>45014</v>
      </c>
      <c r="C19" s="162"/>
      <c r="D19" s="162"/>
      <c r="E19" s="162"/>
      <c r="F19" s="162"/>
    </row>
    <row r="20" spans="1:6" x14ac:dyDescent="0.25">
      <c r="A20" s="76" t="s">
        <v>291</v>
      </c>
      <c r="B20" s="162" t="s">
        <v>298</v>
      </c>
      <c r="C20" s="162"/>
      <c r="D20" s="162"/>
      <c r="E20" s="162"/>
      <c r="F20" s="162"/>
    </row>
    <row r="21" spans="1:6" x14ac:dyDescent="0.25">
      <c r="A21" s="150" t="s">
        <v>569</v>
      </c>
      <c r="B21" s="162" t="s">
        <v>297</v>
      </c>
      <c r="C21" s="162"/>
      <c r="D21" s="162"/>
      <c r="E21" s="162"/>
      <c r="F21" s="162"/>
    </row>
    <row r="23" spans="1:6" x14ac:dyDescent="0.25">
      <c r="B23" s="91" t="str">
        <f>HYPERLINK("#'Factor List'!A1","Back to Factor List")</f>
        <v>Back to Factor List</v>
      </c>
    </row>
    <row r="24" spans="1:6" x14ac:dyDescent="0.25">
      <c r="B24" s="91" t="str">
        <f>HYPERLINK("#'Assumptions'!A1","Assumptions")</f>
        <v>Assumptions</v>
      </c>
    </row>
    <row r="26" spans="1:6" ht="39.6" x14ac:dyDescent="0.25">
      <c r="A26" s="87" t="s">
        <v>570</v>
      </c>
      <c r="B26" s="87" t="s">
        <v>591</v>
      </c>
      <c r="C26" s="87" t="s">
        <v>592</v>
      </c>
      <c r="D26" s="87" t="s">
        <v>572</v>
      </c>
      <c r="E26" s="87" t="s">
        <v>593</v>
      </c>
      <c r="F26" s="87" t="s">
        <v>573</v>
      </c>
    </row>
    <row r="27" spans="1:6" x14ac:dyDescent="0.25">
      <c r="A27" s="88">
        <v>50</v>
      </c>
      <c r="B27" s="89">
        <v>25.31</v>
      </c>
      <c r="C27" s="89">
        <v>21.16</v>
      </c>
      <c r="D27" s="89">
        <v>3.65</v>
      </c>
      <c r="E27" s="89"/>
      <c r="F27" s="89">
        <v>0</v>
      </c>
    </row>
    <row r="28" spans="1:6" x14ac:dyDescent="0.25">
      <c r="A28" s="88">
        <v>51</v>
      </c>
      <c r="B28" s="89">
        <v>24.83</v>
      </c>
      <c r="C28" s="89">
        <v>21.52</v>
      </c>
      <c r="D28" s="89">
        <v>3.68</v>
      </c>
      <c r="E28" s="89"/>
      <c r="F28" s="89">
        <v>0</v>
      </c>
    </row>
    <row r="29" spans="1:6" x14ac:dyDescent="0.25">
      <c r="A29" s="88">
        <v>52</v>
      </c>
      <c r="B29" s="89">
        <v>24.32</v>
      </c>
      <c r="C29" s="89">
        <v>21.9</v>
      </c>
      <c r="D29" s="89">
        <v>3.7</v>
      </c>
      <c r="E29" s="89"/>
      <c r="F29" s="89">
        <v>0</v>
      </c>
    </row>
    <row r="30" spans="1:6" x14ac:dyDescent="0.25">
      <c r="A30" s="88">
        <v>53</v>
      </c>
      <c r="B30" s="89">
        <v>23.78</v>
      </c>
      <c r="C30" s="89">
        <v>22.29</v>
      </c>
      <c r="D30" s="89">
        <v>3.73</v>
      </c>
      <c r="E30" s="89"/>
      <c r="F30" s="89">
        <v>0</v>
      </c>
    </row>
    <row r="31" spans="1:6" x14ac:dyDescent="0.25">
      <c r="A31" s="88">
        <v>54</v>
      </c>
      <c r="B31" s="89">
        <v>23.2</v>
      </c>
      <c r="C31" s="89">
        <v>22.69</v>
      </c>
      <c r="D31" s="89">
        <v>3.75</v>
      </c>
      <c r="E31" s="89"/>
      <c r="F31" s="89">
        <v>0</v>
      </c>
    </row>
    <row r="32" spans="1:6" x14ac:dyDescent="0.25">
      <c r="A32" s="88">
        <v>55</v>
      </c>
      <c r="B32" s="89">
        <v>22.6</v>
      </c>
      <c r="C32" s="89"/>
      <c r="D32" s="89">
        <v>3.78</v>
      </c>
      <c r="E32" s="89"/>
      <c r="F32" s="89">
        <v>0</v>
      </c>
    </row>
    <row r="33" spans="1:6" x14ac:dyDescent="0.25">
      <c r="A33" s="88">
        <v>56</v>
      </c>
      <c r="B33" s="89">
        <v>22.01</v>
      </c>
      <c r="C33" s="89"/>
      <c r="D33" s="89">
        <v>3.8</v>
      </c>
      <c r="E33" s="89"/>
      <c r="F33" s="89">
        <v>0</v>
      </c>
    </row>
    <row r="34" spans="1:6" x14ac:dyDescent="0.25">
      <c r="A34" s="88">
        <v>57</v>
      </c>
      <c r="B34" s="89">
        <v>21.41</v>
      </c>
      <c r="C34" s="89"/>
      <c r="D34" s="89">
        <v>3.82</v>
      </c>
      <c r="E34" s="89"/>
      <c r="F34" s="89">
        <v>0</v>
      </c>
    </row>
    <row r="35" spans="1:6" x14ac:dyDescent="0.25">
      <c r="A35" s="88">
        <v>58</v>
      </c>
      <c r="B35" s="89">
        <v>20.8</v>
      </c>
      <c r="C35" s="89"/>
      <c r="D35" s="89">
        <v>3.84</v>
      </c>
      <c r="E35" s="89"/>
      <c r="F35" s="89">
        <v>0</v>
      </c>
    </row>
    <row r="36" spans="1:6" x14ac:dyDescent="0.25">
      <c r="A36" s="88">
        <v>59</v>
      </c>
      <c r="B36" s="89">
        <v>20.190000000000001</v>
      </c>
      <c r="C36" s="89"/>
      <c r="D36" s="89">
        <v>3.86</v>
      </c>
      <c r="E36" s="89"/>
      <c r="F36" s="89">
        <v>0</v>
      </c>
    </row>
    <row r="37" spans="1:6" x14ac:dyDescent="0.25">
      <c r="A37" s="88">
        <v>60</v>
      </c>
      <c r="B37" s="89">
        <v>19.579999999999998</v>
      </c>
      <c r="C37" s="89"/>
      <c r="D37" s="89">
        <v>3.87</v>
      </c>
      <c r="E37" s="89"/>
      <c r="F37" s="89">
        <v>0</v>
      </c>
    </row>
    <row r="38" spans="1:6" x14ac:dyDescent="0.25">
      <c r="A38" s="88">
        <v>61</v>
      </c>
      <c r="B38" s="89">
        <v>18.96</v>
      </c>
      <c r="C38" s="89"/>
      <c r="D38" s="89">
        <v>3.89</v>
      </c>
      <c r="E38" s="89"/>
      <c r="F38" s="89">
        <v>0</v>
      </c>
    </row>
    <row r="39" spans="1:6" x14ac:dyDescent="0.25">
      <c r="A39" s="88">
        <v>62</v>
      </c>
      <c r="B39" s="89">
        <v>18.329999999999998</v>
      </c>
      <c r="C39" s="89"/>
      <c r="D39" s="89">
        <v>3.9</v>
      </c>
      <c r="E39" s="89"/>
      <c r="F39" s="89">
        <v>0</v>
      </c>
    </row>
    <row r="40" spans="1:6" x14ac:dyDescent="0.25">
      <c r="A40" s="88">
        <v>63</v>
      </c>
      <c r="B40" s="89">
        <v>17.71</v>
      </c>
      <c r="C40" s="89"/>
      <c r="D40" s="89">
        <v>3.9</v>
      </c>
      <c r="E40" s="89"/>
      <c r="F40" s="89">
        <v>0</v>
      </c>
    </row>
    <row r="41" spans="1:6" x14ac:dyDescent="0.25">
      <c r="A41" s="88">
        <v>64</v>
      </c>
      <c r="B41" s="89">
        <v>17.079999999999998</v>
      </c>
      <c r="C41" s="89"/>
      <c r="D41" s="89">
        <v>3.9</v>
      </c>
      <c r="E41" s="89"/>
      <c r="F41" s="89">
        <v>0</v>
      </c>
    </row>
    <row r="42" spans="1:6" x14ac:dyDescent="0.25">
      <c r="A42" s="88">
        <v>65</v>
      </c>
      <c r="B42" s="89">
        <v>16.45</v>
      </c>
      <c r="C42" s="89"/>
      <c r="D42" s="89">
        <v>3.9</v>
      </c>
      <c r="E42" s="89"/>
      <c r="F42" s="89"/>
    </row>
    <row r="43" spans="1:6" x14ac:dyDescent="0.25">
      <c r="A43" s="88">
        <v>66</v>
      </c>
      <c r="B43" s="89">
        <v>15.83</v>
      </c>
      <c r="C43" s="89"/>
      <c r="D43" s="89">
        <v>3.89</v>
      </c>
      <c r="E43" s="89"/>
      <c r="F43" s="89"/>
    </row>
    <row r="44" spans="1:6" x14ac:dyDescent="0.25">
      <c r="A44" s="88">
        <v>67</v>
      </c>
      <c r="B44" s="89">
        <v>15.2</v>
      </c>
      <c r="C44" s="89"/>
      <c r="D44" s="89">
        <v>3.88</v>
      </c>
      <c r="E44" s="89"/>
      <c r="F44" s="89"/>
    </row>
    <row r="45" spans="1:6" x14ac:dyDescent="0.25">
      <c r="A45" s="88">
        <v>68</v>
      </c>
      <c r="B45" s="89">
        <v>14.57</v>
      </c>
      <c r="C45" s="89"/>
      <c r="D45" s="89">
        <v>3.87</v>
      </c>
      <c r="E45" s="89"/>
      <c r="F45" s="89"/>
    </row>
    <row r="46" spans="1:6" x14ac:dyDescent="0.25">
      <c r="A46" s="88">
        <v>69</v>
      </c>
      <c r="B46" s="89">
        <v>13.94</v>
      </c>
      <c r="C46" s="89"/>
      <c r="D46" s="89">
        <v>3.85</v>
      </c>
      <c r="E46" s="89">
        <v>2.77</v>
      </c>
      <c r="F46" s="89"/>
    </row>
    <row r="47" spans="1:6" x14ac:dyDescent="0.25">
      <c r="A47" s="88">
        <v>70</v>
      </c>
      <c r="B47" s="89">
        <v>13.32</v>
      </c>
      <c r="C47" s="89"/>
      <c r="D47" s="89">
        <v>3.82</v>
      </c>
      <c r="E47" s="89">
        <v>2.57</v>
      </c>
      <c r="F47" s="89"/>
    </row>
    <row r="48" spans="1:6" x14ac:dyDescent="0.25">
      <c r="A48" s="88">
        <v>71</v>
      </c>
      <c r="B48" s="89">
        <v>12.7</v>
      </c>
      <c r="C48" s="89"/>
      <c r="D48" s="89">
        <v>3.79</v>
      </c>
      <c r="E48" s="89">
        <v>2.38</v>
      </c>
      <c r="F48" s="89"/>
    </row>
    <row r="49" spans="1:6" x14ac:dyDescent="0.25">
      <c r="A49" s="88">
        <v>72</v>
      </c>
      <c r="B49" s="89">
        <v>12.08</v>
      </c>
      <c r="C49" s="89"/>
      <c r="D49" s="89">
        <v>3.75</v>
      </c>
      <c r="E49" s="89">
        <v>2.2000000000000002</v>
      </c>
      <c r="F49" s="89"/>
    </row>
    <row r="50" spans="1:6" x14ac:dyDescent="0.25">
      <c r="A50" s="88">
        <v>73</v>
      </c>
      <c r="B50" s="89">
        <v>11.47</v>
      </c>
      <c r="C50" s="89"/>
      <c r="D50" s="89">
        <v>3.71</v>
      </c>
      <c r="E50" s="89">
        <v>2.02</v>
      </c>
      <c r="F50" s="89"/>
    </row>
    <row r="51" spans="1:6" x14ac:dyDescent="0.25">
      <c r="A51" s="88">
        <v>74</v>
      </c>
      <c r="B51" s="89">
        <v>10.86</v>
      </c>
      <c r="C51" s="89"/>
      <c r="D51" s="89">
        <v>3.56</v>
      </c>
      <c r="E51" s="89">
        <v>1.84</v>
      </c>
      <c r="F51" s="89"/>
    </row>
    <row r="52" spans="1:6" x14ac:dyDescent="0.25">
      <c r="A52" s="88">
        <v>75</v>
      </c>
      <c r="B52" s="89">
        <v>10.27</v>
      </c>
      <c r="C52" s="89"/>
      <c r="D52" s="89">
        <v>3.41</v>
      </c>
      <c r="E52" s="89">
        <v>1.67</v>
      </c>
      <c r="F52" s="89"/>
    </row>
    <row r="53" spans="1:6" x14ac:dyDescent="0.25">
      <c r="A53" s="88">
        <v>76</v>
      </c>
      <c r="B53" s="89">
        <v>9.68</v>
      </c>
      <c r="C53" s="89"/>
      <c r="D53" s="89">
        <v>3.35</v>
      </c>
      <c r="E53" s="89">
        <v>1.52</v>
      </c>
      <c r="F53" s="89"/>
    </row>
    <row r="54" spans="1:6" x14ac:dyDescent="0.25">
      <c r="A54" s="88">
        <v>77</v>
      </c>
      <c r="B54" s="89">
        <v>9.11</v>
      </c>
      <c r="C54" s="89"/>
      <c r="D54" s="89">
        <v>3.28</v>
      </c>
      <c r="E54" s="89">
        <v>1.38</v>
      </c>
      <c r="F54" s="89"/>
    </row>
    <row r="55" spans="1:6" x14ac:dyDescent="0.25">
      <c r="A55" s="88">
        <v>78</v>
      </c>
      <c r="B55" s="89">
        <v>8.5500000000000007</v>
      </c>
      <c r="C55" s="89"/>
      <c r="D55" s="89">
        <v>3.21</v>
      </c>
      <c r="E55" s="89">
        <v>1.24</v>
      </c>
      <c r="F55" s="89"/>
    </row>
    <row r="56" spans="1:6" x14ac:dyDescent="0.25">
      <c r="A56" s="88">
        <v>79</v>
      </c>
      <c r="B56" s="89">
        <v>8</v>
      </c>
      <c r="C56" s="89"/>
      <c r="D56" s="89">
        <v>2.95</v>
      </c>
      <c r="E56" s="89">
        <v>1.1000000000000001</v>
      </c>
      <c r="F56" s="89"/>
    </row>
    <row r="57" spans="1:6" x14ac:dyDescent="0.25">
      <c r="A57" s="88">
        <v>80</v>
      </c>
      <c r="B57" s="89">
        <v>7.47</v>
      </c>
      <c r="C57" s="89"/>
      <c r="D57" s="89">
        <v>2.7</v>
      </c>
      <c r="E57" s="89">
        <v>0.97</v>
      </c>
      <c r="F57" s="89"/>
    </row>
    <row r="58" spans="1:6" x14ac:dyDescent="0.25">
      <c r="A58" s="88">
        <v>81</v>
      </c>
      <c r="B58" s="89">
        <v>6.96</v>
      </c>
      <c r="C58" s="89"/>
      <c r="D58" s="89">
        <v>2.61</v>
      </c>
      <c r="E58" s="89">
        <v>0.86</v>
      </c>
      <c r="F58" s="89"/>
    </row>
    <row r="59" spans="1:6" x14ac:dyDescent="0.25">
      <c r="A59" s="88">
        <v>82</v>
      </c>
      <c r="B59" s="89">
        <v>6.47</v>
      </c>
      <c r="C59" s="89"/>
      <c r="D59" s="89">
        <v>2.52</v>
      </c>
      <c r="E59" s="89">
        <v>0.77</v>
      </c>
      <c r="F59" s="89"/>
    </row>
    <row r="60" spans="1:6" x14ac:dyDescent="0.25">
      <c r="A60" s="88">
        <v>83</v>
      </c>
      <c r="B60" s="89">
        <v>6</v>
      </c>
      <c r="C60" s="89"/>
      <c r="D60" s="89">
        <v>2.42</v>
      </c>
      <c r="E60" s="89">
        <v>0.68</v>
      </c>
      <c r="F60" s="89"/>
    </row>
    <row r="61" spans="1:6" x14ac:dyDescent="0.25">
      <c r="A61" s="88">
        <v>84</v>
      </c>
      <c r="B61" s="89">
        <v>5.55</v>
      </c>
      <c r="C61" s="89"/>
      <c r="D61" s="89">
        <v>2.1</v>
      </c>
      <c r="E61" s="89">
        <v>0.57999999999999996</v>
      </c>
      <c r="F61" s="89"/>
    </row>
    <row r="62" spans="1:6" x14ac:dyDescent="0.25">
      <c r="A62" s="88">
        <v>85</v>
      </c>
      <c r="B62" s="89">
        <v>5.13</v>
      </c>
      <c r="C62" s="89"/>
      <c r="D62" s="89">
        <v>1.79</v>
      </c>
      <c r="E62" s="89">
        <v>0.49</v>
      </c>
      <c r="F62" s="89"/>
    </row>
    <row r="63" spans="1:6" x14ac:dyDescent="0.25">
      <c r="A63"/>
      <c r="B63"/>
    </row>
    <row r="64" spans="1:6" x14ac:dyDescent="0.25">
      <c r="A64"/>
      <c r="B64"/>
    </row>
    <row r="65" spans="1:2" x14ac:dyDescent="0.25">
      <c r="A65"/>
      <c r="B65"/>
    </row>
  </sheetData>
  <sheetProtection algorithmName="SHA-512" hashValue="l886aekon1h6GiDngU19/AkrSHUwptwYfqRfyaP9qVmbmn+R1DuRgpx/6Fw7YxMrpLHici4754A4v+bSril8yA==" saltValue="k3VnscCvpWj9G8gs7Kj0PQ==" spinCount="100000" sheet="1" objects="1" scenarios="1"/>
  <conditionalFormatting sqref="A6:A21">
    <cfRule type="expression" dxfId="621" priority="3" stopIfTrue="1">
      <formula>MOD(ROW(),2)=0</formula>
    </cfRule>
    <cfRule type="expression" dxfId="620" priority="4" stopIfTrue="1">
      <formula>MOD(ROW(),2)&lt;&gt;0</formula>
    </cfRule>
  </conditionalFormatting>
  <conditionalFormatting sqref="A26:A62">
    <cfRule type="expression" dxfId="619" priority="15" stopIfTrue="1">
      <formula>MOD(ROW(),2)=0</formula>
    </cfRule>
    <cfRule type="expression" dxfId="618" priority="16" stopIfTrue="1">
      <formula>MOD(ROW(),2)&lt;&gt;0</formula>
    </cfRule>
  </conditionalFormatting>
  <conditionalFormatting sqref="B18:B21">
    <cfRule type="expression" dxfId="617" priority="11" stopIfTrue="1">
      <formula>MOD(ROW(),2)=0</formula>
    </cfRule>
    <cfRule type="expression" dxfId="616" priority="12" stopIfTrue="1">
      <formula>MOD(ROW(),2)&lt;&gt;0</formula>
    </cfRule>
  </conditionalFormatting>
  <conditionalFormatting sqref="B6:F21">
    <cfRule type="expression" dxfId="615" priority="25" stopIfTrue="1">
      <formula>MOD(ROW(),2)=0</formula>
    </cfRule>
    <cfRule type="expression" dxfId="614" priority="26" stopIfTrue="1">
      <formula>MOD(ROW(),2)&lt;&gt;0</formula>
    </cfRule>
  </conditionalFormatting>
  <conditionalFormatting sqref="B26:F62">
    <cfRule type="expression" dxfId="613" priority="13" stopIfTrue="1">
      <formula>MOD(ROW(),2)=0</formula>
    </cfRule>
    <cfRule type="expression" dxfId="612" priority="14" stopIfTrue="1">
      <formula>MOD(ROW(),2)&lt;&gt;0</formula>
    </cfRule>
  </conditionalFormatting>
  <conditionalFormatting sqref="C17:F17">
    <cfRule type="expression" dxfId="611" priority="9" stopIfTrue="1">
      <formula>MOD(ROW(),2)=0</formula>
    </cfRule>
    <cfRule type="expression" dxfId="610"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5"/>
  <dimension ref="A1:I65"/>
  <sheetViews>
    <sheetView showGridLines="0" zoomScale="85" zoomScaleNormal="85" workbookViewId="0">
      <selection activeCell="A4" sqref="A4"/>
    </sheetView>
  </sheetViews>
  <sheetFormatPr defaultColWidth="10" defaultRowHeight="13.2" x14ac:dyDescent="0.25"/>
  <cols>
    <col min="1" max="1" width="31.88671875" style="27" customWidth="1"/>
    <col min="2" max="6" width="22.88671875" style="27" customWidth="1"/>
    <col min="7"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PenCE - x-302</v>
      </c>
      <c r="B3" s="42"/>
      <c r="C3" s="42"/>
      <c r="D3" s="42"/>
      <c r="E3" s="42"/>
      <c r="F3" s="42"/>
      <c r="G3" s="42"/>
      <c r="H3" s="42"/>
      <c r="I3" s="42"/>
    </row>
    <row r="4" spans="1:9" x14ac:dyDescent="0.25">
      <c r="A4" s="44"/>
    </row>
    <row r="6" spans="1:9" x14ac:dyDescent="0.25">
      <c r="A6" s="75" t="s">
        <v>484</v>
      </c>
      <c r="B6" s="162" t="s">
        <v>485</v>
      </c>
      <c r="C6" s="162"/>
      <c r="D6" s="162"/>
      <c r="E6" s="162"/>
      <c r="F6" s="162"/>
    </row>
    <row r="7" spans="1:9" x14ac:dyDescent="0.25">
      <c r="A7" s="76" t="s">
        <v>486</v>
      </c>
      <c r="B7" s="162" t="s">
        <v>81</v>
      </c>
      <c r="C7" s="162"/>
      <c r="D7" s="162"/>
      <c r="E7" s="162"/>
      <c r="F7" s="162"/>
    </row>
    <row r="8" spans="1:9" x14ac:dyDescent="0.25">
      <c r="A8" s="76" t="s">
        <v>282</v>
      </c>
      <c r="B8" s="162">
        <v>1992</v>
      </c>
      <c r="C8" s="162"/>
      <c r="D8" s="162"/>
      <c r="E8" s="162"/>
      <c r="F8" s="162"/>
    </row>
    <row r="9" spans="1:9" x14ac:dyDescent="0.25">
      <c r="A9" s="76" t="s">
        <v>283</v>
      </c>
      <c r="B9" s="162" t="s">
        <v>324</v>
      </c>
      <c r="C9" s="162"/>
      <c r="D9" s="162"/>
      <c r="E9" s="162"/>
      <c r="F9" s="162"/>
    </row>
    <row r="10" spans="1:9" x14ac:dyDescent="0.25">
      <c r="A10" s="76" t="s">
        <v>6</v>
      </c>
      <c r="B10" s="162" t="s">
        <v>325</v>
      </c>
      <c r="C10" s="162"/>
      <c r="D10" s="162"/>
      <c r="E10" s="162"/>
      <c r="F10" s="162"/>
    </row>
    <row r="11" spans="1:9" x14ac:dyDescent="0.25">
      <c r="A11" s="76" t="s">
        <v>284</v>
      </c>
      <c r="B11" s="162" t="s">
        <v>299</v>
      </c>
      <c r="C11" s="162"/>
      <c r="D11" s="162"/>
      <c r="E11" s="162"/>
      <c r="F11" s="162"/>
    </row>
    <row r="12" spans="1:9" x14ac:dyDescent="0.25">
      <c r="A12" s="76" t="s">
        <v>285</v>
      </c>
      <c r="B12" s="162" t="s">
        <v>295</v>
      </c>
      <c r="C12" s="162"/>
      <c r="D12" s="162"/>
      <c r="E12" s="162"/>
      <c r="F12" s="162"/>
    </row>
    <row r="13" spans="1:9" x14ac:dyDescent="0.25">
      <c r="A13" s="76" t="s">
        <v>493</v>
      </c>
      <c r="B13" s="162">
        <v>2</v>
      </c>
      <c r="C13" s="162"/>
      <c r="D13" s="162"/>
      <c r="E13" s="162"/>
      <c r="F13" s="162"/>
    </row>
    <row r="14" spans="1:9" x14ac:dyDescent="0.25">
      <c r="A14" s="76" t="s">
        <v>287</v>
      </c>
      <c r="B14" s="162">
        <v>302</v>
      </c>
      <c r="C14" s="162"/>
      <c r="D14" s="162"/>
      <c r="E14" s="162"/>
      <c r="F14" s="162"/>
    </row>
    <row r="15" spans="1:9" x14ac:dyDescent="0.25">
      <c r="A15" s="76" t="s">
        <v>496</v>
      </c>
      <c r="B15" s="162" t="s">
        <v>594</v>
      </c>
      <c r="C15" s="162"/>
      <c r="D15" s="162"/>
      <c r="E15" s="162"/>
      <c r="F15" s="162"/>
    </row>
    <row r="16" spans="1:9" x14ac:dyDescent="0.25">
      <c r="A16" s="76" t="s">
        <v>288</v>
      </c>
      <c r="B16" s="162" t="s">
        <v>327</v>
      </c>
      <c r="C16" s="162"/>
      <c r="D16" s="162"/>
      <c r="E16" s="162"/>
      <c r="F16" s="162"/>
    </row>
    <row r="17" spans="1:6" ht="39.6" customHeight="1" x14ac:dyDescent="0.25">
      <c r="A17" s="76" t="s">
        <v>568</v>
      </c>
      <c r="B17" s="162"/>
      <c r="C17" s="162"/>
      <c r="D17" s="162"/>
      <c r="E17" s="162"/>
      <c r="F17" s="162"/>
    </row>
    <row r="18" spans="1:6" x14ac:dyDescent="0.25">
      <c r="A18" s="76" t="s">
        <v>500</v>
      </c>
      <c r="B18" s="164">
        <v>45070</v>
      </c>
      <c r="C18" s="162"/>
      <c r="D18" s="162"/>
      <c r="E18" s="162"/>
      <c r="F18" s="162"/>
    </row>
    <row r="19" spans="1:6" x14ac:dyDescent="0.25">
      <c r="A19" s="76" t="s">
        <v>290</v>
      </c>
      <c r="B19" s="164">
        <v>45014</v>
      </c>
      <c r="C19" s="162"/>
      <c r="D19" s="162"/>
      <c r="E19" s="162"/>
      <c r="F19" s="162"/>
    </row>
    <row r="20" spans="1:6" x14ac:dyDescent="0.25">
      <c r="A20" s="76" t="s">
        <v>291</v>
      </c>
      <c r="B20" s="162" t="s">
        <v>298</v>
      </c>
      <c r="C20" s="162"/>
      <c r="D20" s="162"/>
      <c r="E20" s="162"/>
      <c r="F20" s="162"/>
    </row>
    <row r="21" spans="1:6" x14ac:dyDescent="0.25">
      <c r="A21" s="150" t="s">
        <v>569</v>
      </c>
      <c r="B21" s="162" t="s">
        <v>297</v>
      </c>
      <c r="C21" s="162"/>
      <c r="D21" s="162"/>
      <c r="E21" s="162"/>
      <c r="F21" s="162"/>
    </row>
    <row r="23" spans="1:6" x14ac:dyDescent="0.25">
      <c r="B23" s="91" t="str">
        <f>HYPERLINK("#'Factor List'!A1","Back to Factor List")</f>
        <v>Back to Factor List</v>
      </c>
    </row>
    <row r="24" spans="1:6" x14ac:dyDescent="0.25">
      <c r="B24" s="91" t="str">
        <f>HYPERLINK("#'Assumptions'!A1","Assumptions")</f>
        <v>Assumptions</v>
      </c>
    </row>
    <row r="26" spans="1:6" ht="39.6" x14ac:dyDescent="0.25">
      <c r="A26" s="87" t="s">
        <v>570</v>
      </c>
      <c r="B26" s="87" t="s">
        <v>591</v>
      </c>
      <c r="C26" s="87" t="s">
        <v>592</v>
      </c>
      <c r="D26" s="87" t="s">
        <v>572</v>
      </c>
      <c r="E26" s="87" t="s">
        <v>593</v>
      </c>
      <c r="F26" s="87" t="s">
        <v>573</v>
      </c>
    </row>
    <row r="27" spans="1:6" x14ac:dyDescent="0.25">
      <c r="A27" s="88">
        <v>50</v>
      </c>
      <c r="B27" s="89">
        <v>25.31</v>
      </c>
      <c r="C27" s="89">
        <v>21.16</v>
      </c>
      <c r="D27" s="89">
        <v>3.65</v>
      </c>
      <c r="E27" s="89"/>
      <c r="F27" s="89">
        <v>0</v>
      </c>
    </row>
    <row r="28" spans="1:6" x14ac:dyDescent="0.25">
      <c r="A28" s="88">
        <v>51</v>
      </c>
      <c r="B28" s="89">
        <v>24.83</v>
      </c>
      <c r="C28" s="89">
        <v>21.52</v>
      </c>
      <c r="D28" s="89">
        <v>3.68</v>
      </c>
      <c r="E28" s="89"/>
      <c r="F28" s="89">
        <v>0</v>
      </c>
    </row>
    <row r="29" spans="1:6" x14ac:dyDescent="0.25">
      <c r="A29" s="88">
        <v>52</v>
      </c>
      <c r="B29" s="89">
        <v>24.32</v>
      </c>
      <c r="C29" s="89">
        <v>21.9</v>
      </c>
      <c r="D29" s="89">
        <v>3.7</v>
      </c>
      <c r="E29" s="89"/>
      <c r="F29" s="89">
        <v>0</v>
      </c>
    </row>
    <row r="30" spans="1:6" x14ac:dyDescent="0.25">
      <c r="A30" s="88">
        <v>53</v>
      </c>
      <c r="B30" s="89">
        <v>23.78</v>
      </c>
      <c r="C30" s="89">
        <v>22.29</v>
      </c>
      <c r="D30" s="89">
        <v>3.73</v>
      </c>
      <c r="E30" s="89"/>
      <c r="F30" s="89">
        <v>0</v>
      </c>
    </row>
    <row r="31" spans="1:6" x14ac:dyDescent="0.25">
      <c r="A31" s="88">
        <v>54</v>
      </c>
      <c r="B31" s="89">
        <v>23.2</v>
      </c>
      <c r="C31" s="89">
        <v>22.69</v>
      </c>
      <c r="D31" s="89">
        <v>3.75</v>
      </c>
      <c r="E31" s="89"/>
      <c r="F31" s="89">
        <v>0</v>
      </c>
    </row>
    <row r="32" spans="1:6" x14ac:dyDescent="0.25">
      <c r="A32" s="88">
        <v>55</v>
      </c>
      <c r="B32" s="89">
        <v>22.6</v>
      </c>
      <c r="C32" s="89"/>
      <c r="D32" s="89">
        <v>3.78</v>
      </c>
      <c r="E32" s="89"/>
      <c r="F32" s="89">
        <v>0</v>
      </c>
    </row>
    <row r="33" spans="1:6" x14ac:dyDescent="0.25">
      <c r="A33" s="88">
        <v>56</v>
      </c>
      <c r="B33" s="89">
        <v>22.01</v>
      </c>
      <c r="C33" s="89"/>
      <c r="D33" s="89">
        <v>3.8</v>
      </c>
      <c r="E33" s="89"/>
      <c r="F33" s="89">
        <v>0</v>
      </c>
    </row>
    <row r="34" spans="1:6" x14ac:dyDescent="0.25">
      <c r="A34" s="88">
        <v>57</v>
      </c>
      <c r="B34" s="89">
        <v>21.41</v>
      </c>
      <c r="C34" s="89"/>
      <c r="D34" s="89">
        <v>3.82</v>
      </c>
      <c r="E34" s="89"/>
      <c r="F34" s="89">
        <v>0</v>
      </c>
    </row>
    <row r="35" spans="1:6" x14ac:dyDescent="0.25">
      <c r="A35" s="88">
        <v>58</v>
      </c>
      <c r="B35" s="89">
        <v>20.8</v>
      </c>
      <c r="C35" s="89"/>
      <c r="D35" s="89">
        <v>3.84</v>
      </c>
      <c r="E35" s="89"/>
      <c r="F35" s="89">
        <v>0</v>
      </c>
    </row>
    <row r="36" spans="1:6" x14ac:dyDescent="0.25">
      <c r="A36" s="88">
        <v>59</v>
      </c>
      <c r="B36" s="89">
        <v>20.190000000000001</v>
      </c>
      <c r="C36" s="89"/>
      <c r="D36" s="89">
        <v>3.86</v>
      </c>
      <c r="E36" s="89"/>
      <c r="F36" s="89">
        <v>0</v>
      </c>
    </row>
    <row r="37" spans="1:6" x14ac:dyDescent="0.25">
      <c r="A37" s="88">
        <v>60</v>
      </c>
      <c r="B37" s="89">
        <v>19.579999999999998</v>
      </c>
      <c r="C37" s="89"/>
      <c r="D37" s="89">
        <v>3.87</v>
      </c>
      <c r="E37" s="89"/>
      <c r="F37" s="89">
        <v>0</v>
      </c>
    </row>
    <row r="38" spans="1:6" x14ac:dyDescent="0.25">
      <c r="A38" s="88">
        <v>61</v>
      </c>
      <c r="B38" s="89">
        <v>18.96</v>
      </c>
      <c r="C38" s="89"/>
      <c r="D38" s="89">
        <v>3.89</v>
      </c>
      <c r="E38" s="89"/>
      <c r="F38" s="89">
        <v>0</v>
      </c>
    </row>
    <row r="39" spans="1:6" x14ac:dyDescent="0.25">
      <c r="A39" s="88">
        <v>62</v>
      </c>
      <c r="B39" s="89">
        <v>18.329999999999998</v>
      </c>
      <c r="C39" s="89"/>
      <c r="D39" s="89">
        <v>3.9</v>
      </c>
      <c r="E39" s="89"/>
      <c r="F39" s="89">
        <v>0</v>
      </c>
    </row>
    <row r="40" spans="1:6" x14ac:dyDescent="0.25">
      <c r="A40" s="88">
        <v>63</v>
      </c>
      <c r="B40" s="89">
        <v>17.71</v>
      </c>
      <c r="C40" s="89"/>
      <c r="D40" s="89">
        <v>3.9</v>
      </c>
      <c r="E40" s="89"/>
      <c r="F40" s="89">
        <v>0</v>
      </c>
    </row>
    <row r="41" spans="1:6" x14ac:dyDescent="0.25">
      <c r="A41" s="88">
        <v>64</v>
      </c>
      <c r="B41" s="89">
        <v>17.079999999999998</v>
      </c>
      <c r="C41" s="89"/>
      <c r="D41" s="89">
        <v>3.9</v>
      </c>
      <c r="E41" s="89"/>
      <c r="F41" s="89">
        <v>0</v>
      </c>
    </row>
    <row r="42" spans="1:6" x14ac:dyDescent="0.25">
      <c r="A42" s="88">
        <v>65</v>
      </c>
      <c r="B42" s="89">
        <v>16.45</v>
      </c>
      <c r="C42" s="89"/>
      <c r="D42" s="89">
        <v>3.9</v>
      </c>
      <c r="E42" s="89"/>
      <c r="F42" s="89"/>
    </row>
    <row r="43" spans="1:6" x14ac:dyDescent="0.25">
      <c r="A43" s="88">
        <v>66</v>
      </c>
      <c r="B43" s="89">
        <v>15.83</v>
      </c>
      <c r="C43" s="89"/>
      <c r="D43" s="89">
        <v>3.89</v>
      </c>
      <c r="E43" s="89"/>
      <c r="F43" s="89"/>
    </row>
    <row r="44" spans="1:6" x14ac:dyDescent="0.25">
      <c r="A44" s="88">
        <v>67</v>
      </c>
      <c r="B44" s="89">
        <v>15.2</v>
      </c>
      <c r="C44" s="89"/>
      <c r="D44" s="89">
        <v>3.88</v>
      </c>
      <c r="E44" s="89"/>
      <c r="F44" s="89"/>
    </row>
    <row r="45" spans="1:6" x14ac:dyDescent="0.25">
      <c r="A45" s="88">
        <v>68</v>
      </c>
      <c r="B45" s="89">
        <v>14.57</v>
      </c>
      <c r="C45" s="89"/>
      <c r="D45" s="89">
        <v>3.87</v>
      </c>
      <c r="E45" s="89"/>
      <c r="F45" s="89"/>
    </row>
    <row r="46" spans="1:6" x14ac:dyDescent="0.25">
      <c r="A46" s="88">
        <v>69</v>
      </c>
      <c r="B46" s="89">
        <v>13.94</v>
      </c>
      <c r="C46" s="89"/>
      <c r="D46" s="89">
        <v>3.85</v>
      </c>
      <c r="E46" s="89">
        <v>2.6</v>
      </c>
      <c r="F46" s="89"/>
    </row>
    <row r="47" spans="1:6" x14ac:dyDescent="0.25">
      <c r="A47" s="88">
        <v>70</v>
      </c>
      <c r="B47" s="89">
        <v>13.32</v>
      </c>
      <c r="C47" s="89"/>
      <c r="D47" s="89">
        <v>3.82</v>
      </c>
      <c r="E47" s="89">
        <v>2.41</v>
      </c>
      <c r="F47" s="89"/>
    </row>
    <row r="48" spans="1:6" x14ac:dyDescent="0.25">
      <c r="A48" s="88">
        <v>71</v>
      </c>
      <c r="B48" s="89">
        <v>12.7</v>
      </c>
      <c r="C48" s="89"/>
      <c r="D48" s="89">
        <v>3.79</v>
      </c>
      <c r="E48" s="89">
        <v>2.2200000000000002</v>
      </c>
      <c r="F48" s="89"/>
    </row>
    <row r="49" spans="1:6" x14ac:dyDescent="0.25">
      <c r="A49" s="88">
        <v>72</v>
      </c>
      <c r="B49" s="89">
        <v>12.08</v>
      </c>
      <c r="C49" s="89"/>
      <c r="D49" s="89">
        <v>3.75</v>
      </c>
      <c r="E49" s="89">
        <v>2.04</v>
      </c>
      <c r="F49" s="89"/>
    </row>
    <row r="50" spans="1:6" x14ac:dyDescent="0.25">
      <c r="A50" s="88">
        <v>73</v>
      </c>
      <c r="B50" s="89">
        <v>11.47</v>
      </c>
      <c r="C50" s="89"/>
      <c r="D50" s="89">
        <v>3.71</v>
      </c>
      <c r="E50" s="89">
        <v>1.87</v>
      </c>
      <c r="F50" s="89"/>
    </row>
    <row r="51" spans="1:6" x14ac:dyDescent="0.25">
      <c r="A51" s="88">
        <v>74</v>
      </c>
      <c r="B51" s="89">
        <v>10.86</v>
      </c>
      <c r="C51" s="89"/>
      <c r="D51" s="89">
        <v>3.56</v>
      </c>
      <c r="E51" s="89">
        <v>1.7</v>
      </c>
      <c r="F51" s="89"/>
    </row>
    <row r="52" spans="1:6" x14ac:dyDescent="0.25">
      <c r="A52" s="88">
        <v>75</v>
      </c>
      <c r="B52" s="89">
        <v>10.27</v>
      </c>
      <c r="C52" s="89"/>
      <c r="D52" s="89">
        <v>3.41</v>
      </c>
      <c r="E52" s="89">
        <v>1.55</v>
      </c>
      <c r="F52" s="89"/>
    </row>
    <row r="53" spans="1:6" x14ac:dyDescent="0.25">
      <c r="A53" s="88">
        <v>76</v>
      </c>
      <c r="B53" s="89">
        <v>9.68</v>
      </c>
      <c r="C53" s="89"/>
      <c r="D53" s="89">
        <v>3.35</v>
      </c>
      <c r="E53" s="89">
        <v>1.4</v>
      </c>
      <c r="F53" s="89"/>
    </row>
    <row r="54" spans="1:6" x14ac:dyDescent="0.25">
      <c r="A54" s="88">
        <v>77</v>
      </c>
      <c r="B54" s="89">
        <v>9.11</v>
      </c>
      <c r="C54" s="89"/>
      <c r="D54" s="89">
        <v>3.28</v>
      </c>
      <c r="E54" s="89">
        <v>1.26</v>
      </c>
      <c r="F54" s="89"/>
    </row>
    <row r="55" spans="1:6" x14ac:dyDescent="0.25">
      <c r="A55" s="88">
        <v>78</v>
      </c>
      <c r="B55" s="89">
        <v>8.5500000000000007</v>
      </c>
      <c r="C55" s="89"/>
      <c r="D55" s="89">
        <v>3.21</v>
      </c>
      <c r="E55" s="89">
        <v>1.1299999999999999</v>
      </c>
      <c r="F55" s="89"/>
    </row>
    <row r="56" spans="1:6" x14ac:dyDescent="0.25">
      <c r="A56" s="88">
        <v>79</v>
      </c>
      <c r="B56" s="89">
        <v>8</v>
      </c>
      <c r="C56" s="89"/>
      <c r="D56" s="89">
        <v>2.95</v>
      </c>
      <c r="E56" s="89">
        <v>1</v>
      </c>
      <c r="F56" s="89"/>
    </row>
    <row r="57" spans="1:6" x14ac:dyDescent="0.25">
      <c r="A57" s="88">
        <v>80</v>
      </c>
      <c r="B57" s="89">
        <v>7.47</v>
      </c>
      <c r="C57" s="89"/>
      <c r="D57" s="89">
        <v>2.7</v>
      </c>
      <c r="E57" s="89">
        <v>0.89</v>
      </c>
      <c r="F57" s="89"/>
    </row>
    <row r="58" spans="1:6" x14ac:dyDescent="0.25">
      <c r="A58" s="88">
        <v>81</v>
      </c>
      <c r="B58" s="89">
        <v>6.96</v>
      </c>
      <c r="C58" s="89"/>
      <c r="D58" s="89">
        <v>2.61</v>
      </c>
      <c r="E58" s="89">
        <v>0.78</v>
      </c>
      <c r="F58" s="89"/>
    </row>
    <row r="59" spans="1:6" x14ac:dyDescent="0.25">
      <c r="A59" s="88">
        <v>82</v>
      </c>
      <c r="B59" s="89">
        <v>6.47</v>
      </c>
      <c r="C59" s="89"/>
      <c r="D59" s="89">
        <v>2.52</v>
      </c>
      <c r="E59" s="89">
        <v>0.69</v>
      </c>
      <c r="F59" s="89"/>
    </row>
    <row r="60" spans="1:6" x14ac:dyDescent="0.25">
      <c r="A60" s="88">
        <v>83</v>
      </c>
      <c r="B60" s="89">
        <v>6</v>
      </c>
      <c r="C60" s="89"/>
      <c r="D60" s="89">
        <v>2.42</v>
      </c>
      <c r="E60" s="89">
        <v>0.6</v>
      </c>
      <c r="F60" s="89"/>
    </row>
    <row r="61" spans="1:6" x14ac:dyDescent="0.25">
      <c r="A61" s="88">
        <v>84</v>
      </c>
      <c r="B61" s="89">
        <v>5.55</v>
      </c>
      <c r="C61" s="89"/>
      <c r="D61" s="89">
        <v>2.1</v>
      </c>
      <c r="E61" s="89">
        <v>0.52</v>
      </c>
      <c r="F61" s="89"/>
    </row>
    <row r="62" spans="1:6" x14ac:dyDescent="0.25">
      <c r="A62" s="88">
        <v>85</v>
      </c>
      <c r="B62" s="89">
        <v>5.13</v>
      </c>
      <c r="C62" s="89"/>
      <c r="D62" s="89">
        <v>1.79</v>
      </c>
      <c r="E62" s="89">
        <v>0.45</v>
      </c>
      <c r="F62" s="89"/>
    </row>
    <row r="63" spans="1:6" x14ac:dyDescent="0.25">
      <c r="A63"/>
      <c r="B63"/>
    </row>
    <row r="64" spans="1:6" x14ac:dyDescent="0.25">
      <c r="A64"/>
      <c r="B64"/>
    </row>
    <row r="65" spans="1:2" x14ac:dyDescent="0.25">
      <c r="A65"/>
      <c r="B65"/>
    </row>
  </sheetData>
  <sheetProtection algorithmName="SHA-512" hashValue="F+rHjFzrKM0H0bg1uNoG822Qk+AkiF7AeXzLjt7D5XScolcys2u+RwBxJC6+gcwzF8Hg5cWyygN9lEDM8aoLSA==" saltValue="kAjIIECkw2Ss+HyrFgTUnA==" spinCount="100000" sheet="1" objects="1" scenarios="1"/>
  <conditionalFormatting sqref="A6:A21">
    <cfRule type="expression" dxfId="609" priority="3" stopIfTrue="1">
      <formula>MOD(ROW(),2)=0</formula>
    </cfRule>
    <cfRule type="expression" dxfId="608" priority="4" stopIfTrue="1">
      <formula>MOD(ROW(),2)&lt;&gt;0</formula>
    </cfRule>
  </conditionalFormatting>
  <conditionalFormatting sqref="A26:A62">
    <cfRule type="expression" dxfId="607" priority="13" stopIfTrue="1">
      <formula>MOD(ROW(),2)=0</formula>
    </cfRule>
    <cfRule type="expression" dxfId="606" priority="14" stopIfTrue="1">
      <formula>MOD(ROW(),2)&lt;&gt;0</formula>
    </cfRule>
  </conditionalFormatting>
  <conditionalFormatting sqref="B18:B21">
    <cfRule type="expression" dxfId="605" priority="11" stopIfTrue="1">
      <formula>MOD(ROW(),2)=0</formula>
    </cfRule>
    <cfRule type="expression" dxfId="604" priority="12" stopIfTrue="1">
      <formula>MOD(ROW(),2)&lt;&gt;0</formula>
    </cfRule>
  </conditionalFormatting>
  <conditionalFormatting sqref="B6:F21 B26:F62">
    <cfRule type="expression" dxfId="603" priority="23" stopIfTrue="1">
      <formula>MOD(ROW(),2)=0</formula>
    </cfRule>
    <cfRule type="expression" dxfId="602" priority="24" stopIfTrue="1">
      <formula>MOD(ROW(),2)&lt;&gt;0</formula>
    </cfRule>
  </conditionalFormatting>
  <conditionalFormatting sqref="C17:F17">
    <cfRule type="expression" dxfId="601" priority="9" stopIfTrue="1">
      <formula>MOD(ROW(),2)=0</formula>
    </cfRule>
    <cfRule type="expression" dxfId="600"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6"/>
  <dimension ref="A1:I92"/>
  <sheetViews>
    <sheetView showGridLines="0" zoomScale="85" zoomScaleNormal="85" workbookViewId="0">
      <selection activeCell="A4" sqref="A4"/>
    </sheetView>
  </sheetViews>
  <sheetFormatPr defaultColWidth="10" defaultRowHeight="13.2" x14ac:dyDescent="0.25"/>
  <cols>
    <col min="1" max="1" width="31.88671875" style="27" customWidth="1"/>
    <col min="2" max="5" width="22.88671875" style="27" customWidth="1"/>
    <col min="6"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PenCE - x-303</v>
      </c>
      <c r="B3" s="42"/>
      <c r="C3" s="42"/>
      <c r="D3" s="42"/>
      <c r="E3" s="42"/>
      <c r="F3" s="42"/>
      <c r="G3" s="42"/>
      <c r="H3" s="42"/>
      <c r="I3" s="42"/>
    </row>
    <row r="4" spans="1:9" x14ac:dyDescent="0.25">
      <c r="A4" s="44"/>
    </row>
    <row r="6" spans="1:9" x14ac:dyDescent="0.25">
      <c r="A6" s="75" t="s">
        <v>484</v>
      </c>
      <c r="B6" s="162" t="s">
        <v>485</v>
      </c>
      <c r="C6" s="162"/>
      <c r="D6" s="162"/>
      <c r="E6" s="162"/>
    </row>
    <row r="7" spans="1:9" x14ac:dyDescent="0.25">
      <c r="A7" s="76" t="s">
        <v>486</v>
      </c>
      <c r="B7" s="162" t="s">
        <v>81</v>
      </c>
      <c r="C7" s="162"/>
      <c r="D7" s="162"/>
      <c r="E7" s="162"/>
    </row>
    <row r="8" spans="1:9" x14ac:dyDescent="0.25">
      <c r="A8" s="76" t="s">
        <v>282</v>
      </c>
      <c r="B8" s="162">
        <v>1992</v>
      </c>
      <c r="C8" s="162"/>
      <c r="D8" s="162"/>
      <c r="E8" s="162"/>
    </row>
    <row r="9" spans="1:9" x14ac:dyDescent="0.25">
      <c r="A9" s="76" t="s">
        <v>283</v>
      </c>
      <c r="B9" s="162" t="s">
        <v>324</v>
      </c>
      <c r="C9" s="162"/>
      <c r="D9" s="162"/>
      <c r="E9" s="162"/>
    </row>
    <row r="10" spans="1:9" x14ac:dyDescent="0.25">
      <c r="A10" s="76" t="s">
        <v>6</v>
      </c>
      <c r="B10" s="162" t="s">
        <v>328</v>
      </c>
      <c r="C10" s="162"/>
      <c r="D10" s="162"/>
      <c r="E10" s="162"/>
    </row>
    <row r="11" spans="1:9" x14ac:dyDescent="0.25">
      <c r="A11" s="76" t="s">
        <v>284</v>
      </c>
      <c r="B11" s="162" t="s">
        <v>294</v>
      </c>
      <c r="C11" s="162"/>
      <c r="D11" s="162"/>
      <c r="E11" s="162"/>
    </row>
    <row r="12" spans="1:9" x14ac:dyDescent="0.25">
      <c r="A12" s="76" t="s">
        <v>285</v>
      </c>
      <c r="B12" s="162" t="s">
        <v>295</v>
      </c>
      <c r="C12" s="162"/>
      <c r="D12" s="162"/>
      <c r="E12" s="162"/>
    </row>
    <row r="13" spans="1:9" x14ac:dyDescent="0.25">
      <c r="A13" s="76" t="s">
        <v>493</v>
      </c>
      <c r="B13" s="162">
        <v>2</v>
      </c>
      <c r="C13" s="162"/>
      <c r="D13" s="162"/>
      <c r="E13" s="162"/>
    </row>
    <row r="14" spans="1:9" x14ac:dyDescent="0.25">
      <c r="A14" s="76" t="s">
        <v>287</v>
      </c>
      <c r="B14" s="162">
        <v>303</v>
      </c>
      <c r="C14" s="162"/>
      <c r="D14" s="162"/>
      <c r="E14" s="162"/>
    </row>
    <row r="15" spans="1:9" x14ac:dyDescent="0.25">
      <c r="A15" s="76" t="s">
        <v>496</v>
      </c>
      <c r="B15" s="162" t="s">
        <v>595</v>
      </c>
      <c r="C15" s="162"/>
      <c r="D15" s="162"/>
      <c r="E15" s="162"/>
    </row>
    <row r="16" spans="1:9" x14ac:dyDescent="0.25">
      <c r="A16" s="76" t="s">
        <v>288</v>
      </c>
      <c r="B16" s="162" t="s">
        <v>329</v>
      </c>
      <c r="C16" s="162"/>
      <c r="D16" s="162"/>
      <c r="E16" s="162"/>
    </row>
    <row r="17" spans="1:5" ht="51" customHeight="1" x14ac:dyDescent="0.25">
      <c r="A17" s="76" t="s">
        <v>568</v>
      </c>
      <c r="B17" s="162"/>
      <c r="C17" s="162"/>
      <c r="D17" s="162"/>
      <c r="E17" s="162"/>
    </row>
    <row r="18" spans="1:5" x14ac:dyDescent="0.25">
      <c r="A18" s="76" t="s">
        <v>500</v>
      </c>
      <c r="B18" s="164">
        <v>45070</v>
      </c>
      <c r="C18" s="162"/>
      <c r="D18" s="162"/>
      <c r="E18" s="162"/>
    </row>
    <row r="19" spans="1:5" x14ac:dyDescent="0.25">
      <c r="A19" s="76" t="s">
        <v>290</v>
      </c>
      <c r="B19" s="164">
        <v>45014</v>
      </c>
      <c r="C19" s="162"/>
      <c r="D19" s="162"/>
      <c r="E19" s="162"/>
    </row>
    <row r="20" spans="1:5" x14ac:dyDescent="0.25">
      <c r="A20" s="76" t="s">
        <v>291</v>
      </c>
      <c r="B20" s="162" t="s">
        <v>298</v>
      </c>
      <c r="C20" s="162"/>
      <c r="D20" s="162"/>
      <c r="E20" s="162"/>
    </row>
    <row r="21" spans="1:5" x14ac:dyDescent="0.25">
      <c r="A21" s="150" t="s">
        <v>569</v>
      </c>
      <c r="B21" s="162" t="s">
        <v>297</v>
      </c>
      <c r="C21" s="162"/>
      <c r="D21" s="162"/>
      <c r="E21" s="162"/>
    </row>
    <row r="23" spans="1:5" x14ac:dyDescent="0.25">
      <c r="B23" s="91" t="str">
        <f>HYPERLINK("#'Factor List'!A1","Back to Factor List")</f>
        <v>Back to Factor List</v>
      </c>
    </row>
    <row r="24" spans="1:5" x14ac:dyDescent="0.25">
      <c r="B24" s="91" t="str">
        <f>HYPERLINK("#'Assumptions'!A1","Assumptions")</f>
        <v>Assumptions</v>
      </c>
    </row>
    <row r="26" spans="1:5" ht="39.6" x14ac:dyDescent="0.25">
      <c r="A26" s="87" t="s">
        <v>570</v>
      </c>
      <c r="B26" s="87" t="s">
        <v>591</v>
      </c>
      <c r="C26" s="87" t="s">
        <v>572</v>
      </c>
      <c r="D26" s="87" t="s">
        <v>593</v>
      </c>
      <c r="E26" s="87" t="s">
        <v>573</v>
      </c>
    </row>
    <row r="27" spans="1:5" x14ac:dyDescent="0.25">
      <c r="A27" s="88">
        <v>20</v>
      </c>
      <c r="B27" s="89">
        <v>39.159999999999997</v>
      </c>
      <c r="C27" s="89">
        <v>2.5299999999999998</v>
      </c>
      <c r="D27" s="89"/>
      <c r="E27" s="89">
        <v>0</v>
      </c>
    </row>
    <row r="28" spans="1:5" x14ac:dyDescent="0.25">
      <c r="A28" s="88">
        <v>21</v>
      </c>
      <c r="B28" s="89">
        <v>38.79</v>
      </c>
      <c r="C28" s="89">
        <v>2.57</v>
      </c>
      <c r="D28" s="89"/>
      <c r="E28" s="89">
        <v>0</v>
      </c>
    </row>
    <row r="29" spans="1:5" x14ac:dyDescent="0.25">
      <c r="A29" s="88">
        <v>22</v>
      </c>
      <c r="B29" s="89">
        <v>38.42</v>
      </c>
      <c r="C29" s="89">
        <v>2.61</v>
      </c>
      <c r="D29" s="89"/>
      <c r="E29" s="89">
        <v>0</v>
      </c>
    </row>
    <row r="30" spans="1:5" x14ac:dyDescent="0.25">
      <c r="A30" s="88">
        <v>23</v>
      </c>
      <c r="B30" s="89">
        <v>38.04</v>
      </c>
      <c r="C30" s="89">
        <v>2.65</v>
      </c>
      <c r="D30" s="89"/>
      <c r="E30" s="89">
        <v>0</v>
      </c>
    </row>
    <row r="31" spans="1:5" x14ac:dyDescent="0.25">
      <c r="A31" s="88">
        <v>24</v>
      </c>
      <c r="B31" s="89">
        <v>37.659999999999997</v>
      </c>
      <c r="C31" s="89">
        <v>2.7</v>
      </c>
      <c r="D31" s="89"/>
      <c r="E31" s="89">
        <v>0</v>
      </c>
    </row>
    <row r="32" spans="1:5" x14ac:dyDescent="0.25">
      <c r="A32" s="88">
        <v>25</v>
      </c>
      <c r="B32" s="89">
        <v>37.270000000000003</v>
      </c>
      <c r="C32" s="89">
        <v>2.74</v>
      </c>
      <c r="D32" s="89"/>
      <c r="E32" s="89">
        <v>0</v>
      </c>
    </row>
    <row r="33" spans="1:5" x14ac:dyDescent="0.25">
      <c r="A33" s="88">
        <v>26</v>
      </c>
      <c r="B33" s="89">
        <v>36.869999999999997</v>
      </c>
      <c r="C33" s="89">
        <v>2.78</v>
      </c>
      <c r="D33" s="89"/>
      <c r="E33" s="89">
        <v>0</v>
      </c>
    </row>
    <row r="34" spans="1:5" x14ac:dyDescent="0.25">
      <c r="A34" s="88">
        <v>27</v>
      </c>
      <c r="B34" s="89">
        <v>36.47</v>
      </c>
      <c r="C34" s="89">
        <v>2.82</v>
      </c>
      <c r="D34" s="89"/>
      <c r="E34" s="89">
        <v>0</v>
      </c>
    </row>
    <row r="35" spans="1:5" x14ac:dyDescent="0.25">
      <c r="A35" s="88">
        <v>28</v>
      </c>
      <c r="B35" s="89">
        <v>36.06</v>
      </c>
      <c r="C35" s="89">
        <v>2.86</v>
      </c>
      <c r="D35" s="89"/>
      <c r="E35" s="89">
        <v>0</v>
      </c>
    </row>
    <row r="36" spans="1:5" x14ac:dyDescent="0.25">
      <c r="A36" s="88">
        <v>29</v>
      </c>
      <c r="B36" s="89">
        <v>35.65</v>
      </c>
      <c r="C36" s="89">
        <v>2.9</v>
      </c>
      <c r="D36" s="89"/>
      <c r="E36" s="89">
        <v>0</v>
      </c>
    </row>
    <row r="37" spans="1:5" x14ac:dyDescent="0.25">
      <c r="A37" s="88">
        <v>30</v>
      </c>
      <c r="B37" s="89">
        <v>35.229999999999997</v>
      </c>
      <c r="C37" s="89">
        <v>2.94</v>
      </c>
      <c r="D37" s="89"/>
      <c r="E37" s="89">
        <v>0</v>
      </c>
    </row>
    <row r="38" spans="1:5" x14ac:dyDescent="0.25">
      <c r="A38" s="88">
        <v>31</v>
      </c>
      <c r="B38" s="89">
        <v>34.799999999999997</v>
      </c>
      <c r="C38" s="89">
        <v>2.98</v>
      </c>
      <c r="D38" s="89"/>
      <c r="E38" s="89">
        <v>0</v>
      </c>
    </row>
    <row r="39" spans="1:5" x14ac:dyDescent="0.25">
      <c r="A39" s="88">
        <v>32</v>
      </c>
      <c r="B39" s="89">
        <v>34.369999999999997</v>
      </c>
      <c r="C39" s="89">
        <v>3.02</v>
      </c>
      <c r="D39" s="89"/>
      <c r="E39" s="89">
        <v>0</v>
      </c>
    </row>
    <row r="40" spans="1:5" x14ac:dyDescent="0.25">
      <c r="A40" s="88">
        <v>33</v>
      </c>
      <c r="B40" s="89">
        <v>33.93</v>
      </c>
      <c r="C40" s="89">
        <v>3.06</v>
      </c>
      <c r="D40" s="89"/>
      <c r="E40" s="89">
        <v>0</v>
      </c>
    </row>
    <row r="41" spans="1:5" x14ac:dyDescent="0.25">
      <c r="A41" s="88">
        <v>34</v>
      </c>
      <c r="B41" s="89">
        <v>33.479999999999997</v>
      </c>
      <c r="C41" s="89">
        <v>3.1</v>
      </c>
      <c r="D41" s="89"/>
      <c r="E41" s="89">
        <v>0</v>
      </c>
    </row>
    <row r="42" spans="1:5" x14ac:dyDescent="0.25">
      <c r="A42" s="88">
        <v>35</v>
      </c>
      <c r="B42" s="89">
        <v>33.03</v>
      </c>
      <c r="C42" s="89">
        <v>3.14</v>
      </c>
      <c r="D42" s="89"/>
      <c r="E42" s="89">
        <v>0</v>
      </c>
    </row>
    <row r="43" spans="1:5" x14ac:dyDescent="0.25">
      <c r="A43" s="88">
        <v>36</v>
      </c>
      <c r="B43" s="89">
        <v>32.57</v>
      </c>
      <c r="C43" s="89">
        <v>3.18</v>
      </c>
      <c r="D43" s="89"/>
      <c r="E43" s="89">
        <v>0</v>
      </c>
    </row>
    <row r="44" spans="1:5" x14ac:dyDescent="0.25">
      <c r="A44" s="88">
        <v>37</v>
      </c>
      <c r="B44" s="89">
        <v>32.11</v>
      </c>
      <c r="C44" s="89">
        <v>3.22</v>
      </c>
      <c r="D44" s="89"/>
      <c r="E44" s="89">
        <v>0</v>
      </c>
    </row>
    <row r="45" spans="1:5" x14ac:dyDescent="0.25">
      <c r="A45" s="88">
        <v>38</v>
      </c>
      <c r="B45" s="89">
        <v>31.63</v>
      </c>
      <c r="C45" s="89">
        <v>3.26</v>
      </c>
      <c r="D45" s="89"/>
      <c r="E45" s="89">
        <v>0</v>
      </c>
    </row>
    <row r="46" spans="1:5" x14ac:dyDescent="0.25">
      <c r="A46" s="88">
        <v>39</v>
      </c>
      <c r="B46" s="89">
        <v>31.15</v>
      </c>
      <c r="C46" s="89">
        <v>3.29</v>
      </c>
      <c r="D46" s="89"/>
      <c r="E46" s="89">
        <v>0</v>
      </c>
    </row>
    <row r="47" spans="1:5" x14ac:dyDescent="0.25">
      <c r="A47" s="88">
        <v>40</v>
      </c>
      <c r="B47" s="89">
        <v>30.67</v>
      </c>
      <c r="C47" s="89">
        <v>3.33</v>
      </c>
      <c r="D47" s="89"/>
      <c r="E47" s="89">
        <v>0</v>
      </c>
    </row>
    <row r="48" spans="1:5" x14ac:dyDescent="0.25">
      <c r="A48" s="88">
        <v>41</v>
      </c>
      <c r="B48" s="89">
        <v>30.18</v>
      </c>
      <c r="C48" s="89">
        <v>3.37</v>
      </c>
      <c r="D48" s="89"/>
      <c r="E48" s="89">
        <v>0</v>
      </c>
    </row>
    <row r="49" spans="1:5" x14ac:dyDescent="0.25">
      <c r="A49" s="88">
        <v>42</v>
      </c>
      <c r="B49" s="89">
        <v>29.68</v>
      </c>
      <c r="C49" s="89">
        <v>3.4</v>
      </c>
      <c r="D49" s="89"/>
      <c r="E49" s="89">
        <v>0</v>
      </c>
    </row>
    <row r="50" spans="1:5" x14ac:dyDescent="0.25">
      <c r="A50" s="88">
        <v>43</v>
      </c>
      <c r="B50" s="89">
        <v>29.17</v>
      </c>
      <c r="C50" s="89">
        <v>3.44</v>
      </c>
      <c r="D50" s="89"/>
      <c r="E50" s="89">
        <v>0</v>
      </c>
    </row>
    <row r="51" spans="1:5" x14ac:dyDescent="0.25">
      <c r="A51" s="88">
        <v>44</v>
      </c>
      <c r="B51" s="89">
        <v>28.66</v>
      </c>
      <c r="C51" s="89">
        <v>3.47</v>
      </c>
      <c r="D51" s="89"/>
      <c r="E51" s="89">
        <v>0</v>
      </c>
    </row>
    <row r="52" spans="1:5" x14ac:dyDescent="0.25">
      <c r="A52" s="88">
        <v>45</v>
      </c>
      <c r="B52" s="89">
        <v>28.14</v>
      </c>
      <c r="C52" s="89">
        <v>3.5</v>
      </c>
      <c r="D52" s="89"/>
      <c r="E52" s="89">
        <v>0</v>
      </c>
    </row>
    <row r="53" spans="1:5" x14ac:dyDescent="0.25">
      <c r="A53" s="88">
        <v>46</v>
      </c>
      <c r="B53" s="89">
        <v>27.62</v>
      </c>
      <c r="C53" s="89">
        <v>3.53</v>
      </c>
      <c r="D53" s="89"/>
      <c r="E53" s="89">
        <v>0</v>
      </c>
    </row>
    <row r="54" spans="1:5" x14ac:dyDescent="0.25">
      <c r="A54" s="88">
        <v>47</v>
      </c>
      <c r="B54" s="89">
        <v>27.09</v>
      </c>
      <c r="C54" s="89">
        <v>3.56</v>
      </c>
      <c r="D54" s="89"/>
      <c r="E54" s="89">
        <v>0</v>
      </c>
    </row>
    <row r="55" spans="1:5" x14ac:dyDescent="0.25">
      <c r="A55" s="88">
        <v>48</v>
      </c>
      <c r="B55" s="89">
        <v>26.55</v>
      </c>
      <c r="C55" s="89">
        <v>3.59</v>
      </c>
      <c r="D55" s="89"/>
      <c r="E55" s="89">
        <v>0</v>
      </c>
    </row>
    <row r="56" spans="1:5" x14ac:dyDescent="0.25">
      <c r="A56" s="88">
        <v>49</v>
      </c>
      <c r="B56" s="89">
        <v>26.01</v>
      </c>
      <c r="C56" s="89">
        <v>3.62</v>
      </c>
      <c r="D56" s="89"/>
      <c r="E56" s="89">
        <v>0</v>
      </c>
    </row>
    <row r="57" spans="1:5" x14ac:dyDescent="0.25">
      <c r="A57" s="88">
        <v>50</v>
      </c>
      <c r="B57" s="89">
        <v>25.46</v>
      </c>
      <c r="C57" s="89">
        <v>3.65</v>
      </c>
      <c r="D57" s="89"/>
      <c r="E57" s="89">
        <v>0</v>
      </c>
    </row>
    <row r="58" spans="1:5" x14ac:dyDescent="0.25">
      <c r="A58" s="88">
        <v>51</v>
      </c>
      <c r="B58" s="89">
        <v>24.9</v>
      </c>
      <c r="C58" s="89">
        <v>3.68</v>
      </c>
      <c r="D58" s="89"/>
      <c r="E58" s="89">
        <v>0</v>
      </c>
    </row>
    <row r="59" spans="1:5" x14ac:dyDescent="0.25">
      <c r="A59" s="88">
        <v>52</v>
      </c>
      <c r="B59" s="89">
        <v>24.34</v>
      </c>
      <c r="C59" s="89">
        <v>3.7</v>
      </c>
      <c r="D59" s="89"/>
      <c r="E59" s="89">
        <v>0</v>
      </c>
    </row>
    <row r="60" spans="1:5" x14ac:dyDescent="0.25">
      <c r="A60" s="88">
        <v>53</v>
      </c>
      <c r="B60" s="89">
        <v>23.76</v>
      </c>
      <c r="C60" s="89">
        <v>3.73</v>
      </c>
      <c r="D60" s="89"/>
      <c r="E60" s="89">
        <v>0</v>
      </c>
    </row>
    <row r="61" spans="1:5" x14ac:dyDescent="0.25">
      <c r="A61" s="88">
        <v>54</v>
      </c>
      <c r="B61" s="89">
        <v>23.18</v>
      </c>
      <c r="C61" s="89">
        <v>3.75</v>
      </c>
      <c r="D61" s="89"/>
      <c r="E61" s="89">
        <v>0</v>
      </c>
    </row>
    <row r="62" spans="1:5" x14ac:dyDescent="0.25">
      <c r="A62" s="88">
        <v>55</v>
      </c>
      <c r="B62" s="89">
        <v>22.6</v>
      </c>
      <c r="C62" s="89">
        <v>3.78</v>
      </c>
      <c r="D62" s="89"/>
      <c r="E62" s="89">
        <v>0</v>
      </c>
    </row>
    <row r="63" spans="1:5" x14ac:dyDescent="0.25">
      <c r="A63" s="88">
        <v>56</v>
      </c>
      <c r="B63" s="89">
        <v>22.01</v>
      </c>
      <c r="C63" s="89">
        <v>3.8</v>
      </c>
      <c r="D63" s="89"/>
      <c r="E63" s="89">
        <v>0</v>
      </c>
    </row>
    <row r="64" spans="1:5" x14ac:dyDescent="0.25">
      <c r="A64" s="88">
        <v>57</v>
      </c>
      <c r="B64" s="89">
        <v>21.41</v>
      </c>
      <c r="C64" s="89">
        <v>3.82</v>
      </c>
      <c r="D64" s="89"/>
      <c r="E64" s="89">
        <v>0</v>
      </c>
    </row>
    <row r="65" spans="1:5" x14ac:dyDescent="0.25">
      <c r="A65" s="88">
        <v>58</v>
      </c>
      <c r="B65" s="89">
        <v>20.8</v>
      </c>
      <c r="C65" s="89">
        <v>3.84</v>
      </c>
      <c r="D65" s="89"/>
      <c r="E65" s="89">
        <v>0</v>
      </c>
    </row>
    <row r="66" spans="1:5" x14ac:dyDescent="0.25">
      <c r="A66" s="88">
        <v>59</v>
      </c>
      <c r="B66" s="89">
        <v>20.190000000000001</v>
      </c>
      <c r="C66" s="89">
        <v>3.86</v>
      </c>
      <c r="D66" s="89"/>
      <c r="E66" s="89">
        <v>0</v>
      </c>
    </row>
    <row r="67" spans="1:5" x14ac:dyDescent="0.25">
      <c r="A67" s="88">
        <v>60</v>
      </c>
      <c r="B67" s="89">
        <v>19.579999999999998</v>
      </c>
      <c r="C67" s="89">
        <v>3.87</v>
      </c>
      <c r="D67" s="89"/>
      <c r="E67" s="89">
        <v>0</v>
      </c>
    </row>
    <row r="68" spans="1:5" x14ac:dyDescent="0.25">
      <c r="A68" s="88">
        <v>61</v>
      </c>
      <c r="B68" s="89">
        <v>18.96</v>
      </c>
      <c r="C68" s="89">
        <v>3.89</v>
      </c>
      <c r="D68" s="89"/>
      <c r="E68" s="89">
        <v>0</v>
      </c>
    </row>
    <row r="69" spans="1:5" x14ac:dyDescent="0.25">
      <c r="A69" s="88">
        <v>62</v>
      </c>
      <c r="B69" s="89">
        <v>18.329999999999998</v>
      </c>
      <c r="C69" s="89">
        <v>3.9</v>
      </c>
      <c r="D69" s="89"/>
      <c r="E69" s="89">
        <v>0</v>
      </c>
    </row>
    <row r="70" spans="1:5" x14ac:dyDescent="0.25">
      <c r="A70" s="88">
        <v>63</v>
      </c>
      <c r="B70" s="89">
        <v>17.71</v>
      </c>
      <c r="C70" s="89">
        <v>3.9</v>
      </c>
      <c r="D70" s="89"/>
      <c r="E70" s="89">
        <v>0</v>
      </c>
    </row>
    <row r="71" spans="1:5" x14ac:dyDescent="0.25">
      <c r="A71" s="88">
        <v>64</v>
      </c>
      <c r="B71" s="89">
        <v>17.079999999999998</v>
      </c>
      <c r="C71" s="89">
        <v>3.9</v>
      </c>
      <c r="D71" s="89"/>
      <c r="E71" s="89">
        <v>0</v>
      </c>
    </row>
    <row r="72" spans="1:5" x14ac:dyDescent="0.25">
      <c r="A72" s="88">
        <v>65</v>
      </c>
      <c r="B72" s="89">
        <v>16.45</v>
      </c>
      <c r="C72" s="89">
        <v>3.9</v>
      </c>
      <c r="D72" s="89"/>
      <c r="E72" s="89"/>
    </row>
    <row r="73" spans="1:5" x14ac:dyDescent="0.25">
      <c r="A73" s="88">
        <v>66</v>
      </c>
      <c r="B73" s="89">
        <v>15.83</v>
      </c>
      <c r="C73" s="89">
        <v>3.89</v>
      </c>
      <c r="D73" s="89"/>
      <c r="E73" s="89"/>
    </row>
    <row r="74" spans="1:5" x14ac:dyDescent="0.25">
      <c r="A74" s="88">
        <v>67</v>
      </c>
      <c r="B74" s="89">
        <v>15.2</v>
      </c>
      <c r="C74" s="89">
        <v>3.88</v>
      </c>
      <c r="D74" s="89"/>
      <c r="E74" s="89"/>
    </row>
    <row r="75" spans="1:5" x14ac:dyDescent="0.25">
      <c r="A75" s="88">
        <v>68</v>
      </c>
      <c r="B75" s="89">
        <v>14.57</v>
      </c>
      <c r="C75" s="89">
        <v>3.87</v>
      </c>
      <c r="D75" s="89"/>
      <c r="E75" s="89"/>
    </row>
    <row r="76" spans="1:5" x14ac:dyDescent="0.25">
      <c r="A76" s="88">
        <v>69</v>
      </c>
      <c r="B76" s="89">
        <v>13.94</v>
      </c>
      <c r="C76" s="89">
        <v>3.85</v>
      </c>
      <c r="D76" s="89">
        <v>2.77</v>
      </c>
      <c r="E76" s="89"/>
    </row>
    <row r="77" spans="1:5" x14ac:dyDescent="0.25">
      <c r="A77" s="88">
        <v>70</v>
      </c>
      <c r="B77" s="89">
        <v>13.32</v>
      </c>
      <c r="C77" s="89">
        <v>3.82</v>
      </c>
      <c r="D77" s="89">
        <v>2.57</v>
      </c>
      <c r="E77" s="89"/>
    </row>
    <row r="78" spans="1:5" x14ac:dyDescent="0.25">
      <c r="A78" s="88">
        <v>71</v>
      </c>
      <c r="B78" s="89">
        <v>12.7</v>
      </c>
      <c r="C78" s="89">
        <v>3.79</v>
      </c>
      <c r="D78" s="89">
        <v>2.38</v>
      </c>
      <c r="E78" s="89"/>
    </row>
    <row r="79" spans="1:5" x14ac:dyDescent="0.25">
      <c r="A79" s="88">
        <v>72</v>
      </c>
      <c r="B79" s="89">
        <v>12.08</v>
      </c>
      <c r="C79" s="89">
        <v>3.75</v>
      </c>
      <c r="D79" s="89">
        <v>2.2000000000000002</v>
      </c>
      <c r="E79" s="89"/>
    </row>
    <row r="80" spans="1:5" x14ac:dyDescent="0.25">
      <c r="A80" s="88">
        <v>73</v>
      </c>
      <c r="B80" s="89">
        <v>11.47</v>
      </c>
      <c r="C80" s="89">
        <v>3.71</v>
      </c>
      <c r="D80" s="89">
        <v>2.02</v>
      </c>
      <c r="E80" s="89"/>
    </row>
    <row r="81" spans="1:5" x14ac:dyDescent="0.25">
      <c r="A81" s="88">
        <v>74</v>
      </c>
      <c r="B81" s="89">
        <v>10.86</v>
      </c>
      <c r="C81" s="89">
        <v>3.56</v>
      </c>
      <c r="D81" s="89">
        <v>1.84</v>
      </c>
      <c r="E81" s="89"/>
    </row>
    <row r="82" spans="1:5" x14ac:dyDescent="0.25">
      <c r="A82" s="88">
        <v>75</v>
      </c>
      <c r="B82" s="89">
        <v>10.27</v>
      </c>
      <c r="C82" s="89">
        <v>3.41</v>
      </c>
      <c r="D82" s="89">
        <v>1.67</v>
      </c>
      <c r="E82" s="89"/>
    </row>
    <row r="83" spans="1:5" x14ac:dyDescent="0.25">
      <c r="A83" s="88">
        <v>76</v>
      </c>
      <c r="B83" s="89">
        <v>9.68</v>
      </c>
      <c r="C83" s="89">
        <v>3.35</v>
      </c>
      <c r="D83" s="89">
        <v>1.52</v>
      </c>
      <c r="E83" s="89"/>
    </row>
    <row r="84" spans="1:5" x14ac:dyDescent="0.25">
      <c r="A84" s="88">
        <v>77</v>
      </c>
      <c r="B84" s="89">
        <v>9.11</v>
      </c>
      <c r="C84" s="89">
        <v>3.28</v>
      </c>
      <c r="D84" s="89">
        <v>1.38</v>
      </c>
      <c r="E84" s="89"/>
    </row>
    <row r="85" spans="1:5" x14ac:dyDescent="0.25">
      <c r="A85" s="88">
        <v>78</v>
      </c>
      <c r="B85" s="89">
        <v>8.5500000000000007</v>
      </c>
      <c r="C85" s="89">
        <v>3.21</v>
      </c>
      <c r="D85" s="89">
        <v>1.24</v>
      </c>
      <c r="E85" s="89"/>
    </row>
    <row r="86" spans="1:5" x14ac:dyDescent="0.25">
      <c r="A86" s="88">
        <v>79</v>
      </c>
      <c r="B86" s="89">
        <v>8</v>
      </c>
      <c r="C86" s="89">
        <v>2.95</v>
      </c>
      <c r="D86" s="89">
        <v>1.1000000000000001</v>
      </c>
      <c r="E86" s="89"/>
    </row>
    <row r="87" spans="1:5" x14ac:dyDescent="0.25">
      <c r="A87" s="88">
        <v>80</v>
      </c>
      <c r="B87" s="89">
        <v>7.47</v>
      </c>
      <c r="C87" s="89">
        <v>2.7</v>
      </c>
      <c r="D87" s="89">
        <v>0.97</v>
      </c>
      <c r="E87" s="89"/>
    </row>
    <row r="88" spans="1:5" x14ac:dyDescent="0.25">
      <c r="A88" s="88">
        <v>81</v>
      </c>
      <c r="B88" s="89">
        <v>6.96</v>
      </c>
      <c r="C88" s="89">
        <v>2.61</v>
      </c>
      <c r="D88" s="89">
        <v>0.86</v>
      </c>
      <c r="E88" s="89"/>
    </row>
    <row r="89" spans="1:5" x14ac:dyDescent="0.25">
      <c r="A89" s="88">
        <v>82</v>
      </c>
      <c r="B89" s="89">
        <v>6.47</v>
      </c>
      <c r="C89" s="89">
        <v>2.52</v>
      </c>
      <c r="D89" s="89">
        <v>0.77</v>
      </c>
      <c r="E89" s="89"/>
    </row>
    <row r="90" spans="1:5" x14ac:dyDescent="0.25">
      <c r="A90" s="88">
        <v>83</v>
      </c>
      <c r="B90" s="89">
        <v>6</v>
      </c>
      <c r="C90" s="89">
        <v>2.42</v>
      </c>
      <c r="D90" s="89">
        <v>0.68</v>
      </c>
      <c r="E90" s="89"/>
    </row>
    <row r="91" spans="1:5" x14ac:dyDescent="0.25">
      <c r="A91" s="88">
        <v>84</v>
      </c>
      <c r="B91" s="89">
        <v>5.55</v>
      </c>
      <c r="C91" s="89">
        <v>2.1</v>
      </c>
      <c r="D91" s="89">
        <v>0.57999999999999996</v>
      </c>
      <c r="E91" s="89"/>
    </row>
    <row r="92" spans="1:5" x14ac:dyDescent="0.25">
      <c r="A92" s="88">
        <v>85</v>
      </c>
      <c r="B92" s="89">
        <v>5.13</v>
      </c>
      <c r="C92" s="89">
        <v>1.79</v>
      </c>
      <c r="D92" s="89">
        <v>0.49</v>
      </c>
      <c r="E92" s="89"/>
    </row>
  </sheetData>
  <sheetProtection algorithmName="SHA-512" hashValue="vDJJRq+/7QTJvNMS1nRM8aiSGUbA01dviEk/tUVuRd3OjR2GUpW/7WraNuMKrs0QO1M0HEK4ZUDo0AqQGwWIWw==" saltValue="6bQ1k7/fy3PKrXopgYmscg==" spinCount="100000" sheet="1" objects="1" scenarios="1"/>
  <conditionalFormatting sqref="A6:A21">
    <cfRule type="expression" dxfId="599" priority="3" stopIfTrue="1">
      <formula>MOD(ROW(),2)=0</formula>
    </cfRule>
    <cfRule type="expression" dxfId="598" priority="4" stopIfTrue="1">
      <formula>MOD(ROW(),2)&lt;&gt;0</formula>
    </cfRule>
  </conditionalFormatting>
  <conditionalFormatting sqref="A26:A92">
    <cfRule type="expression" dxfId="597" priority="13" stopIfTrue="1">
      <formula>MOD(ROW(),2)=0</formula>
    </cfRule>
    <cfRule type="expression" dxfId="596" priority="14" stopIfTrue="1">
      <formula>MOD(ROW(),2)&lt;&gt;0</formula>
    </cfRule>
  </conditionalFormatting>
  <conditionalFormatting sqref="B18:B21">
    <cfRule type="expression" dxfId="595" priority="11" stopIfTrue="1">
      <formula>MOD(ROW(),2)=0</formula>
    </cfRule>
    <cfRule type="expression" dxfId="594" priority="12" stopIfTrue="1">
      <formula>MOD(ROW(),2)&lt;&gt;0</formula>
    </cfRule>
  </conditionalFormatting>
  <conditionalFormatting sqref="B6:E21 B26:E92">
    <cfRule type="expression" dxfId="593" priority="23" stopIfTrue="1">
      <formula>MOD(ROW(),2)=0</formula>
    </cfRule>
    <cfRule type="expression" dxfId="592" priority="24" stopIfTrue="1">
      <formula>MOD(ROW(),2)&lt;&gt;0</formula>
    </cfRule>
  </conditionalFormatting>
  <conditionalFormatting sqref="C17:E17">
    <cfRule type="expression" dxfId="591" priority="9" stopIfTrue="1">
      <formula>MOD(ROW(),2)=0</formula>
    </cfRule>
    <cfRule type="expression" dxfId="590"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7"/>
  <dimension ref="A1:I92"/>
  <sheetViews>
    <sheetView showGridLines="0" zoomScale="85" zoomScaleNormal="85" workbookViewId="0">
      <selection activeCell="A4" sqref="A4"/>
    </sheetView>
  </sheetViews>
  <sheetFormatPr defaultColWidth="10" defaultRowHeight="13.2" x14ac:dyDescent="0.25"/>
  <cols>
    <col min="1" max="1" width="31.88671875" style="27" customWidth="1"/>
    <col min="2" max="5" width="22.88671875" style="27" customWidth="1"/>
    <col min="6"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PenCE - x-304</v>
      </c>
      <c r="B3" s="42"/>
      <c r="C3" s="42"/>
      <c r="D3" s="42"/>
      <c r="E3" s="42"/>
      <c r="F3" s="42"/>
      <c r="G3" s="42"/>
      <c r="H3" s="42"/>
      <c r="I3" s="42"/>
    </row>
    <row r="4" spans="1:9" x14ac:dyDescent="0.25">
      <c r="A4" s="44"/>
    </row>
    <row r="6" spans="1:9" x14ac:dyDescent="0.25">
      <c r="A6" s="75" t="s">
        <v>484</v>
      </c>
      <c r="B6" s="162" t="s">
        <v>485</v>
      </c>
      <c r="C6" s="162"/>
      <c r="D6" s="162"/>
      <c r="E6" s="162"/>
    </row>
    <row r="7" spans="1:9" x14ac:dyDescent="0.25">
      <c r="A7" s="76" t="s">
        <v>486</v>
      </c>
      <c r="B7" s="162" t="s">
        <v>81</v>
      </c>
      <c r="C7" s="162"/>
      <c r="D7" s="162"/>
      <c r="E7" s="162"/>
    </row>
    <row r="8" spans="1:9" x14ac:dyDescent="0.25">
      <c r="A8" s="76" t="s">
        <v>282</v>
      </c>
      <c r="B8" s="162">
        <v>1992</v>
      </c>
      <c r="C8" s="162"/>
      <c r="D8" s="162"/>
      <c r="E8" s="162"/>
    </row>
    <row r="9" spans="1:9" x14ac:dyDescent="0.25">
      <c r="A9" s="76" t="s">
        <v>283</v>
      </c>
      <c r="B9" s="162" t="s">
        <v>324</v>
      </c>
      <c r="C9" s="162"/>
      <c r="D9" s="162"/>
      <c r="E9" s="162"/>
    </row>
    <row r="10" spans="1:9" x14ac:dyDescent="0.25">
      <c r="A10" s="76" t="s">
        <v>6</v>
      </c>
      <c r="B10" s="162" t="s">
        <v>328</v>
      </c>
      <c r="C10" s="162"/>
      <c r="D10" s="162"/>
      <c r="E10" s="162"/>
    </row>
    <row r="11" spans="1:9" x14ac:dyDescent="0.25">
      <c r="A11" s="76" t="s">
        <v>284</v>
      </c>
      <c r="B11" s="162" t="s">
        <v>299</v>
      </c>
      <c r="C11" s="162"/>
      <c r="D11" s="162"/>
      <c r="E11" s="162"/>
    </row>
    <row r="12" spans="1:9" x14ac:dyDescent="0.25">
      <c r="A12" s="76" t="s">
        <v>285</v>
      </c>
      <c r="B12" s="162" t="s">
        <v>295</v>
      </c>
      <c r="C12" s="162"/>
      <c r="D12" s="162"/>
      <c r="E12" s="162"/>
    </row>
    <row r="13" spans="1:9" x14ac:dyDescent="0.25">
      <c r="A13" s="76" t="s">
        <v>493</v>
      </c>
      <c r="B13" s="162">
        <v>2</v>
      </c>
      <c r="C13" s="162"/>
      <c r="D13" s="162"/>
      <c r="E13" s="162"/>
    </row>
    <row r="14" spans="1:9" x14ac:dyDescent="0.25">
      <c r="A14" s="76" t="s">
        <v>287</v>
      </c>
      <c r="B14" s="162">
        <v>304</v>
      </c>
      <c r="C14" s="162"/>
      <c r="D14" s="162"/>
      <c r="E14" s="162"/>
    </row>
    <row r="15" spans="1:9" x14ac:dyDescent="0.25">
      <c r="A15" s="76" t="s">
        <v>496</v>
      </c>
      <c r="B15" s="162" t="s">
        <v>596</v>
      </c>
      <c r="C15" s="162"/>
      <c r="D15" s="162"/>
      <c r="E15" s="162"/>
    </row>
    <row r="16" spans="1:9" x14ac:dyDescent="0.25">
      <c r="A16" s="76" t="s">
        <v>288</v>
      </c>
      <c r="B16" s="162" t="s">
        <v>330</v>
      </c>
      <c r="C16" s="162"/>
      <c r="D16" s="162"/>
      <c r="E16" s="162"/>
    </row>
    <row r="17" spans="1:5" ht="51" customHeight="1" x14ac:dyDescent="0.25">
      <c r="A17" s="76" t="s">
        <v>568</v>
      </c>
      <c r="B17" s="162"/>
      <c r="C17" s="162"/>
      <c r="D17" s="162"/>
      <c r="E17" s="162"/>
    </row>
    <row r="18" spans="1:5" x14ac:dyDescent="0.25">
      <c r="A18" s="76" t="s">
        <v>500</v>
      </c>
      <c r="B18" s="164">
        <v>45070</v>
      </c>
      <c r="C18" s="162"/>
      <c r="D18" s="162"/>
      <c r="E18" s="162"/>
    </row>
    <row r="19" spans="1:5" x14ac:dyDescent="0.25">
      <c r="A19" s="76" t="s">
        <v>290</v>
      </c>
      <c r="B19" s="164">
        <v>45014</v>
      </c>
      <c r="C19" s="162"/>
      <c r="D19" s="162"/>
      <c r="E19" s="162"/>
    </row>
    <row r="20" spans="1:5" x14ac:dyDescent="0.25">
      <c r="A20" s="76" t="s">
        <v>291</v>
      </c>
      <c r="B20" s="162" t="s">
        <v>298</v>
      </c>
      <c r="C20" s="162"/>
      <c r="D20" s="162"/>
      <c r="E20" s="162"/>
    </row>
    <row r="21" spans="1:5" x14ac:dyDescent="0.25">
      <c r="A21" s="150" t="s">
        <v>569</v>
      </c>
      <c r="B21" s="162" t="s">
        <v>297</v>
      </c>
      <c r="C21" s="162"/>
      <c r="D21" s="162"/>
      <c r="E21" s="162"/>
    </row>
    <row r="23" spans="1:5" x14ac:dyDescent="0.25">
      <c r="B23" s="91" t="str">
        <f>HYPERLINK("#'Factor List'!A1","Back to Factor List")</f>
        <v>Back to Factor List</v>
      </c>
    </row>
    <row r="24" spans="1:5" x14ac:dyDescent="0.25">
      <c r="B24" s="91" t="str">
        <f>HYPERLINK("#'Assumptions'!A1","Assumptions")</f>
        <v>Assumptions</v>
      </c>
    </row>
    <row r="26" spans="1:5" ht="39.6" x14ac:dyDescent="0.25">
      <c r="A26" s="87" t="s">
        <v>570</v>
      </c>
      <c r="B26" s="87" t="s">
        <v>591</v>
      </c>
      <c r="C26" s="87" t="s">
        <v>572</v>
      </c>
      <c r="D26" s="87" t="s">
        <v>593</v>
      </c>
      <c r="E26" s="87" t="s">
        <v>573</v>
      </c>
    </row>
    <row r="27" spans="1:5" x14ac:dyDescent="0.25">
      <c r="A27" s="88">
        <v>20</v>
      </c>
      <c r="B27" s="89">
        <v>39.159999999999997</v>
      </c>
      <c r="C27" s="89">
        <v>2.5299999999999998</v>
      </c>
      <c r="D27" s="89"/>
      <c r="E27" s="89">
        <v>0</v>
      </c>
    </row>
    <row r="28" spans="1:5" x14ac:dyDescent="0.25">
      <c r="A28" s="88">
        <v>21</v>
      </c>
      <c r="B28" s="89">
        <v>38.79</v>
      </c>
      <c r="C28" s="89">
        <v>2.57</v>
      </c>
      <c r="D28" s="89"/>
      <c r="E28" s="89">
        <v>0</v>
      </c>
    </row>
    <row r="29" spans="1:5" x14ac:dyDescent="0.25">
      <c r="A29" s="88">
        <v>22</v>
      </c>
      <c r="B29" s="89">
        <v>38.42</v>
      </c>
      <c r="C29" s="89">
        <v>2.61</v>
      </c>
      <c r="D29" s="89"/>
      <c r="E29" s="89">
        <v>0</v>
      </c>
    </row>
    <row r="30" spans="1:5" x14ac:dyDescent="0.25">
      <c r="A30" s="88">
        <v>23</v>
      </c>
      <c r="B30" s="89">
        <v>38.04</v>
      </c>
      <c r="C30" s="89">
        <v>2.65</v>
      </c>
      <c r="D30" s="89"/>
      <c r="E30" s="89">
        <v>0</v>
      </c>
    </row>
    <row r="31" spans="1:5" x14ac:dyDescent="0.25">
      <c r="A31" s="88">
        <v>24</v>
      </c>
      <c r="B31" s="89">
        <v>37.659999999999997</v>
      </c>
      <c r="C31" s="89">
        <v>2.7</v>
      </c>
      <c r="D31" s="89"/>
      <c r="E31" s="89">
        <v>0</v>
      </c>
    </row>
    <row r="32" spans="1:5" x14ac:dyDescent="0.25">
      <c r="A32" s="88">
        <v>25</v>
      </c>
      <c r="B32" s="89">
        <v>37.270000000000003</v>
      </c>
      <c r="C32" s="89">
        <v>2.74</v>
      </c>
      <c r="D32" s="89"/>
      <c r="E32" s="89">
        <v>0</v>
      </c>
    </row>
    <row r="33" spans="1:5" x14ac:dyDescent="0.25">
      <c r="A33" s="88">
        <v>26</v>
      </c>
      <c r="B33" s="89">
        <v>36.869999999999997</v>
      </c>
      <c r="C33" s="89">
        <v>2.78</v>
      </c>
      <c r="D33" s="89"/>
      <c r="E33" s="89">
        <v>0</v>
      </c>
    </row>
    <row r="34" spans="1:5" x14ac:dyDescent="0.25">
      <c r="A34" s="88">
        <v>27</v>
      </c>
      <c r="B34" s="89">
        <v>36.47</v>
      </c>
      <c r="C34" s="89">
        <v>2.82</v>
      </c>
      <c r="D34" s="89"/>
      <c r="E34" s="89">
        <v>0</v>
      </c>
    </row>
    <row r="35" spans="1:5" x14ac:dyDescent="0.25">
      <c r="A35" s="88">
        <v>28</v>
      </c>
      <c r="B35" s="89">
        <v>36.06</v>
      </c>
      <c r="C35" s="89">
        <v>2.86</v>
      </c>
      <c r="D35" s="89"/>
      <c r="E35" s="89">
        <v>0</v>
      </c>
    </row>
    <row r="36" spans="1:5" x14ac:dyDescent="0.25">
      <c r="A36" s="88">
        <v>29</v>
      </c>
      <c r="B36" s="89">
        <v>35.65</v>
      </c>
      <c r="C36" s="89">
        <v>2.9</v>
      </c>
      <c r="D36" s="89"/>
      <c r="E36" s="89">
        <v>0</v>
      </c>
    </row>
    <row r="37" spans="1:5" x14ac:dyDescent="0.25">
      <c r="A37" s="88">
        <v>30</v>
      </c>
      <c r="B37" s="89">
        <v>35.229999999999997</v>
      </c>
      <c r="C37" s="89">
        <v>2.94</v>
      </c>
      <c r="D37" s="89"/>
      <c r="E37" s="89">
        <v>0</v>
      </c>
    </row>
    <row r="38" spans="1:5" x14ac:dyDescent="0.25">
      <c r="A38" s="88">
        <v>31</v>
      </c>
      <c r="B38" s="89">
        <v>34.799999999999997</v>
      </c>
      <c r="C38" s="89">
        <v>2.98</v>
      </c>
      <c r="D38" s="89"/>
      <c r="E38" s="89">
        <v>0</v>
      </c>
    </row>
    <row r="39" spans="1:5" x14ac:dyDescent="0.25">
      <c r="A39" s="88">
        <v>32</v>
      </c>
      <c r="B39" s="89">
        <v>34.369999999999997</v>
      </c>
      <c r="C39" s="89">
        <v>3.02</v>
      </c>
      <c r="D39" s="89"/>
      <c r="E39" s="89">
        <v>0</v>
      </c>
    </row>
    <row r="40" spans="1:5" x14ac:dyDescent="0.25">
      <c r="A40" s="88">
        <v>33</v>
      </c>
      <c r="B40" s="89">
        <v>33.93</v>
      </c>
      <c r="C40" s="89">
        <v>3.06</v>
      </c>
      <c r="D40" s="89"/>
      <c r="E40" s="89">
        <v>0</v>
      </c>
    </row>
    <row r="41" spans="1:5" x14ac:dyDescent="0.25">
      <c r="A41" s="88">
        <v>34</v>
      </c>
      <c r="B41" s="89">
        <v>33.479999999999997</v>
      </c>
      <c r="C41" s="89">
        <v>3.1</v>
      </c>
      <c r="D41" s="89"/>
      <c r="E41" s="89">
        <v>0</v>
      </c>
    </row>
    <row r="42" spans="1:5" x14ac:dyDescent="0.25">
      <c r="A42" s="88">
        <v>35</v>
      </c>
      <c r="B42" s="89">
        <v>33.03</v>
      </c>
      <c r="C42" s="89">
        <v>3.14</v>
      </c>
      <c r="D42" s="89"/>
      <c r="E42" s="89">
        <v>0</v>
      </c>
    </row>
    <row r="43" spans="1:5" x14ac:dyDescent="0.25">
      <c r="A43" s="88">
        <v>36</v>
      </c>
      <c r="B43" s="89">
        <v>32.57</v>
      </c>
      <c r="C43" s="89">
        <v>3.18</v>
      </c>
      <c r="D43" s="89"/>
      <c r="E43" s="89">
        <v>0</v>
      </c>
    </row>
    <row r="44" spans="1:5" x14ac:dyDescent="0.25">
      <c r="A44" s="88">
        <v>37</v>
      </c>
      <c r="B44" s="89">
        <v>32.11</v>
      </c>
      <c r="C44" s="89">
        <v>3.22</v>
      </c>
      <c r="D44" s="89"/>
      <c r="E44" s="89">
        <v>0</v>
      </c>
    </row>
    <row r="45" spans="1:5" x14ac:dyDescent="0.25">
      <c r="A45" s="88">
        <v>38</v>
      </c>
      <c r="B45" s="89">
        <v>31.63</v>
      </c>
      <c r="C45" s="89">
        <v>3.26</v>
      </c>
      <c r="D45" s="89"/>
      <c r="E45" s="89">
        <v>0</v>
      </c>
    </row>
    <row r="46" spans="1:5" x14ac:dyDescent="0.25">
      <c r="A46" s="88">
        <v>39</v>
      </c>
      <c r="B46" s="89">
        <v>31.15</v>
      </c>
      <c r="C46" s="89">
        <v>3.29</v>
      </c>
      <c r="D46" s="89"/>
      <c r="E46" s="89">
        <v>0</v>
      </c>
    </row>
    <row r="47" spans="1:5" x14ac:dyDescent="0.25">
      <c r="A47" s="88">
        <v>40</v>
      </c>
      <c r="B47" s="89">
        <v>30.67</v>
      </c>
      <c r="C47" s="89">
        <v>3.33</v>
      </c>
      <c r="D47" s="89"/>
      <c r="E47" s="89">
        <v>0</v>
      </c>
    </row>
    <row r="48" spans="1:5" x14ac:dyDescent="0.25">
      <c r="A48" s="88">
        <v>41</v>
      </c>
      <c r="B48" s="89">
        <v>30.18</v>
      </c>
      <c r="C48" s="89">
        <v>3.37</v>
      </c>
      <c r="D48" s="89"/>
      <c r="E48" s="89">
        <v>0</v>
      </c>
    </row>
    <row r="49" spans="1:5" x14ac:dyDescent="0.25">
      <c r="A49" s="88">
        <v>42</v>
      </c>
      <c r="B49" s="89">
        <v>29.68</v>
      </c>
      <c r="C49" s="89">
        <v>3.4</v>
      </c>
      <c r="D49" s="89"/>
      <c r="E49" s="89">
        <v>0</v>
      </c>
    </row>
    <row r="50" spans="1:5" x14ac:dyDescent="0.25">
      <c r="A50" s="88">
        <v>43</v>
      </c>
      <c r="B50" s="89">
        <v>29.17</v>
      </c>
      <c r="C50" s="89">
        <v>3.44</v>
      </c>
      <c r="D50" s="89"/>
      <c r="E50" s="89">
        <v>0</v>
      </c>
    </row>
    <row r="51" spans="1:5" x14ac:dyDescent="0.25">
      <c r="A51" s="88">
        <v>44</v>
      </c>
      <c r="B51" s="89">
        <v>28.66</v>
      </c>
      <c r="C51" s="89">
        <v>3.47</v>
      </c>
      <c r="D51" s="89"/>
      <c r="E51" s="89">
        <v>0</v>
      </c>
    </row>
    <row r="52" spans="1:5" x14ac:dyDescent="0.25">
      <c r="A52" s="88">
        <v>45</v>
      </c>
      <c r="B52" s="89">
        <v>28.14</v>
      </c>
      <c r="C52" s="89">
        <v>3.5</v>
      </c>
      <c r="D52" s="89"/>
      <c r="E52" s="89">
        <v>0</v>
      </c>
    </row>
    <row r="53" spans="1:5" x14ac:dyDescent="0.25">
      <c r="A53" s="88">
        <v>46</v>
      </c>
      <c r="B53" s="89">
        <v>27.62</v>
      </c>
      <c r="C53" s="89">
        <v>3.53</v>
      </c>
      <c r="D53" s="89"/>
      <c r="E53" s="89">
        <v>0</v>
      </c>
    </row>
    <row r="54" spans="1:5" x14ac:dyDescent="0.25">
      <c r="A54" s="88">
        <v>47</v>
      </c>
      <c r="B54" s="89">
        <v>27.09</v>
      </c>
      <c r="C54" s="89">
        <v>3.56</v>
      </c>
      <c r="D54" s="89"/>
      <c r="E54" s="89">
        <v>0</v>
      </c>
    </row>
    <row r="55" spans="1:5" x14ac:dyDescent="0.25">
      <c r="A55" s="88">
        <v>48</v>
      </c>
      <c r="B55" s="89">
        <v>26.55</v>
      </c>
      <c r="C55" s="89">
        <v>3.59</v>
      </c>
      <c r="D55" s="89"/>
      <c r="E55" s="89">
        <v>0</v>
      </c>
    </row>
    <row r="56" spans="1:5" x14ac:dyDescent="0.25">
      <c r="A56" s="88">
        <v>49</v>
      </c>
      <c r="B56" s="89">
        <v>26.01</v>
      </c>
      <c r="C56" s="89">
        <v>3.62</v>
      </c>
      <c r="D56" s="89"/>
      <c r="E56" s="89">
        <v>0</v>
      </c>
    </row>
    <row r="57" spans="1:5" x14ac:dyDescent="0.25">
      <c r="A57" s="88">
        <v>50</v>
      </c>
      <c r="B57" s="89">
        <v>25.46</v>
      </c>
      <c r="C57" s="89">
        <v>3.65</v>
      </c>
      <c r="D57" s="89"/>
      <c r="E57" s="89">
        <v>0</v>
      </c>
    </row>
    <row r="58" spans="1:5" x14ac:dyDescent="0.25">
      <c r="A58" s="88">
        <v>51</v>
      </c>
      <c r="B58" s="89">
        <v>24.9</v>
      </c>
      <c r="C58" s="89">
        <v>3.68</v>
      </c>
      <c r="D58" s="89"/>
      <c r="E58" s="89">
        <v>0</v>
      </c>
    </row>
    <row r="59" spans="1:5" x14ac:dyDescent="0.25">
      <c r="A59" s="88">
        <v>52</v>
      </c>
      <c r="B59" s="89">
        <v>24.34</v>
      </c>
      <c r="C59" s="89">
        <v>3.7</v>
      </c>
      <c r="D59" s="89"/>
      <c r="E59" s="89">
        <v>0</v>
      </c>
    </row>
    <row r="60" spans="1:5" x14ac:dyDescent="0.25">
      <c r="A60" s="88">
        <v>53</v>
      </c>
      <c r="B60" s="89">
        <v>23.76</v>
      </c>
      <c r="C60" s="89">
        <v>3.73</v>
      </c>
      <c r="D60" s="89"/>
      <c r="E60" s="89">
        <v>0</v>
      </c>
    </row>
    <row r="61" spans="1:5" x14ac:dyDescent="0.25">
      <c r="A61" s="88">
        <v>54</v>
      </c>
      <c r="B61" s="89">
        <v>23.18</v>
      </c>
      <c r="C61" s="89">
        <v>3.75</v>
      </c>
      <c r="D61" s="89"/>
      <c r="E61" s="89">
        <v>0</v>
      </c>
    </row>
    <row r="62" spans="1:5" x14ac:dyDescent="0.25">
      <c r="A62" s="88">
        <v>55</v>
      </c>
      <c r="B62" s="89">
        <v>22.6</v>
      </c>
      <c r="C62" s="89">
        <v>3.78</v>
      </c>
      <c r="D62" s="89"/>
      <c r="E62" s="89">
        <v>0</v>
      </c>
    </row>
    <row r="63" spans="1:5" x14ac:dyDescent="0.25">
      <c r="A63" s="88">
        <v>56</v>
      </c>
      <c r="B63" s="89">
        <v>22.01</v>
      </c>
      <c r="C63" s="89">
        <v>3.8</v>
      </c>
      <c r="D63" s="89"/>
      <c r="E63" s="89">
        <v>0</v>
      </c>
    </row>
    <row r="64" spans="1:5" x14ac:dyDescent="0.25">
      <c r="A64" s="88">
        <v>57</v>
      </c>
      <c r="B64" s="89">
        <v>21.41</v>
      </c>
      <c r="C64" s="89">
        <v>3.82</v>
      </c>
      <c r="D64" s="89"/>
      <c r="E64" s="89">
        <v>0</v>
      </c>
    </row>
    <row r="65" spans="1:5" x14ac:dyDescent="0.25">
      <c r="A65" s="88">
        <v>58</v>
      </c>
      <c r="B65" s="89">
        <v>20.8</v>
      </c>
      <c r="C65" s="89">
        <v>3.84</v>
      </c>
      <c r="D65" s="89"/>
      <c r="E65" s="89">
        <v>0</v>
      </c>
    </row>
    <row r="66" spans="1:5" x14ac:dyDescent="0.25">
      <c r="A66" s="88">
        <v>59</v>
      </c>
      <c r="B66" s="89">
        <v>20.190000000000001</v>
      </c>
      <c r="C66" s="89">
        <v>3.86</v>
      </c>
      <c r="D66" s="89"/>
      <c r="E66" s="89">
        <v>0</v>
      </c>
    </row>
    <row r="67" spans="1:5" x14ac:dyDescent="0.25">
      <c r="A67" s="88">
        <v>60</v>
      </c>
      <c r="B67" s="89">
        <v>19.579999999999998</v>
      </c>
      <c r="C67" s="89">
        <v>3.87</v>
      </c>
      <c r="D67" s="89"/>
      <c r="E67" s="89">
        <v>0</v>
      </c>
    </row>
    <row r="68" spans="1:5" x14ac:dyDescent="0.25">
      <c r="A68" s="88">
        <v>61</v>
      </c>
      <c r="B68" s="89">
        <v>18.96</v>
      </c>
      <c r="C68" s="89">
        <v>3.89</v>
      </c>
      <c r="D68" s="89"/>
      <c r="E68" s="89">
        <v>0</v>
      </c>
    </row>
    <row r="69" spans="1:5" x14ac:dyDescent="0.25">
      <c r="A69" s="88">
        <v>62</v>
      </c>
      <c r="B69" s="89">
        <v>18.329999999999998</v>
      </c>
      <c r="C69" s="89">
        <v>3.9</v>
      </c>
      <c r="D69" s="89"/>
      <c r="E69" s="89">
        <v>0</v>
      </c>
    </row>
    <row r="70" spans="1:5" x14ac:dyDescent="0.25">
      <c r="A70" s="88">
        <v>63</v>
      </c>
      <c r="B70" s="89">
        <v>17.71</v>
      </c>
      <c r="C70" s="89">
        <v>3.9</v>
      </c>
      <c r="D70" s="89"/>
      <c r="E70" s="89">
        <v>0</v>
      </c>
    </row>
    <row r="71" spans="1:5" x14ac:dyDescent="0.25">
      <c r="A71" s="88">
        <v>64</v>
      </c>
      <c r="B71" s="89">
        <v>17.079999999999998</v>
      </c>
      <c r="C71" s="89">
        <v>3.9</v>
      </c>
      <c r="D71" s="89"/>
      <c r="E71" s="89">
        <v>0</v>
      </c>
    </row>
    <row r="72" spans="1:5" x14ac:dyDescent="0.25">
      <c r="A72" s="88">
        <v>65</v>
      </c>
      <c r="B72" s="89">
        <v>16.45</v>
      </c>
      <c r="C72" s="89">
        <v>3.9</v>
      </c>
      <c r="D72" s="89"/>
      <c r="E72" s="89"/>
    </row>
    <row r="73" spans="1:5" x14ac:dyDescent="0.25">
      <c r="A73" s="88">
        <v>66</v>
      </c>
      <c r="B73" s="89">
        <v>15.83</v>
      </c>
      <c r="C73" s="89">
        <v>3.89</v>
      </c>
      <c r="D73" s="89"/>
      <c r="E73" s="89"/>
    </row>
    <row r="74" spans="1:5" x14ac:dyDescent="0.25">
      <c r="A74" s="88">
        <v>67</v>
      </c>
      <c r="B74" s="89">
        <v>15.2</v>
      </c>
      <c r="C74" s="89">
        <v>3.88</v>
      </c>
      <c r="D74" s="89"/>
      <c r="E74" s="89"/>
    </row>
    <row r="75" spans="1:5" x14ac:dyDescent="0.25">
      <c r="A75" s="88">
        <v>68</v>
      </c>
      <c r="B75" s="89">
        <v>14.57</v>
      </c>
      <c r="C75" s="89">
        <v>3.87</v>
      </c>
      <c r="D75" s="89"/>
      <c r="E75" s="89"/>
    </row>
    <row r="76" spans="1:5" x14ac:dyDescent="0.25">
      <c r="A76" s="88">
        <v>69</v>
      </c>
      <c r="B76" s="89">
        <v>13.94</v>
      </c>
      <c r="C76" s="89">
        <v>3.85</v>
      </c>
      <c r="D76" s="89">
        <v>2.6</v>
      </c>
      <c r="E76" s="89"/>
    </row>
    <row r="77" spans="1:5" x14ac:dyDescent="0.25">
      <c r="A77" s="88">
        <v>70</v>
      </c>
      <c r="B77" s="89">
        <v>13.32</v>
      </c>
      <c r="C77" s="89">
        <v>3.82</v>
      </c>
      <c r="D77" s="89">
        <v>2.41</v>
      </c>
      <c r="E77" s="89"/>
    </row>
    <row r="78" spans="1:5" x14ac:dyDescent="0.25">
      <c r="A78" s="88">
        <v>71</v>
      </c>
      <c r="B78" s="89">
        <v>12.7</v>
      </c>
      <c r="C78" s="89">
        <v>3.79</v>
      </c>
      <c r="D78" s="89">
        <v>2.2200000000000002</v>
      </c>
      <c r="E78" s="89"/>
    </row>
    <row r="79" spans="1:5" x14ac:dyDescent="0.25">
      <c r="A79" s="88">
        <v>72</v>
      </c>
      <c r="B79" s="89">
        <v>12.08</v>
      </c>
      <c r="C79" s="89">
        <v>3.75</v>
      </c>
      <c r="D79" s="89">
        <v>2.04</v>
      </c>
      <c r="E79" s="89"/>
    </row>
    <row r="80" spans="1:5" x14ac:dyDescent="0.25">
      <c r="A80" s="88">
        <v>73</v>
      </c>
      <c r="B80" s="89">
        <v>11.47</v>
      </c>
      <c r="C80" s="89">
        <v>3.71</v>
      </c>
      <c r="D80" s="89">
        <v>1.87</v>
      </c>
      <c r="E80" s="89"/>
    </row>
    <row r="81" spans="1:5" x14ac:dyDescent="0.25">
      <c r="A81" s="88">
        <v>74</v>
      </c>
      <c r="B81" s="89">
        <v>10.86</v>
      </c>
      <c r="C81" s="89">
        <v>3.56</v>
      </c>
      <c r="D81" s="89">
        <v>1.7</v>
      </c>
      <c r="E81" s="89"/>
    </row>
    <row r="82" spans="1:5" x14ac:dyDescent="0.25">
      <c r="A82" s="88">
        <v>75</v>
      </c>
      <c r="B82" s="89">
        <v>10.27</v>
      </c>
      <c r="C82" s="89">
        <v>3.41</v>
      </c>
      <c r="D82" s="89">
        <v>1.55</v>
      </c>
      <c r="E82" s="89"/>
    </row>
    <row r="83" spans="1:5" x14ac:dyDescent="0.25">
      <c r="A83" s="88">
        <v>76</v>
      </c>
      <c r="B83" s="89">
        <v>9.68</v>
      </c>
      <c r="C83" s="89">
        <v>3.35</v>
      </c>
      <c r="D83" s="89">
        <v>1.4</v>
      </c>
      <c r="E83" s="89"/>
    </row>
    <row r="84" spans="1:5" x14ac:dyDescent="0.25">
      <c r="A84" s="88">
        <v>77</v>
      </c>
      <c r="B84" s="89">
        <v>9.11</v>
      </c>
      <c r="C84" s="89">
        <v>3.28</v>
      </c>
      <c r="D84" s="89">
        <v>1.26</v>
      </c>
      <c r="E84" s="89"/>
    </row>
    <row r="85" spans="1:5" x14ac:dyDescent="0.25">
      <c r="A85" s="88">
        <v>78</v>
      </c>
      <c r="B85" s="89">
        <v>8.5500000000000007</v>
      </c>
      <c r="C85" s="89">
        <v>3.21</v>
      </c>
      <c r="D85" s="89">
        <v>1.1299999999999999</v>
      </c>
      <c r="E85" s="89"/>
    </row>
    <row r="86" spans="1:5" x14ac:dyDescent="0.25">
      <c r="A86" s="88">
        <v>79</v>
      </c>
      <c r="B86" s="89">
        <v>8</v>
      </c>
      <c r="C86" s="89">
        <v>2.95</v>
      </c>
      <c r="D86" s="89">
        <v>1</v>
      </c>
      <c r="E86" s="89"/>
    </row>
    <row r="87" spans="1:5" x14ac:dyDescent="0.25">
      <c r="A87" s="88">
        <v>80</v>
      </c>
      <c r="B87" s="89">
        <v>7.47</v>
      </c>
      <c r="C87" s="89">
        <v>2.7</v>
      </c>
      <c r="D87" s="89">
        <v>0.89</v>
      </c>
      <c r="E87" s="89"/>
    </row>
    <row r="88" spans="1:5" x14ac:dyDescent="0.25">
      <c r="A88" s="88">
        <v>81</v>
      </c>
      <c r="B88" s="89">
        <v>6.96</v>
      </c>
      <c r="C88" s="89">
        <v>2.61</v>
      </c>
      <c r="D88" s="89">
        <v>0.78</v>
      </c>
      <c r="E88" s="89"/>
    </row>
    <row r="89" spans="1:5" x14ac:dyDescent="0.25">
      <c r="A89" s="88">
        <v>82</v>
      </c>
      <c r="B89" s="89">
        <v>6.47</v>
      </c>
      <c r="C89" s="89">
        <v>2.52</v>
      </c>
      <c r="D89" s="89">
        <v>0.69</v>
      </c>
      <c r="E89" s="89"/>
    </row>
    <row r="90" spans="1:5" x14ac:dyDescent="0.25">
      <c r="A90" s="88">
        <v>83</v>
      </c>
      <c r="B90" s="89">
        <v>6</v>
      </c>
      <c r="C90" s="89">
        <v>2.42</v>
      </c>
      <c r="D90" s="89">
        <v>0.6</v>
      </c>
      <c r="E90" s="89"/>
    </row>
    <row r="91" spans="1:5" x14ac:dyDescent="0.25">
      <c r="A91" s="88">
        <v>84</v>
      </c>
      <c r="B91" s="89">
        <v>5.55</v>
      </c>
      <c r="C91" s="89">
        <v>2.1</v>
      </c>
      <c r="D91" s="89">
        <v>0.52</v>
      </c>
      <c r="E91" s="89"/>
    </row>
    <row r="92" spans="1:5" x14ac:dyDescent="0.25">
      <c r="A92" s="88">
        <v>85</v>
      </c>
      <c r="B92" s="89">
        <v>5.13</v>
      </c>
      <c r="C92" s="89">
        <v>1.79</v>
      </c>
      <c r="D92" s="89">
        <v>0.45</v>
      </c>
      <c r="E92" s="89"/>
    </row>
  </sheetData>
  <sheetProtection algorithmName="SHA-512" hashValue="GyTbmp1eNjJITLIpGYcafvdP4T1SSQiEpWoBWc1tSQPh3o1S6Pifoi4HE+WhdmoN7hPuRHFA+TArVvCstpbhRQ==" saltValue="iWWp/58ZFxGlJ3O0oZUxGg==" spinCount="100000" sheet="1" objects="1" scenarios="1"/>
  <conditionalFormatting sqref="A6:A21">
    <cfRule type="expression" dxfId="589" priority="3" stopIfTrue="1">
      <formula>MOD(ROW(),2)=0</formula>
    </cfRule>
    <cfRule type="expression" dxfId="588" priority="4" stopIfTrue="1">
      <formula>MOD(ROW(),2)&lt;&gt;0</formula>
    </cfRule>
  </conditionalFormatting>
  <conditionalFormatting sqref="A26:A92">
    <cfRule type="expression" dxfId="587" priority="13" stopIfTrue="1">
      <formula>MOD(ROW(),2)=0</formula>
    </cfRule>
    <cfRule type="expression" dxfId="586" priority="14" stopIfTrue="1">
      <formula>MOD(ROW(),2)&lt;&gt;0</formula>
    </cfRule>
  </conditionalFormatting>
  <conditionalFormatting sqref="B18:B21">
    <cfRule type="expression" dxfId="585" priority="11" stopIfTrue="1">
      <formula>MOD(ROW(),2)=0</formula>
    </cfRule>
    <cfRule type="expression" dxfId="584" priority="12" stopIfTrue="1">
      <formula>MOD(ROW(),2)&lt;&gt;0</formula>
    </cfRule>
  </conditionalFormatting>
  <conditionalFormatting sqref="B6:E21 B26:E92">
    <cfRule type="expression" dxfId="583" priority="23" stopIfTrue="1">
      <formula>MOD(ROW(),2)=0</formula>
    </cfRule>
    <cfRule type="expression" dxfId="582" priority="24" stopIfTrue="1">
      <formula>MOD(ROW(),2)&lt;&gt;0</formula>
    </cfRule>
  </conditionalFormatting>
  <conditionalFormatting sqref="C17:E17">
    <cfRule type="expression" dxfId="581" priority="9" stopIfTrue="1">
      <formula>MOD(ROW(),2)=0</formula>
    </cfRule>
    <cfRule type="expression" dxfId="580"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60"/>
  <sheetViews>
    <sheetView showGridLines="0" topLeftCell="A37" zoomScale="85" zoomScaleNormal="85" workbookViewId="0">
      <selection activeCell="B6" sqref="B6:D21"/>
    </sheetView>
  </sheetViews>
  <sheetFormatPr defaultRowHeight="13.2" x14ac:dyDescent="0.25"/>
  <cols>
    <col min="1" max="1" width="66.88671875" customWidth="1"/>
    <col min="2" max="2" width="3.109375" customWidth="1"/>
    <col min="3" max="3" width="62.5546875" customWidth="1"/>
    <col min="257" max="257" width="66.88671875" customWidth="1"/>
    <col min="258" max="258" width="3.109375" customWidth="1"/>
    <col min="259" max="259" width="62.5546875" customWidth="1"/>
    <col min="513" max="513" width="66.88671875" customWidth="1"/>
    <col min="514" max="514" width="3.109375" customWidth="1"/>
    <col min="515" max="515" width="62.5546875" customWidth="1"/>
    <col min="769" max="769" width="66.88671875" customWidth="1"/>
    <col min="770" max="770" width="3.109375" customWidth="1"/>
    <col min="771" max="771" width="62.5546875" customWidth="1"/>
    <col min="1025" max="1025" width="66.88671875" customWidth="1"/>
    <col min="1026" max="1026" width="3.109375" customWidth="1"/>
    <col min="1027" max="1027" width="62.5546875" customWidth="1"/>
    <col min="1281" max="1281" width="66.88671875" customWidth="1"/>
    <col min="1282" max="1282" width="3.109375" customWidth="1"/>
    <col min="1283" max="1283" width="62.5546875" customWidth="1"/>
    <col min="1537" max="1537" width="66.88671875" customWidth="1"/>
    <col min="1538" max="1538" width="3.109375" customWidth="1"/>
    <col min="1539" max="1539" width="62.5546875" customWidth="1"/>
    <col min="1793" max="1793" width="66.88671875" customWidth="1"/>
    <col min="1794" max="1794" width="3.109375" customWidth="1"/>
    <col min="1795" max="1795" width="62.5546875" customWidth="1"/>
    <col min="2049" max="2049" width="66.88671875" customWidth="1"/>
    <col min="2050" max="2050" width="3.109375" customWidth="1"/>
    <col min="2051" max="2051" width="62.5546875" customWidth="1"/>
    <col min="2305" max="2305" width="66.88671875" customWidth="1"/>
    <col min="2306" max="2306" width="3.109375" customWidth="1"/>
    <col min="2307" max="2307" width="62.5546875" customWidth="1"/>
    <col min="2561" max="2561" width="66.88671875" customWidth="1"/>
    <col min="2562" max="2562" width="3.109375" customWidth="1"/>
    <col min="2563" max="2563" width="62.5546875" customWidth="1"/>
    <col min="2817" max="2817" width="66.88671875" customWidth="1"/>
    <col min="2818" max="2818" width="3.109375" customWidth="1"/>
    <col min="2819" max="2819" width="62.5546875" customWidth="1"/>
    <col min="3073" max="3073" width="66.88671875" customWidth="1"/>
    <col min="3074" max="3074" width="3.109375" customWidth="1"/>
    <col min="3075" max="3075" width="62.5546875" customWidth="1"/>
    <col min="3329" max="3329" width="66.88671875" customWidth="1"/>
    <col min="3330" max="3330" width="3.109375" customWidth="1"/>
    <col min="3331" max="3331" width="62.5546875" customWidth="1"/>
    <col min="3585" max="3585" width="66.88671875" customWidth="1"/>
    <col min="3586" max="3586" width="3.109375" customWidth="1"/>
    <col min="3587" max="3587" width="62.5546875" customWidth="1"/>
    <col min="3841" max="3841" width="66.88671875" customWidth="1"/>
    <col min="3842" max="3842" width="3.109375" customWidth="1"/>
    <col min="3843" max="3843" width="62.5546875" customWidth="1"/>
    <col min="4097" max="4097" width="66.88671875" customWidth="1"/>
    <col min="4098" max="4098" width="3.109375" customWidth="1"/>
    <col min="4099" max="4099" width="62.5546875" customWidth="1"/>
    <col min="4353" max="4353" width="66.88671875" customWidth="1"/>
    <col min="4354" max="4354" width="3.109375" customWidth="1"/>
    <col min="4355" max="4355" width="62.5546875" customWidth="1"/>
    <col min="4609" max="4609" width="66.88671875" customWidth="1"/>
    <col min="4610" max="4610" width="3.109375" customWidth="1"/>
    <col min="4611" max="4611" width="62.5546875" customWidth="1"/>
    <col min="4865" max="4865" width="66.88671875" customWidth="1"/>
    <col min="4866" max="4866" width="3.109375" customWidth="1"/>
    <col min="4867" max="4867" width="62.5546875" customWidth="1"/>
    <col min="5121" max="5121" width="66.88671875" customWidth="1"/>
    <col min="5122" max="5122" width="3.109375" customWidth="1"/>
    <col min="5123" max="5123" width="62.5546875" customWidth="1"/>
    <col min="5377" max="5377" width="66.88671875" customWidth="1"/>
    <col min="5378" max="5378" width="3.109375" customWidth="1"/>
    <col min="5379" max="5379" width="62.5546875" customWidth="1"/>
    <col min="5633" max="5633" width="66.88671875" customWidth="1"/>
    <col min="5634" max="5634" width="3.109375" customWidth="1"/>
    <col min="5635" max="5635" width="62.5546875" customWidth="1"/>
    <col min="5889" max="5889" width="66.88671875" customWidth="1"/>
    <col min="5890" max="5890" width="3.109375" customWidth="1"/>
    <col min="5891" max="5891" width="62.5546875" customWidth="1"/>
    <col min="6145" max="6145" width="66.88671875" customWidth="1"/>
    <col min="6146" max="6146" width="3.109375" customWidth="1"/>
    <col min="6147" max="6147" width="62.5546875" customWidth="1"/>
    <col min="6401" max="6401" width="66.88671875" customWidth="1"/>
    <col min="6402" max="6402" width="3.109375" customWidth="1"/>
    <col min="6403" max="6403" width="62.5546875" customWidth="1"/>
    <col min="6657" max="6657" width="66.88671875" customWidth="1"/>
    <col min="6658" max="6658" width="3.109375" customWidth="1"/>
    <col min="6659" max="6659" width="62.5546875" customWidth="1"/>
    <col min="6913" max="6913" width="66.88671875" customWidth="1"/>
    <col min="6914" max="6914" width="3.109375" customWidth="1"/>
    <col min="6915" max="6915" width="62.5546875" customWidth="1"/>
    <col min="7169" max="7169" width="66.88671875" customWidth="1"/>
    <col min="7170" max="7170" width="3.109375" customWidth="1"/>
    <col min="7171" max="7171" width="62.5546875" customWidth="1"/>
    <col min="7425" max="7425" width="66.88671875" customWidth="1"/>
    <col min="7426" max="7426" width="3.109375" customWidth="1"/>
    <col min="7427" max="7427" width="62.5546875" customWidth="1"/>
    <col min="7681" max="7681" width="66.88671875" customWidth="1"/>
    <col min="7682" max="7682" width="3.109375" customWidth="1"/>
    <col min="7683" max="7683" width="62.5546875" customWidth="1"/>
    <col min="7937" max="7937" width="66.88671875" customWidth="1"/>
    <col min="7938" max="7938" width="3.109375" customWidth="1"/>
    <col min="7939" max="7939" width="62.5546875" customWidth="1"/>
    <col min="8193" max="8193" width="66.88671875" customWidth="1"/>
    <col min="8194" max="8194" width="3.109375" customWidth="1"/>
    <col min="8195" max="8195" width="62.5546875" customWidth="1"/>
    <col min="8449" max="8449" width="66.88671875" customWidth="1"/>
    <col min="8450" max="8450" width="3.109375" customWidth="1"/>
    <col min="8451" max="8451" width="62.5546875" customWidth="1"/>
    <col min="8705" max="8705" width="66.88671875" customWidth="1"/>
    <col min="8706" max="8706" width="3.109375" customWidth="1"/>
    <col min="8707" max="8707" width="62.5546875" customWidth="1"/>
    <col min="8961" max="8961" width="66.88671875" customWidth="1"/>
    <col min="8962" max="8962" width="3.109375" customWidth="1"/>
    <col min="8963" max="8963" width="62.5546875" customWidth="1"/>
    <col min="9217" max="9217" width="66.88671875" customWidth="1"/>
    <col min="9218" max="9218" width="3.109375" customWidth="1"/>
    <col min="9219" max="9219" width="62.5546875" customWidth="1"/>
    <col min="9473" max="9473" width="66.88671875" customWidth="1"/>
    <col min="9474" max="9474" width="3.109375" customWidth="1"/>
    <col min="9475" max="9475" width="62.5546875" customWidth="1"/>
    <col min="9729" max="9729" width="66.88671875" customWidth="1"/>
    <col min="9730" max="9730" width="3.109375" customWidth="1"/>
    <col min="9731" max="9731" width="62.5546875" customWidth="1"/>
    <col min="9985" max="9985" width="66.88671875" customWidth="1"/>
    <col min="9986" max="9986" width="3.109375" customWidth="1"/>
    <col min="9987" max="9987" width="62.5546875" customWidth="1"/>
    <col min="10241" max="10241" width="66.88671875" customWidth="1"/>
    <col min="10242" max="10242" width="3.109375" customWidth="1"/>
    <col min="10243" max="10243" width="62.5546875" customWidth="1"/>
    <col min="10497" max="10497" width="66.88671875" customWidth="1"/>
    <col min="10498" max="10498" width="3.109375" customWidth="1"/>
    <col min="10499" max="10499" width="62.5546875" customWidth="1"/>
    <col min="10753" max="10753" width="66.88671875" customWidth="1"/>
    <col min="10754" max="10754" width="3.109375" customWidth="1"/>
    <col min="10755" max="10755" width="62.5546875" customWidth="1"/>
    <col min="11009" max="11009" width="66.88671875" customWidth="1"/>
    <col min="11010" max="11010" width="3.109375" customWidth="1"/>
    <col min="11011" max="11011" width="62.5546875" customWidth="1"/>
    <col min="11265" max="11265" width="66.88671875" customWidth="1"/>
    <col min="11266" max="11266" width="3.109375" customWidth="1"/>
    <col min="11267" max="11267" width="62.5546875" customWidth="1"/>
    <col min="11521" max="11521" width="66.88671875" customWidth="1"/>
    <col min="11522" max="11522" width="3.109375" customWidth="1"/>
    <col min="11523" max="11523" width="62.5546875" customWidth="1"/>
    <col min="11777" max="11777" width="66.88671875" customWidth="1"/>
    <col min="11778" max="11778" width="3.109375" customWidth="1"/>
    <col min="11779" max="11779" width="62.5546875" customWidth="1"/>
    <col min="12033" max="12033" width="66.88671875" customWidth="1"/>
    <col min="12034" max="12034" width="3.109375" customWidth="1"/>
    <col min="12035" max="12035" width="62.5546875" customWidth="1"/>
    <col min="12289" max="12289" width="66.88671875" customWidth="1"/>
    <col min="12290" max="12290" width="3.109375" customWidth="1"/>
    <col min="12291" max="12291" width="62.5546875" customWidth="1"/>
    <col min="12545" max="12545" width="66.88671875" customWidth="1"/>
    <col min="12546" max="12546" width="3.109375" customWidth="1"/>
    <col min="12547" max="12547" width="62.5546875" customWidth="1"/>
    <col min="12801" max="12801" width="66.88671875" customWidth="1"/>
    <col min="12802" max="12802" width="3.109375" customWidth="1"/>
    <col min="12803" max="12803" width="62.5546875" customWidth="1"/>
    <col min="13057" max="13057" width="66.88671875" customWidth="1"/>
    <col min="13058" max="13058" width="3.109375" customWidth="1"/>
    <col min="13059" max="13059" width="62.5546875" customWidth="1"/>
    <col min="13313" max="13313" width="66.88671875" customWidth="1"/>
    <col min="13314" max="13314" width="3.109375" customWidth="1"/>
    <col min="13315" max="13315" width="62.5546875" customWidth="1"/>
    <col min="13569" max="13569" width="66.88671875" customWidth="1"/>
    <col min="13570" max="13570" width="3.109375" customWidth="1"/>
    <col min="13571" max="13571" width="62.5546875" customWidth="1"/>
    <col min="13825" max="13825" width="66.88671875" customWidth="1"/>
    <col min="13826" max="13826" width="3.109375" customWidth="1"/>
    <col min="13827" max="13827" width="62.5546875" customWidth="1"/>
    <col min="14081" max="14081" width="66.88671875" customWidth="1"/>
    <col min="14082" max="14082" width="3.109375" customWidth="1"/>
    <col min="14083" max="14083" width="62.5546875" customWidth="1"/>
    <col min="14337" max="14337" width="66.88671875" customWidth="1"/>
    <col min="14338" max="14338" width="3.109375" customWidth="1"/>
    <col min="14339" max="14339" width="62.5546875" customWidth="1"/>
    <col min="14593" max="14593" width="66.88671875" customWidth="1"/>
    <col min="14594" max="14594" width="3.109375" customWidth="1"/>
    <col min="14595" max="14595" width="62.5546875" customWidth="1"/>
    <col min="14849" max="14849" width="66.88671875" customWidth="1"/>
    <col min="14850" max="14850" width="3.109375" customWidth="1"/>
    <col min="14851" max="14851" width="62.5546875" customWidth="1"/>
    <col min="15105" max="15105" width="66.88671875" customWidth="1"/>
    <col min="15106" max="15106" width="3.109375" customWidth="1"/>
    <col min="15107" max="15107" width="62.5546875" customWidth="1"/>
    <col min="15361" max="15361" width="66.88671875" customWidth="1"/>
    <col min="15362" max="15362" width="3.109375" customWidth="1"/>
    <col min="15363" max="15363" width="62.5546875" customWidth="1"/>
    <col min="15617" max="15617" width="66.88671875" customWidth="1"/>
    <col min="15618" max="15618" width="3.109375" customWidth="1"/>
    <col min="15619" max="15619" width="62.5546875" customWidth="1"/>
    <col min="15873" max="15873" width="66.88671875" customWidth="1"/>
    <col min="15874" max="15874" width="3.109375" customWidth="1"/>
    <col min="15875" max="15875" width="62.5546875" customWidth="1"/>
    <col min="16129" max="16129" width="66.88671875" customWidth="1"/>
    <col min="16130" max="16130" width="3.109375" customWidth="1"/>
    <col min="16131" max="16131" width="62.5546875" customWidth="1"/>
  </cols>
  <sheetData>
    <row r="1" spans="1:12" ht="21" x14ac:dyDescent="0.4">
      <c r="A1" s="4" t="s">
        <v>0</v>
      </c>
      <c r="B1" s="4"/>
      <c r="C1" s="4"/>
      <c r="D1" s="4"/>
      <c r="E1" s="4"/>
      <c r="F1" s="4"/>
      <c r="G1" s="4"/>
      <c r="H1" s="4"/>
      <c r="I1" s="4"/>
      <c r="J1" s="4"/>
      <c r="K1" s="4"/>
      <c r="L1" s="4"/>
    </row>
    <row r="2" spans="1:12" ht="15.6" x14ac:dyDescent="0.3">
      <c r="A2" s="5" t="str">
        <f>IF(title="&gt; Enter workbook title here","Enter workbook title in Cover sheet",title)</f>
        <v>Fire_S - Consolidated Factor Spreadsheet</v>
      </c>
      <c r="B2" s="5"/>
      <c r="C2" s="5"/>
      <c r="D2" s="5"/>
      <c r="E2" s="5"/>
      <c r="F2" s="5"/>
      <c r="G2" s="5"/>
      <c r="H2" s="5"/>
      <c r="I2" s="5"/>
      <c r="J2" s="5"/>
      <c r="K2" s="5"/>
      <c r="L2" s="5"/>
    </row>
    <row r="3" spans="1:12" ht="15.6" x14ac:dyDescent="0.3">
      <c r="A3" s="6" t="s">
        <v>34</v>
      </c>
      <c r="B3" s="6"/>
      <c r="C3" s="6"/>
      <c r="D3" s="6"/>
      <c r="E3" s="6"/>
      <c r="F3" s="6"/>
      <c r="G3" s="6"/>
      <c r="H3" s="6"/>
      <c r="I3" s="6"/>
      <c r="J3" s="6"/>
      <c r="K3" s="6"/>
      <c r="L3" s="6"/>
    </row>
    <row r="4" spans="1:12" x14ac:dyDescent="0.25">
      <c r="A4" s="7" t="str">
        <f ca="1">CELL("filename",A1)</f>
        <v>https://tris42.sharepoint.com/sites/gad_wrkgrp_actuarial/pspsactuarialwork/Central/Factors &amp; Guidance/2024 Guidance Review/4. Online portal/3. Import data/3. Factor tables/0_client_friendly/Ready to be uploaded/2025-03/[Fire S Consolidated Factors 2025-02.xlsx]Version Control</v>
      </c>
      <c r="B4" s="7"/>
    </row>
    <row r="5" spans="1:12" x14ac:dyDescent="0.25">
      <c r="E5" s="8"/>
      <c r="F5" s="8"/>
      <c r="G5" s="8"/>
    </row>
    <row r="6" spans="1:12" x14ac:dyDescent="0.25">
      <c r="A6" s="1" t="s">
        <v>35</v>
      </c>
      <c r="B6" s="1"/>
    </row>
    <row r="8" spans="1:12" x14ac:dyDescent="0.25">
      <c r="A8" s="25" t="s">
        <v>36</v>
      </c>
      <c r="B8" s="25"/>
    </row>
    <row r="9" spans="1:12" x14ac:dyDescent="0.25">
      <c r="A9" s="25" t="s">
        <v>37</v>
      </c>
      <c r="B9" s="25"/>
    </row>
    <row r="11" spans="1:12" x14ac:dyDescent="0.25">
      <c r="A11" s="112" t="s">
        <v>38</v>
      </c>
      <c r="B11" s="112"/>
      <c r="C11" s="114"/>
    </row>
    <row r="12" spans="1:12" x14ac:dyDescent="0.25">
      <c r="A12" s="113" t="s">
        <v>39</v>
      </c>
      <c r="B12" s="115"/>
      <c r="C12" s="116" t="s">
        <v>40</v>
      </c>
    </row>
    <row r="13" spans="1:12" x14ac:dyDescent="0.25">
      <c r="A13" s="113" t="s">
        <v>41</v>
      </c>
      <c r="B13" s="115"/>
      <c r="C13" s="116" t="s">
        <v>42</v>
      </c>
    </row>
    <row r="14" spans="1:12" x14ac:dyDescent="0.25">
      <c r="A14" s="113" t="s">
        <v>43</v>
      </c>
      <c r="B14" s="115"/>
      <c r="C14" s="116" t="s">
        <v>44</v>
      </c>
    </row>
    <row r="15" spans="1:12" x14ac:dyDescent="0.25">
      <c r="A15" s="113" t="s">
        <v>45</v>
      </c>
      <c r="B15" s="115"/>
      <c r="C15" s="116" t="s">
        <v>46</v>
      </c>
    </row>
    <row r="16" spans="1:12" x14ac:dyDescent="0.25">
      <c r="A16" s="113" t="s">
        <v>47</v>
      </c>
      <c r="B16" s="115"/>
      <c r="C16" s="116" t="s">
        <v>48</v>
      </c>
    </row>
    <row r="17" spans="1:3" x14ac:dyDescent="0.25">
      <c r="A17" s="113" t="s">
        <v>49</v>
      </c>
      <c r="B17" s="115"/>
      <c r="C17" s="116" t="s">
        <v>50</v>
      </c>
    </row>
    <row r="18" spans="1:3" x14ac:dyDescent="0.25">
      <c r="A18" s="113" t="s">
        <v>51</v>
      </c>
      <c r="B18" s="115"/>
      <c r="C18" s="116" t="s">
        <v>52</v>
      </c>
    </row>
    <row r="19" spans="1:3" x14ac:dyDescent="0.25">
      <c r="A19" s="113" t="s">
        <v>53</v>
      </c>
      <c r="B19" s="115"/>
      <c r="C19" s="116" t="s">
        <v>54</v>
      </c>
    </row>
    <row r="20" spans="1:3" x14ac:dyDescent="0.25">
      <c r="A20" s="113" t="s">
        <v>55</v>
      </c>
      <c r="B20" s="115"/>
      <c r="C20" s="117" t="s">
        <v>40</v>
      </c>
    </row>
    <row r="21" spans="1:3" x14ac:dyDescent="0.25">
      <c r="A21" s="113" t="s">
        <v>56</v>
      </c>
      <c r="B21" s="115"/>
      <c r="C21" s="116" t="s">
        <v>40</v>
      </c>
    </row>
    <row r="22" spans="1:3" ht="26.25" customHeight="1" x14ac:dyDescent="0.25">
      <c r="A22" s="113" t="s">
        <v>57</v>
      </c>
      <c r="B22" s="115"/>
      <c r="C22" s="116" t="s">
        <v>40</v>
      </c>
    </row>
    <row r="23" spans="1:3" x14ac:dyDescent="0.25">
      <c r="A23" s="113" t="s">
        <v>58</v>
      </c>
      <c r="B23" s="114"/>
      <c r="C23" s="118">
        <v>43680.654166666667</v>
      </c>
    </row>
    <row r="24" spans="1:3" x14ac:dyDescent="0.25">
      <c r="A24" s="113" t="s">
        <v>59</v>
      </c>
      <c r="B24" s="114"/>
      <c r="C24" s="116"/>
    </row>
    <row r="25" spans="1:3" x14ac:dyDescent="0.25">
      <c r="C25" s="25"/>
    </row>
    <row r="26" spans="1:3" x14ac:dyDescent="0.25">
      <c r="A26" s="112" t="s">
        <v>60</v>
      </c>
      <c r="B26" s="114"/>
      <c r="C26" s="114"/>
    </row>
    <row r="27" spans="1:3" x14ac:dyDescent="0.25">
      <c r="A27" s="114" t="s">
        <v>39</v>
      </c>
      <c r="B27" s="114"/>
      <c r="C27" s="115"/>
    </row>
    <row r="28" spans="1:3" x14ac:dyDescent="0.25">
      <c r="A28" s="114" t="s">
        <v>61</v>
      </c>
      <c r="B28" s="114"/>
      <c r="C28" s="115" t="s">
        <v>62</v>
      </c>
    </row>
    <row r="29" spans="1:3" x14ac:dyDescent="0.25">
      <c r="A29" s="114" t="s">
        <v>57</v>
      </c>
      <c r="B29" s="114"/>
      <c r="C29" s="114"/>
    </row>
    <row r="30" spans="1:3" x14ac:dyDescent="0.25">
      <c r="A30" s="114" t="s">
        <v>63</v>
      </c>
      <c r="B30" s="114"/>
      <c r="C30" s="119">
        <v>45070</v>
      </c>
    </row>
    <row r="31" spans="1:3" x14ac:dyDescent="0.25">
      <c r="C31" s="25"/>
    </row>
    <row r="32" spans="1:3" x14ac:dyDescent="0.25">
      <c r="A32" s="112" t="s">
        <v>64</v>
      </c>
      <c r="B32" s="114"/>
      <c r="C32" s="114"/>
    </row>
    <row r="33" spans="1:3" x14ac:dyDescent="0.25">
      <c r="A33" s="114" t="s">
        <v>39</v>
      </c>
      <c r="B33" s="114"/>
      <c r="C33" s="115"/>
    </row>
    <row r="34" spans="1:3" ht="26.4" x14ac:dyDescent="0.25">
      <c r="A34" s="114" t="s">
        <v>61</v>
      </c>
      <c r="B34" s="114"/>
      <c r="C34" s="115" t="s">
        <v>65</v>
      </c>
    </row>
    <row r="35" spans="1:3" x14ac:dyDescent="0.25">
      <c r="A35" s="114" t="s">
        <v>66</v>
      </c>
      <c r="B35" s="114"/>
      <c r="C35" s="115" t="s">
        <v>67</v>
      </c>
    </row>
    <row r="36" spans="1:3" x14ac:dyDescent="0.25">
      <c r="A36" s="120" t="s">
        <v>57</v>
      </c>
      <c r="B36" s="114"/>
      <c r="C36" s="114"/>
    </row>
    <row r="37" spans="1:3" x14ac:dyDescent="0.25">
      <c r="A37" s="114" t="s">
        <v>63</v>
      </c>
      <c r="B37" s="114"/>
      <c r="C37" s="121">
        <v>45106</v>
      </c>
    </row>
    <row r="38" spans="1:3" x14ac:dyDescent="0.25">
      <c r="C38" s="25"/>
    </row>
    <row r="39" spans="1:3" x14ac:dyDescent="0.25">
      <c r="A39" s="112" t="s">
        <v>68</v>
      </c>
      <c r="B39" s="114"/>
      <c r="C39" s="114"/>
    </row>
    <row r="40" spans="1:3" x14ac:dyDescent="0.25">
      <c r="A40" s="114" t="s">
        <v>39</v>
      </c>
      <c r="B40" s="114"/>
      <c r="C40" s="115"/>
    </row>
    <row r="41" spans="1:3" ht="39.6" x14ac:dyDescent="0.25">
      <c r="A41" s="114" t="s">
        <v>61</v>
      </c>
      <c r="B41" s="114"/>
      <c r="C41" s="115" t="s">
        <v>69</v>
      </c>
    </row>
    <row r="42" spans="1:3" x14ac:dyDescent="0.25">
      <c r="A42" s="114" t="s">
        <v>66</v>
      </c>
      <c r="B42" s="114"/>
      <c r="C42" s="115"/>
    </row>
    <row r="43" spans="1:3" x14ac:dyDescent="0.25">
      <c r="A43" s="120" t="s">
        <v>57</v>
      </c>
      <c r="B43" s="114"/>
      <c r="C43" s="114"/>
    </row>
    <row r="44" spans="1:3" x14ac:dyDescent="0.25">
      <c r="A44" s="114" t="s">
        <v>63</v>
      </c>
      <c r="B44" s="114"/>
      <c r="C44" s="121">
        <v>45135</v>
      </c>
    </row>
    <row r="45" spans="1:3" x14ac:dyDescent="0.25">
      <c r="A45" s="145"/>
      <c r="B45" s="145"/>
      <c r="C45" s="145"/>
    </row>
    <row r="46" spans="1:3" x14ac:dyDescent="0.25">
      <c r="A46" s="146" t="s">
        <v>70</v>
      </c>
      <c r="B46" s="145"/>
      <c r="C46" s="147"/>
    </row>
    <row r="47" spans="1:3" x14ac:dyDescent="0.25">
      <c r="A47" s="145" t="s">
        <v>39</v>
      </c>
      <c r="B47" s="145"/>
      <c r="C47" s="147"/>
    </row>
    <row r="48" spans="1:3" ht="26.4" x14ac:dyDescent="0.25">
      <c r="A48" s="145" t="s">
        <v>61</v>
      </c>
      <c r="B48" s="145"/>
      <c r="C48" s="147" t="s">
        <v>71</v>
      </c>
    </row>
    <row r="49" spans="1:3" ht="26.4" x14ac:dyDescent="0.25">
      <c r="A49" s="145" t="s">
        <v>66</v>
      </c>
      <c r="B49" s="145"/>
      <c r="C49" s="147" t="s">
        <v>72</v>
      </c>
    </row>
    <row r="50" spans="1:3" x14ac:dyDescent="0.25">
      <c r="A50" s="145" t="s">
        <v>57</v>
      </c>
      <c r="B50" s="145"/>
      <c r="C50" s="145"/>
    </row>
    <row r="51" spans="1:3" x14ac:dyDescent="0.25">
      <c r="A51" s="145" t="s">
        <v>63</v>
      </c>
      <c r="B51" s="145"/>
      <c r="C51" s="148">
        <v>45196</v>
      </c>
    </row>
    <row r="54" spans="1:3" x14ac:dyDescent="0.25">
      <c r="A54" s="1" t="s">
        <v>73</v>
      </c>
    </row>
    <row r="55" spans="1:3" x14ac:dyDescent="0.25">
      <c r="A55" t="s">
        <v>39</v>
      </c>
      <c r="C55" s="153"/>
    </row>
    <row r="56" spans="1:3" x14ac:dyDescent="0.25">
      <c r="A56" t="s">
        <v>61</v>
      </c>
      <c r="C56" s="26"/>
    </row>
    <row r="57" spans="1:3" x14ac:dyDescent="0.25">
      <c r="A57" t="s">
        <v>66</v>
      </c>
      <c r="C57" s="25" t="s">
        <v>74</v>
      </c>
    </row>
    <row r="58" spans="1:3" x14ac:dyDescent="0.25">
      <c r="A58" t="s">
        <v>57</v>
      </c>
    </row>
    <row r="59" spans="1:3" ht="26.4" x14ac:dyDescent="0.25">
      <c r="A59" t="s">
        <v>75</v>
      </c>
      <c r="C59" s="26" t="s">
        <v>76</v>
      </c>
    </row>
    <row r="60" spans="1:3" x14ac:dyDescent="0.25">
      <c r="A60" t="s">
        <v>63</v>
      </c>
      <c r="C60" s="8">
        <v>45688</v>
      </c>
    </row>
  </sheetData>
  <sheetProtection algorithmName="SHA-512" hashValue="jgPJ5y+bV/8LdlT9S/LO7P/HV07jM/iVEhsizqj4NMWvO52D1G/0QoG22+TKtOaVnvP7Ynq4fsAcYgxVAHh/tA==" saltValue="RXILirfsPQ9UkVEdx11IFg==" spinCount="100000" sheet="1" objects="1" scenarios="1"/>
  <conditionalFormatting sqref="A11:A24 A26:A30">
    <cfRule type="expression" dxfId="840" priority="25" stopIfTrue="1">
      <formula>MOD(ROW(),2)=0</formula>
    </cfRule>
    <cfRule type="expression" dxfId="839" priority="26" stopIfTrue="1">
      <formula>MOD(ROW(),2)&lt;&gt;0</formula>
    </cfRule>
  </conditionalFormatting>
  <conditionalFormatting sqref="A32:A37">
    <cfRule type="expression" dxfId="838" priority="38" stopIfTrue="1">
      <formula>MOD(ROW(),2)&lt;&gt;0</formula>
    </cfRule>
    <cfRule type="expression" dxfId="837" priority="37" stopIfTrue="1">
      <formula>MOD(ROW(),2)=0</formula>
    </cfRule>
  </conditionalFormatting>
  <conditionalFormatting sqref="A39:A44">
    <cfRule type="expression" dxfId="836" priority="5" stopIfTrue="1">
      <formula>MOD(ROW(),2)=0</formula>
    </cfRule>
    <cfRule type="expression" dxfId="835" priority="6" stopIfTrue="1">
      <formula>MOD(ROW(),2)&lt;&gt;0</formula>
    </cfRule>
  </conditionalFormatting>
  <conditionalFormatting sqref="A46:A47">
    <cfRule type="expression" priority="15" stopIfTrue="1">
      <formula>MOD(ROW(),2)=0</formula>
    </cfRule>
    <cfRule type="expression" priority="16" stopIfTrue="1">
      <formula>MOD(ROW(),2)&lt;&gt;0</formula>
    </cfRule>
  </conditionalFormatting>
  <conditionalFormatting sqref="A46:A51">
    <cfRule type="expression" dxfId="834" priority="13" stopIfTrue="1">
      <formula>MOD(ROW(),2)=0</formula>
    </cfRule>
    <cfRule type="expression" dxfId="833" priority="14" stopIfTrue="1">
      <formula>MOD(ROW(),2)&lt;&gt;0</formula>
    </cfRule>
  </conditionalFormatting>
  <conditionalFormatting sqref="A54:A60">
    <cfRule type="expression" dxfId="832" priority="2" stopIfTrue="1">
      <formula>MOD(ROW(),2)&lt;&gt;0</formula>
    </cfRule>
    <cfRule type="expression" dxfId="831" priority="1" stopIfTrue="1">
      <formula>MOD(ROW(),2)=0</formula>
    </cfRule>
  </conditionalFormatting>
  <conditionalFormatting sqref="A11:C24">
    <cfRule type="expression" priority="42" stopIfTrue="1">
      <formula>MOD(ROW(),2)&lt;&gt;0</formula>
    </cfRule>
    <cfRule type="expression" priority="41" stopIfTrue="1">
      <formula>MOD(ROW(),2)=0</formula>
    </cfRule>
    <cfRule type="expression" priority="29" stopIfTrue="1">
      <formula>MOD(ROW(),2)=0</formula>
    </cfRule>
    <cfRule type="expression" priority="30" stopIfTrue="1">
      <formula>MOD(ROW(),2)&lt;&gt;0</formula>
    </cfRule>
  </conditionalFormatting>
  <conditionalFormatting sqref="A26:C30">
    <cfRule type="expression" priority="45" stopIfTrue="1">
      <formula>MOD(ROW(),2)=0</formula>
    </cfRule>
    <cfRule type="expression" priority="46" stopIfTrue="1">
      <formula>MOD(ROW(),2)&lt;&gt;0</formula>
    </cfRule>
    <cfRule type="expression" priority="34" stopIfTrue="1">
      <formula>MOD(ROW(),2)&lt;&gt;0</formula>
    </cfRule>
    <cfRule type="expression" priority="33" stopIfTrue="1">
      <formula>MOD(ROW(),2)=0</formula>
    </cfRule>
  </conditionalFormatting>
  <conditionalFormatting sqref="A32:C37">
    <cfRule type="expression" priority="49" stopIfTrue="1">
      <formula>MOD(ROW(),2)=0</formula>
    </cfRule>
    <cfRule type="expression" priority="50" stopIfTrue="1">
      <formula>MOD(ROW(),2)&lt;&gt;0</formula>
    </cfRule>
  </conditionalFormatting>
  <conditionalFormatting sqref="A39:C44">
    <cfRule type="expression" priority="9" stopIfTrue="1">
      <formula>MOD(ROW(),2)=0</formula>
    </cfRule>
    <cfRule type="expression" priority="10" stopIfTrue="1">
      <formula>MOD(ROW(),2)&lt;&gt;0</formula>
    </cfRule>
  </conditionalFormatting>
  <conditionalFormatting sqref="B11:C24 B26:C30">
    <cfRule type="expression" dxfId="830" priority="27" stopIfTrue="1">
      <formula>MOD(ROW(),2)=0</formula>
    </cfRule>
    <cfRule type="expression" dxfId="829" priority="28" stopIfTrue="1">
      <formula>MOD(ROW(),2)&lt;&gt;0</formula>
    </cfRule>
  </conditionalFormatting>
  <conditionalFormatting sqref="B32:C37">
    <cfRule type="expression" dxfId="828" priority="40" stopIfTrue="1">
      <formula>MOD(ROW(),2)&lt;&gt;0</formula>
    </cfRule>
    <cfRule type="expression" dxfId="827" priority="39" stopIfTrue="1">
      <formula>MOD(ROW(),2)=0</formula>
    </cfRule>
  </conditionalFormatting>
  <conditionalFormatting sqref="B39:C44">
    <cfRule type="expression" dxfId="826" priority="7" stopIfTrue="1">
      <formula>MOD(ROW(),2)=0</formula>
    </cfRule>
    <cfRule type="expression" dxfId="825" priority="8" stopIfTrue="1">
      <formula>MOD(ROW(),2)&lt;&gt;0</formula>
    </cfRule>
  </conditionalFormatting>
  <conditionalFormatting sqref="B46:C51">
    <cfRule type="expression" dxfId="824" priority="20" stopIfTrue="1">
      <formula>MOD(ROW(),2)&lt;&gt;0</formula>
    </cfRule>
    <cfRule type="expression" dxfId="823" priority="19" stopIfTrue="1">
      <formula>MOD(ROW(),2)=0</formula>
    </cfRule>
  </conditionalFormatting>
  <conditionalFormatting sqref="B54:C60">
    <cfRule type="expression" dxfId="822" priority="4" stopIfTrue="1">
      <formula>MOD(ROW(),2)&lt;&gt;0</formula>
    </cfRule>
    <cfRule type="expression" dxfId="821" priority="3" stopIfTrue="1">
      <formula>MOD(ROW(),2)=0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8"/>
  <dimension ref="A1:I65"/>
  <sheetViews>
    <sheetView showGridLines="0" zoomScale="85" zoomScaleNormal="85" workbookViewId="0">
      <selection activeCell="A4" sqref="A4"/>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PenCE - x-305</v>
      </c>
      <c r="B3" s="42"/>
      <c r="C3" s="42"/>
      <c r="D3" s="42"/>
      <c r="E3" s="42"/>
      <c r="F3" s="42"/>
      <c r="G3" s="42"/>
      <c r="H3" s="42"/>
      <c r="I3" s="42"/>
    </row>
    <row r="4" spans="1:9" x14ac:dyDescent="0.25">
      <c r="A4" s="44"/>
    </row>
    <row r="6" spans="1:9" x14ac:dyDescent="0.25">
      <c r="A6" s="75" t="s">
        <v>484</v>
      </c>
      <c r="B6" s="162" t="s">
        <v>485</v>
      </c>
      <c r="C6" s="162"/>
      <c r="D6" s="162"/>
    </row>
    <row r="7" spans="1:9" x14ac:dyDescent="0.25">
      <c r="A7" s="76" t="s">
        <v>486</v>
      </c>
      <c r="B7" s="162" t="s">
        <v>81</v>
      </c>
      <c r="C7" s="162"/>
      <c r="D7" s="162"/>
    </row>
    <row r="8" spans="1:9" x14ac:dyDescent="0.25">
      <c r="A8" s="76" t="s">
        <v>282</v>
      </c>
      <c r="B8" s="162">
        <v>2006</v>
      </c>
      <c r="C8" s="162"/>
      <c r="D8" s="162"/>
    </row>
    <row r="9" spans="1:9" x14ac:dyDescent="0.25">
      <c r="A9" s="76" t="s">
        <v>283</v>
      </c>
      <c r="B9" s="162" t="s">
        <v>324</v>
      </c>
      <c r="C9" s="162"/>
      <c r="D9" s="162"/>
    </row>
    <row r="10" spans="1:9" x14ac:dyDescent="0.25">
      <c r="A10" s="76" t="s">
        <v>6</v>
      </c>
      <c r="B10" s="162" t="s">
        <v>325</v>
      </c>
      <c r="C10" s="162"/>
      <c r="D10" s="162"/>
    </row>
    <row r="11" spans="1:9" x14ac:dyDescent="0.25">
      <c r="A11" s="76" t="s">
        <v>284</v>
      </c>
      <c r="B11" s="162" t="s">
        <v>294</v>
      </c>
      <c r="C11" s="162"/>
      <c r="D11" s="162"/>
    </row>
    <row r="12" spans="1:9" x14ac:dyDescent="0.25">
      <c r="A12" s="76" t="s">
        <v>285</v>
      </c>
      <c r="B12" s="162" t="s">
        <v>295</v>
      </c>
      <c r="C12" s="162"/>
      <c r="D12" s="162"/>
    </row>
    <row r="13" spans="1:9" x14ac:dyDescent="0.25">
      <c r="A13" s="76" t="s">
        <v>493</v>
      </c>
      <c r="B13" s="162">
        <v>1</v>
      </c>
      <c r="C13" s="162"/>
      <c r="D13" s="162"/>
    </row>
    <row r="14" spans="1:9" x14ac:dyDescent="0.25">
      <c r="A14" s="76" t="s">
        <v>287</v>
      </c>
      <c r="B14" s="162">
        <v>305</v>
      </c>
      <c r="C14" s="162"/>
      <c r="D14" s="162"/>
    </row>
    <row r="15" spans="1:9" x14ac:dyDescent="0.25">
      <c r="A15" s="76" t="s">
        <v>496</v>
      </c>
      <c r="B15" s="162" t="s">
        <v>597</v>
      </c>
      <c r="C15" s="162"/>
      <c r="D15" s="162"/>
    </row>
    <row r="16" spans="1:9" x14ac:dyDescent="0.25">
      <c r="A16" s="76" t="s">
        <v>288</v>
      </c>
      <c r="B16" s="162" t="s">
        <v>326</v>
      </c>
      <c r="C16" s="162"/>
      <c r="D16" s="162"/>
    </row>
    <row r="17" spans="1:4" ht="51" customHeight="1" x14ac:dyDescent="0.25">
      <c r="A17" s="76" t="s">
        <v>568</v>
      </c>
      <c r="B17" s="162"/>
      <c r="C17" s="162"/>
      <c r="D17" s="162"/>
    </row>
    <row r="18" spans="1:4" x14ac:dyDescent="0.25">
      <c r="A18" s="76" t="s">
        <v>500</v>
      </c>
      <c r="B18" s="164">
        <v>45070</v>
      </c>
      <c r="C18" s="162"/>
      <c r="D18" s="162"/>
    </row>
    <row r="19" spans="1:4" x14ac:dyDescent="0.25">
      <c r="A19" s="76" t="s">
        <v>290</v>
      </c>
      <c r="B19" s="164">
        <v>45014</v>
      </c>
      <c r="C19" s="162"/>
      <c r="D19" s="162"/>
    </row>
    <row r="20" spans="1:4" x14ac:dyDescent="0.25">
      <c r="A20" s="76" t="s">
        <v>291</v>
      </c>
      <c r="B20" s="162" t="s">
        <v>298</v>
      </c>
      <c r="C20" s="162"/>
      <c r="D20" s="162"/>
    </row>
    <row r="21" spans="1:4" x14ac:dyDescent="0.25">
      <c r="A21" s="150" t="s">
        <v>569</v>
      </c>
      <c r="B21" s="162" t="s">
        <v>297</v>
      </c>
      <c r="C21" s="162"/>
      <c r="D21" s="162"/>
    </row>
    <row r="23" spans="1:4" x14ac:dyDescent="0.25">
      <c r="B23" s="91" t="str">
        <f>HYPERLINK("#'Factor List'!A1","Back to Factor List")</f>
        <v>Back to Factor List</v>
      </c>
    </row>
    <row r="24" spans="1:4" x14ac:dyDescent="0.25">
      <c r="B24" s="91" t="str">
        <f>HYPERLINK("#'Assumptions'!A1","Assumptions")</f>
        <v>Assumptions</v>
      </c>
    </row>
    <row r="26" spans="1:4" ht="39.6" x14ac:dyDescent="0.25">
      <c r="A26" s="87" t="s">
        <v>570</v>
      </c>
      <c r="B26" s="87" t="s">
        <v>591</v>
      </c>
      <c r="C26" s="87" t="s">
        <v>572</v>
      </c>
      <c r="D26" s="87" t="s">
        <v>593</v>
      </c>
    </row>
    <row r="27" spans="1:4" x14ac:dyDescent="0.25">
      <c r="A27" s="88">
        <v>55</v>
      </c>
      <c r="B27" s="89">
        <v>22.65</v>
      </c>
      <c r="C27" s="89">
        <v>4.03</v>
      </c>
      <c r="D27" s="89"/>
    </row>
    <row r="28" spans="1:4" x14ac:dyDescent="0.25">
      <c r="A28" s="88">
        <v>56</v>
      </c>
      <c r="B28" s="89">
        <v>22.06</v>
      </c>
      <c r="C28" s="89">
        <v>4.05</v>
      </c>
      <c r="D28" s="89"/>
    </row>
    <row r="29" spans="1:4" x14ac:dyDescent="0.25">
      <c r="A29" s="88">
        <v>57</v>
      </c>
      <c r="B29" s="89">
        <v>21.46</v>
      </c>
      <c r="C29" s="89">
        <v>4.07</v>
      </c>
      <c r="D29" s="89"/>
    </row>
    <row r="30" spans="1:4" x14ac:dyDescent="0.25">
      <c r="A30" s="88">
        <v>58</v>
      </c>
      <c r="B30" s="89">
        <v>20.87</v>
      </c>
      <c r="C30" s="89">
        <v>4.0999999999999996</v>
      </c>
      <c r="D30" s="89"/>
    </row>
    <row r="31" spans="1:4" x14ac:dyDescent="0.25">
      <c r="A31" s="88">
        <v>59</v>
      </c>
      <c r="B31" s="89">
        <v>20.260000000000002</v>
      </c>
      <c r="C31" s="89">
        <v>4.1100000000000003</v>
      </c>
      <c r="D31" s="89"/>
    </row>
    <row r="32" spans="1:4" x14ac:dyDescent="0.25">
      <c r="A32" s="88">
        <v>60</v>
      </c>
      <c r="B32" s="89">
        <v>19.64</v>
      </c>
      <c r="C32" s="89">
        <v>4.13</v>
      </c>
      <c r="D32" s="89"/>
    </row>
    <row r="33" spans="1:4" x14ac:dyDescent="0.25">
      <c r="A33" s="88">
        <v>61</v>
      </c>
      <c r="B33" s="89">
        <v>19</v>
      </c>
      <c r="C33" s="89">
        <v>4.1399999999999997</v>
      </c>
      <c r="D33" s="89"/>
    </row>
    <row r="34" spans="1:4" x14ac:dyDescent="0.25">
      <c r="A34" s="88">
        <v>62</v>
      </c>
      <c r="B34" s="89">
        <v>18.36</v>
      </c>
      <c r="C34" s="89">
        <v>4.16</v>
      </c>
      <c r="D34" s="89"/>
    </row>
    <row r="35" spans="1:4" x14ac:dyDescent="0.25">
      <c r="A35" s="88">
        <v>63</v>
      </c>
      <c r="B35" s="89">
        <v>17.72</v>
      </c>
      <c r="C35" s="89">
        <v>4.16</v>
      </c>
      <c r="D35" s="89"/>
    </row>
    <row r="36" spans="1:4" x14ac:dyDescent="0.25">
      <c r="A36" s="88">
        <v>64</v>
      </c>
      <c r="B36" s="89">
        <v>17.079999999999998</v>
      </c>
      <c r="C36" s="89">
        <v>4.16</v>
      </c>
      <c r="D36" s="89"/>
    </row>
    <row r="37" spans="1:4" x14ac:dyDescent="0.25">
      <c r="A37" s="88">
        <v>65</v>
      </c>
      <c r="B37" s="89">
        <v>16.45</v>
      </c>
      <c r="C37" s="89">
        <v>4.16</v>
      </c>
      <c r="D37" s="89"/>
    </row>
    <row r="38" spans="1:4" x14ac:dyDescent="0.25">
      <c r="A38" s="88">
        <v>66</v>
      </c>
      <c r="B38" s="89">
        <v>15.83</v>
      </c>
      <c r="C38" s="89">
        <v>4.1500000000000004</v>
      </c>
      <c r="D38" s="89"/>
    </row>
    <row r="39" spans="1:4" x14ac:dyDescent="0.25">
      <c r="A39" s="88">
        <v>67</v>
      </c>
      <c r="B39" s="89">
        <v>15.2</v>
      </c>
      <c r="C39" s="89">
        <v>4.1399999999999997</v>
      </c>
      <c r="D39" s="89"/>
    </row>
    <row r="40" spans="1:4" x14ac:dyDescent="0.25">
      <c r="A40" s="88">
        <v>68</v>
      </c>
      <c r="B40" s="89">
        <v>14.57</v>
      </c>
      <c r="C40" s="89">
        <v>4.12</v>
      </c>
      <c r="D40" s="89"/>
    </row>
    <row r="41" spans="1:4" x14ac:dyDescent="0.25">
      <c r="A41" s="88">
        <v>69</v>
      </c>
      <c r="B41" s="89">
        <v>13.94</v>
      </c>
      <c r="C41" s="89">
        <v>4.05</v>
      </c>
      <c r="D41" s="89">
        <v>2.77</v>
      </c>
    </row>
    <row r="42" spans="1:4" x14ac:dyDescent="0.25">
      <c r="A42" s="88">
        <v>70</v>
      </c>
      <c r="B42" s="89">
        <v>13.32</v>
      </c>
      <c r="C42" s="89">
        <v>3.97</v>
      </c>
      <c r="D42" s="89">
        <v>2.57</v>
      </c>
    </row>
    <row r="43" spans="1:4" x14ac:dyDescent="0.25">
      <c r="A43" s="88">
        <v>71</v>
      </c>
      <c r="B43" s="89">
        <v>12.7</v>
      </c>
      <c r="C43" s="89">
        <v>3.94</v>
      </c>
      <c r="D43" s="89">
        <v>2.38</v>
      </c>
    </row>
    <row r="44" spans="1:4" x14ac:dyDescent="0.25">
      <c r="A44" s="88">
        <v>72</v>
      </c>
      <c r="B44" s="89">
        <v>12.08</v>
      </c>
      <c r="C44" s="89">
        <v>3.9</v>
      </c>
      <c r="D44" s="89">
        <v>2.2000000000000002</v>
      </c>
    </row>
    <row r="45" spans="1:4" x14ac:dyDescent="0.25">
      <c r="A45" s="88">
        <v>73</v>
      </c>
      <c r="B45" s="89">
        <v>11.47</v>
      </c>
      <c r="C45" s="89">
        <v>3.86</v>
      </c>
      <c r="D45" s="89">
        <v>2.02</v>
      </c>
    </row>
    <row r="46" spans="1:4" x14ac:dyDescent="0.25">
      <c r="A46" s="88">
        <v>74</v>
      </c>
      <c r="B46" s="89">
        <v>10.86</v>
      </c>
      <c r="C46" s="89">
        <v>3.68</v>
      </c>
      <c r="D46" s="89">
        <v>1.84</v>
      </c>
    </row>
    <row r="47" spans="1:4" x14ac:dyDescent="0.25">
      <c r="A47" s="88">
        <v>75</v>
      </c>
      <c r="B47" s="89">
        <v>10.27</v>
      </c>
      <c r="C47" s="89">
        <v>3.51</v>
      </c>
      <c r="D47" s="89">
        <v>1.67</v>
      </c>
    </row>
    <row r="48" spans="1:4" x14ac:dyDescent="0.25">
      <c r="A48" s="88">
        <v>76</v>
      </c>
      <c r="B48" s="89">
        <v>9.68</v>
      </c>
      <c r="C48" s="89">
        <v>3.44</v>
      </c>
      <c r="D48" s="89">
        <v>1.52</v>
      </c>
    </row>
    <row r="49" spans="1:4" x14ac:dyDescent="0.25">
      <c r="A49" s="88">
        <v>77</v>
      </c>
      <c r="B49" s="89">
        <v>9.11</v>
      </c>
      <c r="C49" s="89">
        <v>3.38</v>
      </c>
      <c r="D49" s="89">
        <v>1.38</v>
      </c>
    </row>
    <row r="50" spans="1:4" x14ac:dyDescent="0.25">
      <c r="A50" s="88">
        <v>78</v>
      </c>
      <c r="B50" s="89">
        <v>8.5500000000000007</v>
      </c>
      <c r="C50" s="89">
        <v>3.3</v>
      </c>
      <c r="D50" s="89">
        <v>1.24</v>
      </c>
    </row>
    <row r="51" spans="1:4" x14ac:dyDescent="0.25">
      <c r="A51" s="88">
        <v>79</v>
      </c>
      <c r="B51" s="89">
        <v>8</v>
      </c>
      <c r="C51" s="89">
        <v>3.02</v>
      </c>
      <c r="D51" s="89">
        <v>1.1000000000000001</v>
      </c>
    </row>
    <row r="52" spans="1:4" x14ac:dyDescent="0.25">
      <c r="A52" s="88">
        <v>80</v>
      </c>
      <c r="B52" s="89">
        <v>7.47</v>
      </c>
      <c r="C52" s="89">
        <v>2.74</v>
      </c>
      <c r="D52" s="89">
        <v>0.97</v>
      </c>
    </row>
    <row r="53" spans="1:4" x14ac:dyDescent="0.25">
      <c r="A53" s="88">
        <v>81</v>
      </c>
      <c r="B53" s="89">
        <v>6.96</v>
      </c>
      <c r="C53" s="89">
        <v>2.65</v>
      </c>
      <c r="D53" s="89">
        <v>0.86</v>
      </c>
    </row>
    <row r="54" spans="1:4" x14ac:dyDescent="0.25">
      <c r="A54" s="88">
        <v>82</v>
      </c>
      <c r="B54" s="89">
        <v>6.47</v>
      </c>
      <c r="C54" s="89">
        <v>2.56</v>
      </c>
      <c r="D54" s="89">
        <v>0.77</v>
      </c>
    </row>
    <row r="55" spans="1:4" x14ac:dyDescent="0.25">
      <c r="A55" s="88">
        <v>83</v>
      </c>
      <c r="B55" s="89">
        <v>6</v>
      </c>
      <c r="C55" s="89">
        <v>2.46</v>
      </c>
      <c r="D55" s="89">
        <v>0.68</v>
      </c>
    </row>
    <row r="56" spans="1:4" x14ac:dyDescent="0.25">
      <c r="A56" s="88">
        <v>84</v>
      </c>
      <c r="B56" s="89">
        <v>5.55</v>
      </c>
      <c r="C56" s="89">
        <v>2.14</v>
      </c>
      <c r="D56" s="89">
        <v>0.57999999999999996</v>
      </c>
    </row>
    <row r="57" spans="1:4" x14ac:dyDescent="0.25">
      <c r="A57" s="88">
        <v>85</v>
      </c>
      <c r="B57" s="89">
        <v>5.13</v>
      </c>
      <c r="C57" s="89">
        <v>1.83</v>
      </c>
      <c r="D57" s="89">
        <v>0.49</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OERZuy6q7X8cX8qG4sKLBvHSF7bTFl4ZjdoranDt0aic0SSjgZannrLOK7rT2e68B6ougSofuAXTI9B/gxqq/w==" saltValue="U9bMaPOioafESQCnrobu7g==" spinCount="100000" sheet="1" objects="1" scenarios="1"/>
  <conditionalFormatting sqref="A6:A21">
    <cfRule type="expression" dxfId="579" priority="3" stopIfTrue="1">
      <formula>MOD(ROW(),2)=0</formula>
    </cfRule>
    <cfRule type="expression" dxfId="578" priority="4" stopIfTrue="1">
      <formula>MOD(ROW(),2)&lt;&gt;0</formula>
    </cfRule>
  </conditionalFormatting>
  <conditionalFormatting sqref="A26:A57">
    <cfRule type="expression" dxfId="577" priority="13" stopIfTrue="1">
      <formula>MOD(ROW(),2)=0</formula>
    </cfRule>
    <cfRule type="expression" dxfId="576" priority="14" stopIfTrue="1">
      <formula>MOD(ROW(),2)&lt;&gt;0</formula>
    </cfRule>
  </conditionalFormatting>
  <conditionalFormatting sqref="B18:B21">
    <cfRule type="expression" dxfId="575" priority="1" stopIfTrue="1">
      <formula>MOD(ROW(),2)=0</formula>
    </cfRule>
    <cfRule type="expression" dxfId="574" priority="2" stopIfTrue="1">
      <formula>MOD(ROW(),2)&lt;&gt;0</formula>
    </cfRule>
  </conditionalFormatting>
  <conditionalFormatting sqref="B6:D21">
    <cfRule type="expression" dxfId="573" priority="23" stopIfTrue="1">
      <formula>MOD(ROW(),2)=0</formula>
    </cfRule>
    <cfRule type="expression" dxfId="572" priority="24" stopIfTrue="1">
      <formula>MOD(ROW(),2)&lt;&gt;0</formula>
    </cfRule>
  </conditionalFormatting>
  <conditionalFormatting sqref="B26:D57">
    <cfRule type="expression" dxfId="571" priority="15" stopIfTrue="1">
      <formula>MOD(ROW(),2)=0</formula>
    </cfRule>
    <cfRule type="expression" dxfId="570" priority="16" stopIfTrue="1">
      <formula>MOD(ROW(),2)&lt;&gt;0</formula>
    </cfRule>
  </conditionalFormatting>
  <conditionalFormatting sqref="C17:D17">
    <cfRule type="expression" dxfId="569" priority="9" stopIfTrue="1">
      <formula>MOD(ROW(),2)=0</formula>
    </cfRule>
    <cfRule type="expression" dxfId="568"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9"/>
  <dimension ref="A1:I65"/>
  <sheetViews>
    <sheetView showGridLines="0" zoomScale="85" zoomScaleNormal="85" workbookViewId="0">
      <selection activeCell="A4" sqref="A4"/>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PenCE - x-306</v>
      </c>
      <c r="B3" s="42"/>
      <c r="C3" s="42"/>
      <c r="D3" s="42"/>
      <c r="E3" s="42"/>
      <c r="F3" s="42"/>
      <c r="G3" s="42"/>
      <c r="H3" s="42"/>
      <c r="I3" s="42"/>
    </row>
    <row r="4" spans="1:9" x14ac:dyDescent="0.25">
      <c r="A4" s="44"/>
    </row>
    <row r="6" spans="1:9" x14ac:dyDescent="0.25">
      <c r="A6" s="75" t="s">
        <v>484</v>
      </c>
      <c r="B6" s="162" t="s">
        <v>485</v>
      </c>
      <c r="C6" s="162"/>
      <c r="D6" s="162"/>
    </row>
    <row r="7" spans="1:9" x14ac:dyDescent="0.25">
      <c r="A7" s="76" t="s">
        <v>486</v>
      </c>
      <c r="B7" s="162" t="s">
        <v>81</v>
      </c>
      <c r="C7" s="162"/>
      <c r="D7" s="162"/>
    </row>
    <row r="8" spans="1:9" x14ac:dyDescent="0.25">
      <c r="A8" s="76" t="s">
        <v>282</v>
      </c>
      <c r="B8" s="162">
        <v>2006</v>
      </c>
      <c r="C8" s="162"/>
      <c r="D8" s="162"/>
    </row>
    <row r="9" spans="1:9" x14ac:dyDescent="0.25">
      <c r="A9" s="76" t="s">
        <v>283</v>
      </c>
      <c r="B9" s="162" t="s">
        <v>324</v>
      </c>
      <c r="C9" s="162"/>
      <c r="D9" s="162"/>
    </row>
    <row r="10" spans="1:9" x14ac:dyDescent="0.25">
      <c r="A10" s="76" t="s">
        <v>6</v>
      </c>
      <c r="B10" s="162" t="s">
        <v>325</v>
      </c>
      <c r="C10" s="162"/>
      <c r="D10" s="162"/>
    </row>
    <row r="11" spans="1:9" x14ac:dyDescent="0.25">
      <c r="A11" s="76" t="s">
        <v>284</v>
      </c>
      <c r="B11" s="162" t="s">
        <v>299</v>
      </c>
      <c r="C11" s="162"/>
      <c r="D11" s="162"/>
    </row>
    <row r="12" spans="1:9" x14ac:dyDescent="0.25">
      <c r="A12" s="76" t="s">
        <v>285</v>
      </c>
      <c r="B12" s="162" t="s">
        <v>295</v>
      </c>
      <c r="C12" s="162"/>
      <c r="D12" s="162"/>
    </row>
    <row r="13" spans="1:9" x14ac:dyDescent="0.25">
      <c r="A13" s="76" t="s">
        <v>493</v>
      </c>
      <c r="B13" s="162">
        <v>1</v>
      </c>
      <c r="C13" s="162"/>
      <c r="D13" s="162"/>
    </row>
    <row r="14" spans="1:9" x14ac:dyDescent="0.25">
      <c r="A14" s="76" t="s">
        <v>287</v>
      </c>
      <c r="B14" s="162">
        <v>306</v>
      </c>
      <c r="C14" s="162"/>
      <c r="D14" s="162"/>
    </row>
    <row r="15" spans="1:9" x14ac:dyDescent="0.25">
      <c r="A15" s="76" t="s">
        <v>496</v>
      </c>
      <c r="B15" s="162" t="s">
        <v>598</v>
      </c>
      <c r="C15" s="162"/>
      <c r="D15" s="162"/>
    </row>
    <row r="16" spans="1:9" x14ac:dyDescent="0.25">
      <c r="A16" s="76" t="s">
        <v>288</v>
      </c>
      <c r="B16" s="162" t="s">
        <v>327</v>
      </c>
      <c r="C16" s="162"/>
      <c r="D16" s="162"/>
    </row>
    <row r="17" spans="1:4" ht="37.5" customHeight="1" x14ac:dyDescent="0.25">
      <c r="A17" s="76" t="s">
        <v>568</v>
      </c>
      <c r="B17" s="162"/>
      <c r="C17" s="162"/>
      <c r="D17" s="162"/>
    </row>
    <row r="18" spans="1:4" x14ac:dyDescent="0.25">
      <c r="A18" s="76" t="s">
        <v>500</v>
      </c>
      <c r="B18" s="164">
        <v>45070</v>
      </c>
      <c r="C18" s="162"/>
      <c r="D18" s="162"/>
    </row>
    <row r="19" spans="1:4" x14ac:dyDescent="0.25">
      <c r="A19" s="76" t="s">
        <v>290</v>
      </c>
      <c r="B19" s="164">
        <v>45014</v>
      </c>
      <c r="C19" s="162"/>
      <c r="D19" s="162"/>
    </row>
    <row r="20" spans="1:4" x14ac:dyDescent="0.25">
      <c r="A20" s="76" t="s">
        <v>291</v>
      </c>
      <c r="B20" s="162" t="s">
        <v>298</v>
      </c>
      <c r="C20" s="162"/>
      <c r="D20" s="162"/>
    </row>
    <row r="21" spans="1:4" x14ac:dyDescent="0.25">
      <c r="A21" s="150" t="s">
        <v>569</v>
      </c>
      <c r="B21" s="162" t="s">
        <v>297</v>
      </c>
      <c r="C21" s="162"/>
      <c r="D21" s="162"/>
    </row>
    <row r="23" spans="1:4" x14ac:dyDescent="0.25">
      <c r="B23" s="91" t="str">
        <f>HYPERLINK("#'Factor List'!A1","Back to Factor List")</f>
        <v>Back to Factor List</v>
      </c>
    </row>
    <row r="24" spans="1:4" x14ac:dyDescent="0.25">
      <c r="B24" s="91" t="str">
        <f>HYPERLINK("#'Assumptions'!A1","Assumptions")</f>
        <v>Assumptions</v>
      </c>
    </row>
    <row r="26" spans="1:4" ht="39.6" x14ac:dyDescent="0.25">
      <c r="A26" s="87" t="s">
        <v>570</v>
      </c>
      <c r="B26" s="87" t="s">
        <v>591</v>
      </c>
      <c r="C26" s="87" t="s">
        <v>572</v>
      </c>
      <c r="D26" s="87" t="s">
        <v>593</v>
      </c>
    </row>
    <row r="27" spans="1:4" x14ac:dyDescent="0.25">
      <c r="A27" s="88">
        <v>55</v>
      </c>
      <c r="B27" s="89">
        <v>22.65</v>
      </c>
      <c r="C27" s="89">
        <v>4.03</v>
      </c>
      <c r="D27" s="89"/>
    </row>
    <row r="28" spans="1:4" x14ac:dyDescent="0.25">
      <c r="A28" s="88">
        <v>56</v>
      </c>
      <c r="B28" s="89">
        <v>22.06</v>
      </c>
      <c r="C28" s="89">
        <v>4.05</v>
      </c>
      <c r="D28" s="89"/>
    </row>
    <row r="29" spans="1:4" x14ac:dyDescent="0.25">
      <c r="A29" s="88">
        <v>57</v>
      </c>
      <c r="B29" s="89">
        <v>21.46</v>
      </c>
      <c r="C29" s="89">
        <v>4.07</v>
      </c>
      <c r="D29" s="89"/>
    </row>
    <row r="30" spans="1:4" x14ac:dyDescent="0.25">
      <c r="A30" s="88">
        <v>58</v>
      </c>
      <c r="B30" s="89">
        <v>20.87</v>
      </c>
      <c r="C30" s="89">
        <v>4.0999999999999996</v>
      </c>
      <c r="D30" s="89"/>
    </row>
    <row r="31" spans="1:4" x14ac:dyDescent="0.25">
      <c r="A31" s="88">
        <v>59</v>
      </c>
      <c r="B31" s="89">
        <v>20.260000000000002</v>
      </c>
      <c r="C31" s="89">
        <v>4.1100000000000003</v>
      </c>
      <c r="D31" s="89"/>
    </row>
    <row r="32" spans="1:4" x14ac:dyDescent="0.25">
      <c r="A32" s="88">
        <v>60</v>
      </c>
      <c r="B32" s="89">
        <v>19.64</v>
      </c>
      <c r="C32" s="89">
        <v>4.13</v>
      </c>
      <c r="D32" s="89"/>
    </row>
    <row r="33" spans="1:4" x14ac:dyDescent="0.25">
      <c r="A33" s="88">
        <v>61</v>
      </c>
      <c r="B33" s="89">
        <v>19</v>
      </c>
      <c r="C33" s="89">
        <v>4.1399999999999997</v>
      </c>
      <c r="D33" s="89"/>
    </row>
    <row r="34" spans="1:4" x14ac:dyDescent="0.25">
      <c r="A34" s="88">
        <v>62</v>
      </c>
      <c r="B34" s="89">
        <v>18.36</v>
      </c>
      <c r="C34" s="89">
        <v>4.16</v>
      </c>
      <c r="D34" s="89"/>
    </row>
    <row r="35" spans="1:4" x14ac:dyDescent="0.25">
      <c r="A35" s="88">
        <v>63</v>
      </c>
      <c r="B35" s="89">
        <v>17.72</v>
      </c>
      <c r="C35" s="89">
        <v>4.16</v>
      </c>
      <c r="D35" s="89"/>
    </row>
    <row r="36" spans="1:4" x14ac:dyDescent="0.25">
      <c r="A36" s="88">
        <v>64</v>
      </c>
      <c r="B36" s="89">
        <v>17.079999999999998</v>
      </c>
      <c r="C36" s="89">
        <v>4.16</v>
      </c>
      <c r="D36" s="89"/>
    </row>
    <row r="37" spans="1:4" x14ac:dyDescent="0.25">
      <c r="A37" s="88">
        <v>65</v>
      </c>
      <c r="B37" s="89">
        <v>16.45</v>
      </c>
      <c r="C37" s="89">
        <v>4.16</v>
      </c>
      <c r="D37" s="89"/>
    </row>
    <row r="38" spans="1:4" x14ac:dyDescent="0.25">
      <c r="A38" s="88">
        <v>66</v>
      </c>
      <c r="B38" s="89">
        <v>15.83</v>
      </c>
      <c r="C38" s="89">
        <v>4.1500000000000004</v>
      </c>
      <c r="D38" s="89"/>
    </row>
    <row r="39" spans="1:4" x14ac:dyDescent="0.25">
      <c r="A39" s="88">
        <v>67</v>
      </c>
      <c r="B39" s="89">
        <v>15.2</v>
      </c>
      <c r="C39" s="89">
        <v>4.1399999999999997</v>
      </c>
      <c r="D39" s="89"/>
    </row>
    <row r="40" spans="1:4" x14ac:dyDescent="0.25">
      <c r="A40" s="88">
        <v>68</v>
      </c>
      <c r="B40" s="89">
        <v>14.57</v>
      </c>
      <c r="C40" s="89">
        <v>4.12</v>
      </c>
      <c r="D40" s="89"/>
    </row>
    <row r="41" spans="1:4" x14ac:dyDescent="0.25">
      <c r="A41" s="88">
        <v>69</v>
      </c>
      <c r="B41" s="89">
        <v>13.94</v>
      </c>
      <c r="C41" s="89">
        <v>4.05</v>
      </c>
      <c r="D41" s="89">
        <v>2.6</v>
      </c>
    </row>
    <row r="42" spans="1:4" x14ac:dyDescent="0.25">
      <c r="A42" s="88">
        <v>70</v>
      </c>
      <c r="B42" s="89">
        <v>13.32</v>
      </c>
      <c r="C42" s="89">
        <v>3.97</v>
      </c>
      <c r="D42" s="89">
        <v>2.41</v>
      </c>
    </row>
    <row r="43" spans="1:4" x14ac:dyDescent="0.25">
      <c r="A43" s="88">
        <v>71</v>
      </c>
      <c r="B43" s="89">
        <v>12.7</v>
      </c>
      <c r="C43" s="89">
        <v>3.94</v>
      </c>
      <c r="D43" s="89">
        <v>2.2200000000000002</v>
      </c>
    </row>
    <row r="44" spans="1:4" x14ac:dyDescent="0.25">
      <c r="A44" s="88">
        <v>72</v>
      </c>
      <c r="B44" s="89">
        <v>12.08</v>
      </c>
      <c r="C44" s="89">
        <v>3.9</v>
      </c>
      <c r="D44" s="89">
        <v>2.04</v>
      </c>
    </row>
    <row r="45" spans="1:4" x14ac:dyDescent="0.25">
      <c r="A45" s="88">
        <v>73</v>
      </c>
      <c r="B45" s="89">
        <v>11.47</v>
      </c>
      <c r="C45" s="89">
        <v>3.86</v>
      </c>
      <c r="D45" s="89">
        <v>1.87</v>
      </c>
    </row>
    <row r="46" spans="1:4" x14ac:dyDescent="0.25">
      <c r="A46" s="88">
        <v>74</v>
      </c>
      <c r="B46" s="89">
        <v>10.86</v>
      </c>
      <c r="C46" s="89">
        <v>3.68</v>
      </c>
      <c r="D46" s="89">
        <v>1.7</v>
      </c>
    </row>
    <row r="47" spans="1:4" x14ac:dyDescent="0.25">
      <c r="A47" s="88">
        <v>75</v>
      </c>
      <c r="B47" s="89">
        <v>10.27</v>
      </c>
      <c r="C47" s="89">
        <v>3.51</v>
      </c>
      <c r="D47" s="89">
        <v>1.55</v>
      </c>
    </row>
    <row r="48" spans="1:4" x14ac:dyDescent="0.25">
      <c r="A48" s="88">
        <v>76</v>
      </c>
      <c r="B48" s="89">
        <v>9.68</v>
      </c>
      <c r="C48" s="89">
        <v>3.44</v>
      </c>
      <c r="D48" s="89">
        <v>1.4</v>
      </c>
    </row>
    <row r="49" spans="1:4" x14ac:dyDescent="0.25">
      <c r="A49" s="88">
        <v>77</v>
      </c>
      <c r="B49" s="89">
        <v>9.11</v>
      </c>
      <c r="C49" s="89">
        <v>3.38</v>
      </c>
      <c r="D49" s="89">
        <v>1.26</v>
      </c>
    </row>
    <row r="50" spans="1:4" x14ac:dyDescent="0.25">
      <c r="A50" s="88">
        <v>78</v>
      </c>
      <c r="B50" s="89">
        <v>8.5500000000000007</v>
      </c>
      <c r="C50" s="89">
        <v>3.3</v>
      </c>
      <c r="D50" s="89">
        <v>1.1299999999999999</v>
      </c>
    </row>
    <row r="51" spans="1:4" x14ac:dyDescent="0.25">
      <c r="A51" s="88">
        <v>79</v>
      </c>
      <c r="B51" s="89">
        <v>8</v>
      </c>
      <c r="C51" s="89">
        <v>3.02</v>
      </c>
      <c r="D51" s="89">
        <v>1</v>
      </c>
    </row>
    <row r="52" spans="1:4" x14ac:dyDescent="0.25">
      <c r="A52" s="88">
        <v>80</v>
      </c>
      <c r="B52" s="89">
        <v>7.47</v>
      </c>
      <c r="C52" s="89">
        <v>2.74</v>
      </c>
      <c r="D52" s="89">
        <v>0.89</v>
      </c>
    </row>
    <row r="53" spans="1:4" x14ac:dyDescent="0.25">
      <c r="A53" s="88">
        <v>81</v>
      </c>
      <c r="B53" s="89">
        <v>6.96</v>
      </c>
      <c r="C53" s="89">
        <v>2.65</v>
      </c>
      <c r="D53" s="89">
        <v>0.78</v>
      </c>
    </row>
    <row r="54" spans="1:4" x14ac:dyDescent="0.25">
      <c r="A54" s="88">
        <v>82</v>
      </c>
      <c r="B54" s="89">
        <v>6.47</v>
      </c>
      <c r="C54" s="89">
        <v>2.56</v>
      </c>
      <c r="D54" s="89">
        <v>0.69</v>
      </c>
    </row>
    <row r="55" spans="1:4" x14ac:dyDescent="0.25">
      <c r="A55" s="88">
        <v>83</v>
      </c>
      <c r="B55" s="89">
        <v>6</v>
      </c>
      <c r="C55" s="89">
        <v>2.46</v>
      </c>
      <c r="D55" s="89">
        <v>0.6</v>
      </c>
    </row>
    <row r="56" spans="1:4" x14ac:dyDescent="0.25">
      <c r="A56" s="88">
        <v>84</v>
      </c>
      <c r="B56" s="89">
        <v>5.55</v>
      </c>
      <c r="C56" s="89">
        <v>2.14</v>
      </c>
      <c r="D56" s="89">
        <v>0.52</v>
      </c>
    </row>
    <row r="57" spans="1:4" x14ac:dyDescent="0.25">
      <c r="A57" s="88">
        <v>85</v>
      </c>
      <c r="B57" s="89">
        <v>5.13</v>
      </c>
      <c r="C57" s="89">
        <v>1.83</v>
      </c>
      <c r="D57" s="89">
        <v>0.45</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NMTfd5FRPb3evYCxAlW4qeZAJ1nGBqRKJFVixeyqBtq+4bRXy3/qjDiynhm0HytWuOb87TYy/GYb/jNeRNgmog==" saltValue="lLqss8TwuLXqinKHUGwlZw==" spinCount="100000" sheet="1" objects="1" scenarios="1"/>
  <conditionalFormatting sqref="A6:A21">
    <cfRule type="expression" dxfId="567" priority="3" stopIfTrue="1">
      <formula>MOD(ROW(),2)=0</formula>
    </cfRule>
    <cfRule type="expression" dxfId="566" priority="4" stopIfTrue="1">
      <formula>MOD(ROW(),2)&lt;&gt;0</formula>
    </cfRule>
  </conditionalFormatting>
  <conditionalFormatting sqref="A26:A57">
    <cfRule type="expression" dxfId="565" priority="13" stopIfTrue="1">
      <formula>MOD(ROW(),2)=0</formula>
    </cfRule>
    <cfRule type="expression" dxfId="564" priority="14" stopIfTrue="1">
      <formula>MOD(ROW(),2)&lt;&gt;0</formula>
    </cfRule>
  </conditionalFormatting>
  <conditionalFormatting sqref="B18:B21">
    <cfRule type="expression" dxfId="563" priority="1" stopIfTrue="1">
      <formula>MOD(ROW(),2)=0</formula>
    </cfRule>
    <cfRule type="expression" dxfId="562" priority="2" stopIfTrue="1">
      <formula>MOD(ROW(),2)&lt;&gt;0</formula>
    </cfRule>
  </conditionalFormatting>
  <conditionalFormatting sqref="B6:D21">
    <cfRule type="expression" dxfId="561" priority="23" stopIfTrue="1">
      <formula>MOD(ROW(),2)=0</formula>
    </cfRule>
    <cfRule type="expression" dxfId="560" priority="24" stopIfTrue="1">
      <formula>MOD(ROW(),2)&lt;&gt;0</formula>
    </cfRule>
  </conditionalFormatting>
  <conditionalFormatting sqref="B26:D57">
    <cfRule type="expression" dxfId="559" priority="15" stopIfTrue="1">
      <formula>MOD(ROW(),2)=0</formula>
    </cfRule>
    <cfRule type="expression" dxfId="558" priority="16" stopIfTrue="1">
      <formula>MOD(ROW(),2)&lt;&gt;0</formula>
    </cfRule>
  </conditionalFormatting>
  <conditionalFormatting sqref="C17:D17">
    <cfRule type="expression" dxfId="557" priority="9" stopIfTrue="1">
      <formula>MOD(ROW(),2)=0</formula>
    </cfRule>
    <cfRule type="expression" dxfId="556"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0"/>
  <dimension ref="A1:I92"/>
  <sheetViews>
    <sheetView showGridLines="0" zoomScale="85" zoomScaleNormal="85" workbookViewId="0">
      <selection activeCell="A4" sqref="A4"/>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PenCE - x-307</v>
      </c>
      <c r="B3" s="42"/>
      <c r="C3" s="42"/>
      <c r="D3" s="42"/>
      <c r="E3" s="42"/>
      <c r="F3" s="42"/>
      <c r="G3" s="42"/>
      <c r="H3" s="42"/>
      <c r="I3" s="42"/>
    </row>
    <row r="4" spans="1:9" x14ac:dyDescent="0.25">
      <c r="A4" s="44"/>
    </row>
    <row r="6" spans="1:9" x14ac:dyDescent="0.25">
      <c r="A6" s="75" t="s">
        <v>484</v>
      </c>
      <c r="B6" s="162" t="s">
        <v>485</v>
      </c>
      <c r="C6" s="162"/>
      <c r="D6" s="162"/>
    </row>
    <row r="7" spans="1:9" x14ac:dyDescent="0.25">
      <c r="A7" s="76" t="s">
        <v>486</v>
      </c>
      <c r="B7" s="162" t="s">
        <v>81</v>
      </c>
      <c r="C7" s="162"/>
      <c r="D7" s="162"/>
    </row>
    <row r="8" spans="1:9" x14ac:dyDescent="0.25">
      <c r="A8" s="76" t="s">
        <v>282</v>
      </c>
      <c r="B8" s="162">
        <v>2006</v>
      </c>
      <c r="C8" s="162"/>
      <c r="D8" s="162"/>
    </row>
    <row r="9" spans="1:9" x14ac:dyDescent="0.25">
      <c r="A9" s="76" t="s">
        <v>283</v>
      </c>
      <c r="B9" s="162" t="s">
        <v>324</v>
      </c>
      <c r="C9" s="162"/>
      <c r="D9" s="162"/>
    </row>
    <row r="10" spans="1:9" x14ac:dyDescent="0.25">
      <c r="A10" s="76" t="s">
        <v>6</v>
      </c>
      <c r="B10" s="162" t="s">
        <v>328</v>
      </c>
      <c r="C10" s="162"/>
      <c r="D10" s="162"/>
    </row>
    <row r="11" spans="1:9" x14ac:dyDescent="0.25">
      <c r="A11" s="76" t="s">
        <v>284</v>
      </c>
      <c r="B11" s="162" t="s">
        <v>294</v>
      </c>
      <c r="C11" s="162"/>
      <c r="D11" s="162"/>
    </row>
    <row r="12" spans="1:9" x14ac:dyDescent="0.25">
      <c r="A12" s="76" t="s">
        <v>285</v>
      </c>
      <c r="B12" s="162" t="s">
        <v>295</v>
      </c>
      <c r="C12" s="162"/>
      <c r="D12" s="162"/>
    </row>
    <row r="13" spans="1:9" x14ac:dyDescent="0.25">
      <c r="A13" s="76" t="s">
        <v>493</v>
      </c>
      <c r="B13" s="162">
        <v>1</v>
      </c>
      <c r="C13" s="162"/>
      <c r="D13" s="162"/>
    </row>
    <row r="14" spans="1:9" x14ac:dyDescent="0.25">
      <c r="A14" s="76" t="s">
        <v>287</v>
      </c>
      <c r="B14" s="162">
        <v>307</v>
      </c>
      <c r="C14" s="162"/>
      <c r="D14" s="162"/>
    </row>
    <row r="15" spans="1:9" x14ac:dyDescent="0.25">
      <c r="A15" s="76" t="s">
        <v>496</v>
      </c>
      <c r="B15" s="162" t="s">
        <v>599</v>
      </c>
      <c r="C15" s="162"/>
      <c r="D15" s="162"/>
    </row>
    <row r="16" spans="1:9" x14ac:dyDescent="0.25">
      <c r="A16" s="76" t="s">
        <v>288</v>
      </c>
      <c r="B16" s="162" t="s">
        <v>329</v>
      </c>
      <c r="C16" s="162"/>
      <c r="D16" s="162"/>
    </row>
    <row r="17" spans="1:4" ht="40.5" customHeight="1" x14ac:dyDescent="0.25">
      <c r="A17" s="76" t="s">
        <v>568</v>
      </c>
      <c r="B17" s="162"/>
      <c r="C17" s="162"/>
      <c r="D17" s="162"/>
    </row>
    <row r="18" spans="1:4" x14ac:dyDescent="0.25">
      <c r="A18" s="76" t="s">
        <v>500</v>
      </c>
      <c r="B18" s="164">
        <v>45070</v>
      </c>
      <c r="C18" s="162"/>
      <c r="D18" s="162"/>
    </row>
    <row r="19" spans="1:4" x14ac:dyDescent="0.25">
      <c r="A19" s="76" t="s">
        <v>290</v>
      </c>
      <c r="B19" s="164">
        <v>45014</v>
      </c>
      <c r="C19" s="162"/>
      <c r="D19" s="162"/>
    </row>
    <row r="20" spans="1:4" x14ac:dyDescent="0.25">
      <c r="A20" s="76" t="s">
        <v>291</v>
      </c>
      <c r="B20" s="162" t="s">
        <v>298</v>
      </c>
      <c r="C20" s="162"/>
      <c r="D20" s="162"/>
    </row>
    <row r="21" spans="1:4" x14ac:dyDescent="0.25">
      <c r="A21" s="150" t="s">
        <v>569</v>
      </c>
      <c r="B21" s="162" t="s">
        <v>297</v>
      </c>
      <c r="C21" s="162"/>
      <c r="D21" s="162"/>
    </row>
    <row r="23" spans="1:4" x14ac:dyDescent="0.25">
      <c r="B23" s="91" t="str">
        <f>HYPERLINK("#'Factor List'!A1","Back to Factor List")</f>
        <v>Back to Factor List</v>
      </c>
    </row>
    <row r="24" spans="1:4" x14ac:dyDescent="0.25">
      <c r="B24" s="91" t="str">
        <f>HYPERLINK("#'Assumptions'!A1","Assumptions")</f>
        <v>Assumptions</v>
      </c>
    </row>
    <row r="26" spans="1:4" ht="38.85" customHeight="1" x14ac:dyDescent="0.25">
      <c r="A26" s="87" t="s">
        <v>570</v>
      </c>
      <c r="B26" s="87" t="s">
        <v>591</v>
      </c>
      <c r="C26" s="87" t="s">
        <v>572</v>
      </c>
      <c r="D26" s="87" t="s">
        <v>593</v>
      </c>
    </row>
    <row r="27" spans="1:4" x14ac:dyDescent="0.25">
      <c r="A27" s="88">
        <v>20</v>
      </c>
      <c r="B27" s="89">
        <v>39.159999999999997</v>
      </c>
      <c r="C27" s="89">
        <v>2.7</v>
      </c>
      <c r="D27" s="89"/>
    </row>
    <row r="28" spans="1:4" x14ac:dyDescent="0.25">
      <c r="A28" s="88">
        <v>21</v>
      </c>
      <c r="B28" s="89">
        <v>38.79</v>
      </c>
      <c r="C28" s="89">
        <v>2.75</v>
      </c>
      <c r="D28" s="89"/>
    </row>
    <row r="29" spans="1:4" x14ac:dyDescent="0.25">
      <c r="A29" s="88">
        <v>22</v>
      </c>
      <c r="B29" s="89">
        <v>38.42</v>
      </c>
      <c r="C29" s="89">
        <v>2.79</v>
      </c>
      <c r="D29" s="89"/>
    </row>
    <row r="30" spans="1:4" x14ac:dyDescent="0.25">
      <c r="A30" s="88">
        <v>23</v>
      </c>
      <c r="B30" s="89">
        <v>38.04</v>
      </c>
      <c r="C30" s="89">
        <v>2.83</v>
      </c>
      <c r="D30" s="89"/>
    </row>
    <row r="31" spans="1:4" x14ac:dyDescent="0.25">
      <c r="A31" s="88">
        <v>24</v>
      </c>
      <c r="B31" s="89">
        <v>37.659999999999997</v>
      </c>
      <c r="C31" s="89">
        <v>2.88</v>
      </c>
      <c r="D31" s="89"/>
    </row>
    <row r="32" spans="1:4" x14ac:dyDescent="0.25">
      <c r="A32" s="88">
        <v>25</v>
      </c>
      <c r="B32" s="89">
        <v>37.270000000000003</v>
      </c>
      <c r="C32" s="89">
        <v>2.92</v>
      </c>
      <c r="D32" s="89"/>
    </row>
    <row r="33" spans="1:4" x14ac:dyDescent="0.25">
      <c r="A33" s="88">
        <v>26</v>
      </c>
      <c r="B33" s="89">
        <v>36.869999999999997</v>
      </c>
      <c r="C33" s="89">
        <v>2.96</v>
      </c>
      <c r="D33" s="89"/>
    </row>
    <row r="34" spans="1:4" x14ac:dyDescent="0.25">
      <c r="A34" s="88">
        <v>27</v>
      </c>
      <c r="B34" s="89">
        <v>36.47</v>
      </c>
      <c r="C34" s="89">
        <v>3.01</v>
      </c>
      <c r="D34" s="89"/>
    </row>
    <row r="35" spans="1:4" x14ac:dyDescent="0.25">
      <c r="A35" s="88">
        <v>28</v>
      </c>
      <c r="B35" s="89">
        <v>36.06</v>
      </c>
      <c r="C35" s="89">
        <v>3.05</v>
      </c>
      <c r="D35" s="89"/>
    </row>
    <row r="36" spans="1:4" x14ac:dyDescent="0.25">
      <c r="A36" s="88">
        <v>29</v>
      </c>
      <c r="B36" s="89">
        <v>35.65</v>
      </c>
      <c r="C36" s="89">
        <v>3.1</v>
      </c>
      <c r="D36" s="89"/>
    </row>
    <row r="37" spans="1:4" x14ac:dyDescent="0.25">
      <c r="A37" s="88">
        <v>30</v>
      </c>
      <c r="B37" s="89">
        <v>35.229999999999997</v>
      </c>
      <c r="C37" s="89">
        <v>3.14</v>
      </c>
      <c r="D37" s="89"/>
    </row>
    <row r="38" spans="1:4" x14ac:dyDescent="0.25">
      <c r="A38" s="88">
        <v>31</v>
      </c>
      <c r="B38" s="89">
        <v>34.799999999999997</v>
      </c>
      <c r="C38" s="89">
        <v>3.18</v>
      </c>
      <c r="D38" s="89"/>
    </row>
    <row r="39" spans="1:4" x14ac:dyDescent="0.25">
      <c r="A39" s="88">
        <v>32</v>
      </c>
      <c r="B39" s="89">
        <v>34.369999999999997</v>
      </c>
      <c r="C39" s="89">
        <v>3.23</v>
      </c>
      <c r="D39" s="89"/>
    </row>
    <row r="40" spans="1:4" x14ac:dyDescent="0.25">
      <c r="A40" s="88">
        <v>33</v>
      </c>
      <c r="B40" s="89">
        <v>33.93</v>
      </c>
      <c r="C40" s="89">
        <v>3.27</v>
      </c>
      <c r="D40" s="89"/>
    </row>
    <row r="41" spans="1:4" x14ac:dyDescent="0.25">
      <c r="A41" s="88">
        <v>34</v>
      </c>
      <c r="B41" s="89">
        <v>33.479999999999997</v>
      </c>
      <c r="C41" s="89">
        <v>3.31</v>
      </c>
      <c r="D41" s="89"/>
    </row>
    <row r="42" spans="1:4" x14ac:dyDescent="0.25">
      <c r="A42" s="88">
        <v>35</v>
      </c>
      <c r="B42" s="89">
        <v>33.03</v>
      </c>
      <c r="C42" s="89">
        <v>3.35</v>
      </c>
      <c r="D42" s="89"/>
    </row>
    <row r="43" spans="1:4" x14ac:dyDescent="0.25">
      <c r="A43" s="88">
        <v>36</v>
      </c>
      <c r="B43" s="89">
        <v>32.57</v>
      </c>
      <c r="C43" s="89">
        <v>3.39</v>
      </c>
      <c r="D43" s="89"/>
    </row>
    <row r="44" spans="1:4" x14ac:dyDescent="0.25">
      <c r="A44" s="88">
        <v>37</v>
      </c>
      <c r="B44" s="89">
        <v>32.11</v>
      </c>
      <c r="C44" s="89">
        <v>3.43</v>
      </c>
      <c r="D44" s="89"/>
    </row>
    <row r="45" spans="1:4" x14ac:dyDescent="0.25">
      <c r="A45" s="88">
        <v>38</v>
      </c>
      <c r="B45" s="89">
        <v>31.63</v>
      </c>
      <c r="C45" s="89">
        <v>3.47</v>
      </c>
      <c r="D45" s="89"/>
    </row>
    <row r="46" spans="1:4" x14ac:dyDescent="0.25">
      <c r="A46" s="88">
        <v>39</v>
      </c>
      <c r="B46" s="89">
        <v>31.15</v>
      </c>
      <c r="C46" s="89">
        <v>3.51</v>
      </c>
      <c r="D46" s="89"/>
    </row>
    <row r="47" spans="1:4" x14ac:dyDescent="0.25">
      <c r="A47" s="88">
        <v>40</v>
      </c>
      <c r="B47" s="89">
        <v>30.67</v>
      </c>
      <c r="C47" s="89">
        <v>3.55</v>
      </c>
      <c r="D47" s="89"/>
    </row>
    <row r="48" spans="1:4" x14ac:dyDescent="0.25">
      <c r="A48" s="88">
        <v>41</v>
      </c>
      <c r="B48" s="89">
        <v>30.18</v>
      </c>
      <c r="C48" s="89">
        <v>3.59</v>
      </c>
      <c r="D48" s="89"/>
    </row>
    <row r="49" spans="1:4" x14ac:dyDescent="0.25">
      <c r="A49" s="88">
        <v>42</v>
      </c>
      <c r="B49" s="89">
        <v>29.68</v>
      </c>
      <c r="C49" s="89">
        <v>3.63</v>
      </c>
      <c r="D49" s="89"/>
    </row>
    <row r="50" spans="1:4" x14ac:dyDescent="0.25">
      <c r="A50" s="88">
        <v>43</v>
      </c>
      <c r="B50" s="89">
        <v>29.17</v>
      </c>
      <c r="C50" s="89">
        <v>3.67</v>
      </c>
      <c r="D50" s="89"/>
    </row>
    <row r="51" spans="1:4" x14ac:dyDescent="0.25">
      <c r="A51" s="88">
        <v>44</v>
      </c>
      <c r="B51" s="89">
        <v>28.66</v>
      </c>
      <c r="C51" s="89">
        <v>3.7</v>
      </c>
      <c r="D51" s="89"/>
    </row>
    <row r="52" spans="1:4" x14ac:dyDescent="0.25">
      <c r="A52" s="88">
        <v>45</v>
      </c>
      <c r="B52" s="89">
        <v>28.14</v>
      </c>
      <c r="C52" s="89">
        <v>3.73</v>
      </c>
      <c r="D52" s="89"/>
    </row>
    <row r="53" spans="1:4" x14ac:dyDescent="0.25">
      <c r="A53" s="88">
        <v>46</v>
      </c>
      <c r="B53" s="89">
        <v>27.62</v>
      </c>
      <c r="C53" s="89">
        <v>3.77</v>
      </c>
      <c r="D53" s="89"/>
    </row>
    <row r="54" spans="1:4" x14ac:dyDescent="0.25">
      <c r="A54" s="88">
        <v>47</v>
      </c>
      <c r="B54" s="89">
        <v>27.09</v>
      </c>
      <c r="C54" s="89">
        <v>3.8</v>
      </c>
      <c r="D54" s="89"/>
    </row>
    <row r="55" spans="1:4" x14ac:dyDescent="0.25">
      <c r="A55" s="88">
        <v>48</v>
      </c>
      <c r="B55" s="89">
        <v>26.55</v>
      </c>
      <c r="C55" s="89">
        <v>3.83</v>
      </c>
      <c r="D55" s="89"/>
    </row>
    <row r="56" spans="1:4" x14ac:dyDescent="0.25">
      <c r="A56" s="88">
        <v>49</v>
      </c>
      <c r="B56" s="89">
        <v>26.01</v>
      </c>
      <c r="C56" s="89">
        <v>3.86</v>
      </c>
      <c r="D56" s="89"/>
    </row>
    <row r="57" spans="1:4" x14ac:dyDescent="0.25">
      <c r="A57" s="88">
        <v>50</v>
      </c>
      <c r="B57" s="89">
        <v>25.46</v>
      </c>
      <c r="C57" s="89">
        <v>3.89</v>
      </c>
      <c r="D57" s="89"/>
    </row>
    <row r="58" spans="1:4" x14ac:dyDescent="0.25">
      <c r="A58" s="88">
        <v>51</v>
      </c>
      <c r="B58" s="89">
        <v>24.9</v>
      </c>
      <c r="C58" s="89">
        <v>3.92</v>
      </c>
      <c r="D58" s="89"/>
    </row>
    <row r="59" spans="1:4" x14ac:dyDescent="0.25">
      <c r="A59" s="88">
        <v>52</v>
      </c>
      <c r="B59" s="89">
        <v>24.34</v>
      </c>
      <c r="C59" s="89">
        <v>3.95</v>
      </c>
      <c r="D59" s="89"/>
    </row>
    <row r="60" spans="1:4" x14ac:dyDescent="0.25">
      <c r="A60" s="88">
        <v>53</v>
      </c>
      <c r="B60" s="89">
        <v>23.76</v>
      </c>
      <c r="C60" s="89">
        <v>3.98</v>
      </c>
      <c r="D60" s="89"/>
    </row>
    <row r="61" spans="1:4" x14ac:dyDescent="0.25">
      <c r="A61" s="88">
        <v>54</v>
      </c>
      <c r="B61" s="89">
        <v>23.18</v>
      </c>
      <c r="C61" s="89">
        <v>4</v>
      </c>
      <c r="D61" s="89"/>
    </row>
    <row r="62" spans="1:4" x14ac:dyDescent="0.25">
      <c r="A62" s="88">
        <v>55</v>
      </c>
      <c r="B62" s="89">
        <v>22.6</v>
      </c>
      <c r="C62" s="89">
        <v>4.03</v>
      </c>
      <c r="D62" s="89"/>
    </row>
    <row r="63" spans="1:4" x14ac:dyDescent="0.25">
      <c r="A63" s="88">
        <v>56</v>
      </c>
      <c r="B63" s="89">
        <v>22.01</v>
      </c>
      <c r="C63" s="89">
        <v>4.05</v>
      </c>
      <c r="D63" s="89"/>
    </row>
    <row r="64" spans="1:4" x14ac:dyDescent="0.25">
      <c r="A64" s="88">
        <v>57</v>
      </c>
      <c r="B64" s="89">
        <v>21.41</v>
      </c>
      <c r="C64" s="89">
        <v>4.07</v>
      </c>
      <c r="D64" s="89"/>
    </row>
    <row r="65" spans="1:4" x14ac:dyDescent="0.25">
      <c r="A65" s="88">
        <v>58</v>
      </c>
      <c r="B65" s="89">
        <v>20.8</v>
      </c>
      <c r="C65" s="89">
        <v>4.0999999999999996</v>
      </c>
      <c r="D65" s="89"/>
    </row>
    <row r="66" spans="1:4" x14ac:dyDescent="0.25">
      <c r="A66" s="88">
        <v>59</v>
      </c>
      <c r="B66" s="89">
        <v>20.190000000000001</v>
      </c>
      <c r="C66" s="89">
        <v>4.1100000000000003</v>
      </c>
      <c r="D66" s="89"/>
    </row>
    <row r="67" spans="1:4" x14ac:dyDescent="0.25">
      <c r="A67" s="88">
        <v>60</v>
      </c>
      <c r="B67" s="89">
        <v>19.579999999999998</v>
      </c>
      <c r="C67" s="89">
        <v>4.13</v>
      </c>
      <c r="D67" s="89"/>
    </row>
    <row r="68" spans="1:4" x14ac:dyDescent="0.25">
      <c r="A68" s="88">
        <v>61</v>
      </c>
      <c r="B68" s="89">
        <v>18.96</v>
      </c>
      <c r="C68" s="89">
        <v>4.1399999999999997</v>
      </c>
      <c r="D68" s="89"/>
    </row>
    <row r="69" spans="1:4" x14ac:dyDescent="0.25">
      <c r="A69" s="88">
        <v>62</v>
      </c>
      <c r="B69" s="89">
        <v>18.329999999999998</v>
      </c>
      <c r="C69" s="89">
        <v>4.16</v>
      </c>
      <c r="D69" s="89"/>
    </row>
    <row r="70" spans="1:4" x14ac:dyDescent="0.25">
      <c r="A70" s="88">
        <v>63</v>
      </c>
      <c r="B70" s="89">
        <v>17.71</v>
      </c>
      <c r="C70" s="89">
        <v>4.16</v>
      </c>
      <c r="D70" s="89"/>
    </row>
    <row r="71" spans="1:4" x14ac:dyDescent="0.25">
      <c r="A71" s="88">
        <v>64</v>
      </c>
      <c r="B71" s="89">
        <v>17.079999999999998</v>
      </c>
      <c r="C71" s="89">
        <v>4.16</v>
      </c>
      <c r="D71" s="89"/>
    </row>
    <row r="72" spans="1:4" x14ac:dyDescent="0.25">
      <c r="A72" s="88">
        <v>65</v>
      </c>
      <c r="B72" s="89">
        <v>16.45</v>
      </c>
      <c r="C72" s="89">
        <v>4.16</v>
      </c>
      <c r="D72" s="89"/>
    </row>
    <row r="73" spans="1:4" x14ac:dyDescent="0.25">
      <c r="A73" s="88">
        <v>66</v>
      </c>
      <c r="B73" s="89">
        <v>15.83</v>
      </c>
      <c r="C73" s="89">
        <v>4.1500000000000004</v>
      </c>
      <c r="D73" s="89"/>
    </row>
    <row r="74" spans="1:4" x14ac:dyDescent="0.25">
      <c r="A74" s="88">
        <v>67</v>
      </c>
      <c r="B74" s="89">
        <v>15.2</v>
      </c>
      <c r="C74" s="89">
        <v>4.1399999999999997</v>
      </c>
      <c r="D74" s="89"/>
    </row>
    <row r="75" spans="1:4" x14ac:dyDescent="0.25">
      <c r="A75" s="88">
        <v>68</v>
      </c>
      <c r="B75" s="89">
        <v>14.57</v>
      </c>
      <c r="C75" s="89">
        <v>4.12</v>
      </c>
      <c r="D75" s="89"/>
    </row>
    <row r="76" spans="1:4" x14ac:dyDescent="0.25">
      <c r="A76" s="88">
        <v>69</v>
      </c>
      <c r="B76" s="89">
        <v>13.94</v>
      </c>
      <c r="C76" s="89">
        <v>4.05</v>
      </c>
      <c r="D76" s="89">
        <v>2.77</v>
      </c>
    </row>
    <row r="77" spans="1:4" x14ac:dyDescent="0.25">
      <c r="A77" s="88">
        <v>70</v>
      </c>
      <c r="B77" s="89">
        <v>13.32</v>
      </c>
      <c r="C77" s="89">
        <v>3.97</v>
      </c>
      <c r="D77" s="89">
        <v>2.57</v>
      </c>
    </row>
    <row r="78" spans="1:4" x14ac:dyDescent="0.25">
      <c r="A78" s="88">
        <v>71</v>
      </c>
      <c r="B78" s="89">
        <v>12.7</v>
      </c>
      <c r="C78" s="89">
        <v>3.94</v>
      </c>
      <c r="D78" s="89">
        <v>2.38</v>
      </c>
    </row>
    <row r="79" spans="1:4" x14ac:dyDescent="0.25">
      <c r="A79" s="88">
        <v>72</v>
      </c>
      <c r="B79" s="89">
        <v>12.08</v>
      </c>
      <c r="C79" s="89">
        <v>3.9</v>
      </c>
      <c r="D79" s="89">
        <v>2.2000000000000002</v>
      </c>
    </row>
    <row r="80" spans="1:4" x14ac:dyDescent="0.25">
      <c r="A80" s="88">
        <v>73</v>
      </c>
      <c r="B80" s="89">
        <v>11.47</v>
      </c>
      <c r="C80" s="89">
        <v>3.86</v>
      </c>
      <c r="D80" s="89">
        <v>2.02</v>
      </c>
    </row>
    <row r="81" spans="1:4" x14ac:dyDescent="0.25">
      <c r="A81" s="88">
        <v>74</v>
      </c>
      <c r="B81" s="89">
        <v>10.86</v>
      </c>
      <c r="C81" s="89">
        <v>3.68</v>
      </c>
      <c r="D81" s="89">
        <v>1.84</v>
      </c>
    </row>
    <row r="82" spans="1:4" x14ac:dyDescent="0.25">
      <c r="A82" s="88">
        <v>75</v>
      </c>
      <c r="B82" s="89">
        <v>10.27</v>
      </c>
      <c r="C82" s="89">
        <v>3.51</v>
      </c>
      <c r="D82" s="89">
        <v>1.67</v>
      </c>
    </row>
    <row r="83" spans="1:4" x14ac:dyDescent="0.25">
      <c r="A83" s="88">
        <v>76</v>
      </c>
      <c r="B83" s="89">
        <v>9.68</v>
      </c>
      <c r="C83" s="89">
        <v>3.44</v>
      </c>
      <c r="D83" s="89">
        <v>1.52</v>
      </c>
    </row>
    <row r="84" spans="1:4" x14ac:dyDescent="0.25">
      <c r="A84" s="88">
        <v>77</v>
      </c>
      <c r="B84" s="89">
        <v>9.11</v>
      </c>
      <c r="C84" s="89">
        <v>3.38</v>
      </c>
      <c r="D84" s="89">
        <v>1.38</v>
      </c>
    </row>
    <row r="85" spans="1:4" x14ac:dyDescent="0.25">
      <c r="A85" s="88">
        <v>78</v>
      </c>
      <c r="B85" s="89">
        <v>8.5500000000000007</v>
      </c>
      <c r="C85" s="89">
        <v>3.3</v>
      </c>
      <c r="D85" s="89">
        <v>1.24</v>
      </c>
    </row>
    <row r="86" spans="1:4" x14ac:dyDescent="0.25">
      <c r="A86" s="88">
        <v>79</v>
      </c>
      <c r="B86" s="89">
        <v>8</v>
      </c>
      <c r="C86" s="89">
        <v>3.02</v>
      </c>
      <c r="D86" s="89">
        <v>1.1000000000000001</v>
      </c>
    </row>
    <row r="87" spans="1:4" x14ac:dyDescent="0.25">
      <c r="A87" s="88">
        <v>80</v>
      </c>
      <c r="B87" s="89">
        <v>7.47</v>
      </c>
      <c r="C87" s="89">
        <v>2.74</v>
      </c>
      <c r="D87" s="89">
        <v>0.97</v>
      </c>
    </row>
    <row r="88" spans="1:4" x14ac:dyDescent="0.25">
      <c r="A88" s="88">
        <v>81</v>
      </c>
      <c r="B88" s="89">
        <v>6.96</v>
      </c>
      <c r="C88" s="89">
        <v>2.65</v>
      </c>
      <c r="D88" s="89">
        <v>0.86</v>
      </c>
    </row>
    <row r="89" spans="1:4" x14ac:dyDescent="0.25">
      <c r="A89" s="88">
        <v>82</v>
      </c>
      <c r="B89" s="89">
        <v>6.47</v>
      </c>
      <c r="C89" s="89">
        <v>2.56</v>
      </c>
      <c r="D89" s="89">
        <v>0.77</v>
      </c>
    </row>
    <row r="90" spans="1:4" x14ac:dyDescent="0.25">
      <c r="A90" s="88">
        <v>83</v>
      </c>
      <c r="B90" s="89">
        <v>6</v>
      </c>
      <c r="C90" s="89">
        <v>2.46</v>
      </c>
      <c r="D90" s="89">
        <v>0.68</v>
      </c>
    </row>
    <row r="91" spans="1:4" x14ac:dyDescent="0.25">
      <c r="A91" s="88">
        <v>84</v>
      </c>
      <c r="B91" s="89">
        <v>5.55</v>
      </c>
      <c r="C91" s="89">
        <v>2.14</v>
      </c>
      <c r="D91" s="89">
        <v>0.57999999999999996</v>
      </c>
    </row>
    <row r="92" spans="1:4" x14ac:dyDescent="0.25">
      <c r="A92" s="88">
        <v>85</v>
      </c>
      <c r="B92" s="89">
        <v>5.13</v>
      </c>
      <c r="C92" s="89">
        <v>1.83</v>
      </c>
      <c r="D92" s="89">
        <v>0.49</v>
      </c>
    </row>
  </sheetData>
  <sheetProtection algorithmName="SHA-512" hashValue="iZ6Tn4s+sTaiFNEtBFoUSXy6/1lxUkowspn/KRhFJssnHqaedfZ1ElJFWEOXPxiTy+tWP5WP3da4S+emStvDLQ==" saltValue="2p/yv963IUH9R5nkaHCiKA==" spinCount="100000" sheet="1" objects="1" scenarios="1"/>
  <conditionalFormatting sqref="A6:A21">
    <cfRule type="expression" dxfId="555" priority="3" stopIfTrue="1">
      <formula>MOD(ROW(),2)=0</formula>
    </cfRule>
    <cfRule type="expression" dxfId="554" priority="4" stopIfTrue="1">
      <formula>MOD(ROW(),2)&lt;&gt;0</formula>
    </cfRule>
  </conditionalFormatting>
  <conditionalFormatting sqref="A26:A92">
    <cfRule type="expression" dxfId="553" priority="13" stopIfTrue="1">
      <formula>MOD(ROW(),2)=0</formula>
    </cfRule>
    <cfRule type="expression" dxfId="552" priority="14" stopIfTrue="1">
      <formula>MOD(ROW(),2)&lt;&gt;0</formula>
    </cfRule>
  </conditionalFormatting>
  <conditionalFormatting sqref="B18:B21">
    <cfRule type="expression" dxfId="551" priority="1" stopIfTrue="1">
      <formula>MOD(ROW(),2)=0</formula>
    </cfRule>
    <cfRule type="expression" dxfId="550" priority="2" stopIfTrue="1">
      <formula>MOD(ROW(),2)&lt;&gt;0</formula>
    </cfRule>
  </conditionalFormatting>
  <conditionalFormatting sqref="B6:D21">
    <cfRule type="expression" dxfId="549" priority="23" stopIfTrue="1">
      <formula>MOD(ROW(),2)=0</formula>
    </cfRule>
    <cfRule type="expression" dxfId="548" priority="24" stopIfTrue="1">
      <formula>MOD(ROW(),2)&lt;&gt;0</formula>
    </cfRule>
  </conditionalFormatting>
  <conditionalFormatting sqref="B26:D92">
    <cfRule type="expression" dxfId="547" priority="15" stopIfTrue="1">
      <formula>MOD(ROW(),2)=0</formula>
    </cfRule>
    <cfRule type="expression" dxfId="546" priority="16" stopIfTrue="1">
      <formula>MOD(ROW(),2)&lt;&gt;0</formula>
    </cfRule>
  </conditionalFormatting>
  <conditionalFormatting sqref="C17:D17">
    <cfRule type="expression" dxfId="545" priority="9" stopIfTrue="1">
      <formula>MOD(ROW(),2)=0</formula>
    </cfRule>
    <cfRule type="expression" dxfId="544"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1"/>
  <dimension ref="A1:I92"/>
  <sheetViews>
    <sheetView showGridLines="0" zoomScale="85" zoomScaleNormal="85" workbookViewId="0">
      <selection activeCell="A4" sqref="A4"/>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PenCE - x-308</v>
      </c>
      <c r="B3" s="42"/>
      <c r="C3" s="42"/>
      <c r="D3" s="42"/>
      <c r="E3" s="42"/>
      <c r="F3" s="42"/>
      <c r="G3" s="42"/>
      <c r="H3" s="42"/>
      <c r="I3" s="42"/>
    </row>
    <row r="4" spans="1:9" x14ac:dyDescent="0.25">
      <c r="A4" s="44"/>
    </row>
    <row r="6" spans="1:9" x14ac:dyDescent="0.25">
      <c r="A6" s="75" t="s">
        <v>484</v>
      </c>
      <c r="B6" s="162" t="s">
        <v>485</v>
      </c>
      <c r="C6" s="162"/>
      <c r="D6" s="162"/>
    </row>
    <row r="7" spans="1:9" x14ac:dyDescent="0.25">
      <c r="A7" s="76" t="s">
        <v>486</v>
      </c>
      <c r="B7" s="162" t="s">
        <v>81</v>
      </c>
      <c r="C7" s="162"/>
      <c r="D7" s="162"/>
    </row>
    <row r="8" spans="1:9" x14ac:dyDescent="0.25">
      <c r="A8" s="76" t="s">
        <v>282</v>
      </c>
      <c r="B8" s="162">
        <v>2006</v>
      </c>
      <c r="C8" s="162"/>
      <c r="D8" s="162"/>
    </row>
    <row r="9" spans="1:9" x14ac:dyDescent="0.25">
      <c r="A9" s="76" t="s">
        <v>283</v>
      </c>
      <c r="B9" s="162" t="s">
        <v>324</v>
      </c>
      <c r="C9" s="162"/>
      <c r="D9" s="162"/>
    </row>
    <row r="10" spans="1:9" x14ac:dyDescent="0.25">
      <c r="A10" s="76" t="s">
        <v>6</v>
      </c>
      <c r="B10" s="162" t="s">
        <v>328</v>
      </c>
      <c r="C10" s="162"/>
      <c r="D10" s="162"/>
    </row>
    <row r="11" spans="1:9" x14ac:dyDescent="0.25">
      <c r="A11" s="76" t="s">
        <v>284</v>
      </c>
      <c r="B11" s="162" t="s">
        <v>299</v>
      </c>
      <c r="C11" s="162"/>
      <c r="D11" s="162"/>
    </row>
    <row r="12" spans="1:9" x14ac:dyDescent="0.25">
      <c r="A12" s="76" t="s">
        <v>285</v>
      </c>
      <c r="B12" s="162" t="s">
        <v>295</v>
      </c>
      <c r="C12" s="162"/>
      <c r="D12" s="162"/>
    </row>
    <row r="13" spans="1:9" x14ac:dyDescent="0.25">
      <c r="A13" s="76" t="s">
        <v>493</v>
      </c>
      <c r="B13" s="162">
        <v>1</v>
      </c>
      <c r="C13" s="162"/>
      <c r="D13" s="162"/>
    </row>
    <row r="14" spans="1:9" x14ac:dyDescent="0.25">
      <c r="A14" s="76" t="s">
        <v>287</v>
      </c>
      <c r="B14" s="162">
        <v>308</v>
      </c>
      <c r="C14" s="162"/>
      <c r="D14" s="162"/>
    </row>
    <row r="15" spans="1:9" x14ac:dyDescent="0.25">
      <c r="A15" s="76" t="s">
        <v>496</v>
      </c>
      <c r="B15" s="162" t="s">
        <v>600</v>
      </c>
      <c r="C15" s="162"/>
      <c r="D15" s="162"/>
    </row>
    <row r="16" spans="1:9" x14ac:dyDescent="0.25">
      <c r="A16" s="76" t="s">
        <v>288</v>
      </c>
      <c r="B16" s="162" t="s">
        <v>330</v>
      </c>
      <c r="C16" s="162"/>
      <c r="D16" s="162"/>
    </row>
    <row r="17" spans="1:4" ht="51" customHeight="1" x14ac:dyDescent="0.25">
      <c r="A17" s="76" t="s">
        <v>568</v>
      </c>
      <c r="B17" s="162"/>
      <c r="C17" s="162"/>
      <c r="D17" s="162"/>
    </row>
    <row r="18" spans="1:4" x14ac:dyDescent="0.25">
      <c r="A18" s="76" t="s">
        <v>500</v>
      </c>
      <c r="B18" s="164">
        <v>45070</v>
      </c>
      <c r="C18" s="162"/>
      <c r="D18" s="162"/>
    </row>
    <row r="19" spans="1:4" x14ac:dyDescent="0.25">
      <c r="A19" s="76" t="s">
        <v>290</v>
      </c>
      <c r="B19" s="164">
        <v>45014</v>
      </c>
      <c r="C19" s="162"/>
      <c r="D19" s="162"/>
    </row>
    <row r="20" spans="1:4" x14ac:dyDescent="0.25">
      <c r="A20" s="76" t="s">
        <v>291</v>
      </c>
      <c r="B20" s="162" t="s">
        <v>298</v>
      </c>
      <c r="C20" s="162"/>
      <c r="D20" s="162"/>
    </row>
    <row r="21" spans="1:4" x14ac:dyDescent="0.25">
      <c r="A21" s="150" t="s">
        <v>569</v>
      </c>
      <c r="B21" s="162" t="s">
        <v>297</v>
      </c>
      <c r="C21" s="162"/>
      <c r="D21" s="162"/>
    </row>
    <row r="23" spans="1:4" x14ac:dyDescent="0.25">
      <c r="B23" s="91" t="str">
        <f>HYPERLINK("#'Factor List'!A1","Back to Factor List")</f>
        <v>Back to Factor List</v>
      </c>
    </row>
    <row r="24" spans="1:4" x14ac:dyDescent="0.25">
      <c r="B24" s="91" t="str">
        <f>HYPERLINK("#'Assumptions'!A1","Assumptions")</f>
        <v>Assumptions</v>
      </c>
    </row>
    <row r="26" spans="1:4" ht="40.5" customHeight="1" x14ac:dyDescent="0.25">
      <c r="A26" s="87" t="s">
        <v>570</v>
      </c>
      <c r="B26" s="87" t="s">
        <v>591</v>
      </c>
      <c r="C26" s="87" t="s">
        <v>572</v>
      </c>
      <c r="D26" s="87" t="s">
        <v>593</v>
      </c>
    </row>
    <row r="27" spans="1:4" x14ac:dyDescent="0.25">
      <c r="A27" s="88">
        <v>20</v>
      </c>
      <c r="B27" s="89">
        <v>39.159999999999997</v>
      </c>
      <c r="C27" s="89">
        <v>2.7</v>
      </c>
      <c r="D27" s="89"/>
    </row>
    <row r="28" spans="1:4" x14ac:dyDescent="0.25">
      <c r="A28" s="88">
        <v>21</v>
      </c>
      <c r="B28" s="89">
        <v>38.79</v>
      </c>
      <c r="C28" s="89">
        <v>2.75</v>
      </c>
      <c r="D28" s="89"/>
    </row>
    <row r="29" spans="1:4" x14ac:dyDescent="0.25">
      <c r="A29" s="88">
        <v>22</v>
      </c>
      <c r="B29" s="89">
        <v>38.42</v>
      </c>
      <c r="C29" s="89">
        <v>2.79</v>
      </c>
      <c r="D29" s="89"/>
    </row>
    <row r="30" spans="1:4" x14ac:dyDescent="0.25">
      <c r="A30" s="88">
        <v>23</v>
      </c>
      <c r="B30" s="89">
        <v>38.04</v>
      </c>
      <c r="C30" s="89">
        <v>2.83</v>
      </c>
      <c r="D30" s="89"/>
    </row>
    <row r="31" spans="1:4" x14ac:dyDescent="0.25">
      <c r="A31" s="88">
        <v>24</v>
      </c>
      <c r="B31" s="89">
        <v>37.659999999999997</v>
      </c>
      <c r="C31" s="89">
        <v>2.88</v>
      </c>
      <c r="D31" s="89"/>
    </row>
    <row r="32" spans="1:4" x14ac:dyDescent="0.25">
      <c r="A32" s="88">
        <v>25</v>
      </c>
      <c r="B32" s="89">
        <v>37.270000000000003</v>
      </c>
      <c r="C32" s="89">
        <v>2.92</v>
      </c>
      <c r="D32" s="89"/>
    </row>
    <row r="33" spans="1:4" x14ac:dyDescent="0.25">
      <c r="A33" s="88">
        <v>26</v>
      </c>
      <c r="B33" s="89">
        <v>36.869999999999997</v>
      </c>
      <c r="C33" s="89">
        <v>2.96</v>
      </c>
      <c r="D33" s="89"/>
    </row>
    <row r="34" spans="1:4" x14ac:dyDescent="0.25">
      <c r="A34" s="88">
        <v>27</v>
      </c>
      <c r="B34" s="89">
        <v>36.47</v>
      </c>
      <c r="C34" s="89">
        <v>3.01</v>
      </c>
      <c r="D34" s="89"/>
    </row>
    <row r="35" spans="1:4" x14ac:dyDescent="0.25">
      <c r="A35" s="88">
        <v>28</v>
      </c>
      <c r="B35" s="89">
        <v>36.06</v>
      </c>
      <c r="C35" s="89">
        <v>3.05</v>
      </c>
      <c r="D35" s="89"/>
    </row>
    <row r="36" spans="1:4" x14ac:dyDescent="0.25">
      <c r="A36" s="88">
        <v>29</v>
      </c>
      <c r="B36" s="89">
        <v>35.65</v>
      </c>
      <c r="C36" s="89">
        <v>3.1</v>
      </c>
      <c r="D36" s="89"/>
    </row>
    <row r="37" spans="1:4" x14ac:dyDescent="0.25">
      <c r="A37" s="88">
        <v>30</v>
      </c>
      <c r="B37" s="89">
        <v>35.229999999999997</v>
      </c>
      <c r="C37" s="89">
        <v>3.14</v>
      </c>
      <c r="D37" s="89"/>
    </row>
    <row r="38" spans="1:4" x14ac:dyDescent="0.25">
      <c r="A38" s="88">
        <v>31</v>
      </c>
      <c r="B38" s="89">
        <v>34.799999999999997</v>
      </c>
      <c r="C38" s="89">
        <v>3.18</v>
      </c>
      <c r="D38" s="89"/>
    </row>
    <row r="39" spans="1:4" x14ac:dyDescent="0.25">
      <c r="A39" s="88">
        <v>32</v>
      </c>
      <c r="B39" s="89">
        <v>34.369999999999997</v>
      </c>
      <c r="C39" s="89">
        <v>3.23</v>
      </c>
      <c r="D39" s="89"/>
    </row>
    <row r="40" spans="1:4" x14ac:dyDescent="0.25">
      <c r="A40" s="88">
        <v>33</v>
      </c>
      <c r="B40" s="89">
        <v>33.93</v>
      </c>
      <c r="C40" s="89">
        <v>3.27</v>
      </c>
      <c r="D40" s="89"/>
    </row>
    <row r="41" spans="1:4" x14ac:dyDescent="0.25">
      <c r="A41" s="88">
        <v>34</v>
      </c>
      <c r="B41" s="89">
        <v>33.479999999999997</v>
      </c>
      <c r="C41" s="89">
        <v>3.31</v>
      </c>
      <c r="D41" s="89"/>
    </row>
    <row r="42" spans="1:4" x14ac:dyDescent="0.25">
      <c r="A42" s="88">
        <v>35</v>
      </c>
      <c r="B42" s="89">
        <v>33.03</v>
      </c>
      <c r="C42" s="89">
        <v>3.35</v>
      </c>
      <c r="D42" s="89"/>
    </row>
    <row r="43" spans="1:4" x14ac:dyDescent="0.25">
      <c r="A43" s="88">
        <v>36</v>
      </c>
      <c r="B43" s="89">
        <v>32.57</v>
      </c>
      <c r="C43" s="89">
        <v>3.39</v>
      </c>
      <c r="D43" s="89"/>
    </row>
    <row r="44" spans="1:4" x14ac:dyDescent="0.25">
      <c r="A44" s="88">
        <v>37</v>
      </c>
      <c r="B44" s="89">
        <v>32.11</v>
      </c>
      <c r="C44" s="89">
        <v>3.43</v>
      </c>
      <c r="D44" s="89"/>
    </row>
    <row r="45" spans="1:4" x14ac:dyDescent="0.25">
      <c r="A45" s="88">
        <v>38</v>
      </c>
      <c r="B45" s="89">
        <v>31.63</v>
      </c>
      <c r="C45" s="89">
        <v>3.47</v>
      </c>
      <c r="D45" s="89"/>
    </row>
    <row r="46" spans="1:4" x14ac:dyDescent="0.25">
      <c r="A46" s="88">
        <v>39</v>
      </c>
      <c r="B46" s="89">
        <v>31.15</v>
      </c>
      <c r="C46" s="89">
        <v>3.51</v>
      </c>
      <c r="D46" s="89"/>
    </row>
    <row r="47" spans="1:4" x14ac:dyDescent="0.25">
      <c r="A47" s="88">
        <v>40</v>
      </c>
      <c r="B47" s="89">
        <v>30.67</v>
      </c>
      <c r="C47" s="89">
        <v>3.55</v>
      </c>
      <c r="D47" s="89"/>
    </row>
    <row r="48" spans="1:4" x14ac:dyDescent="0.25">
      <c r="A48" s="88">
        <v>41</v>
      </c>
      <c r="B48" s="89">
        <v>30.18</v>
      </c>
      <c r="C48" s="89">
        <v>3.59</v>
      </c>
      <c r="D48" s="89"/>
    </row>
    <row r="49" spans="1:4" x14ac:dyDescent="0.25">
      <c r="A49" s="88">
        <v>42</v>
      </c>
      <c r="B49" s="89">
        <v>29.68</v>
      </c>
      <c r="C49" s="89">
        <v>3.63</v>
      </c>
      <c r="D49" s="89"/>
    </row>
    <row r="50" spans="1:4" x14ac:dyDescent="0.25">
      <c r="A50" s="88">
        <v>43</v>
      </c>
      <c r="B50" s="89">
        <v>29.17</v>
      </c>
      <c r="C50" s="89">
        <v>3.67</v>
      </c>
      <c r="D50" s="89"/>
    </row>
    <row r="51" spans="1:4" x14ac:dyDescent="0.25">
      <c r="A51" s="88">
        <v>44</v>
      </c>
      <c r="B51" s="89">
        <v>28.66</v>
      </c>
      <c r="C51" s="89">
        <v>3.7</v>
      </c>
      <c r="D51" s="89"/>
    </row>
    <row r="52" spans="1:4" x14ac:dyDescent="0.25">
      <c r="A52" s="88">
        <v>45</v>
      </c>
      <c r="B52" s="89">
        <v>28.14</v>
      </c>
      <c r="C52" s="89">
        <v>3.73</v>
      </c>
      <c r="D52" s="89"/>
    </row>
    <row r="53" spans="1:4" x14ac:dyDescent="0.25">
      <c r="A53" s="88">
        <v>46</v>
      </c>
      <c r="B53" s="89">
        <v>27.62</v>
      </c>
      <c r="C53" s="89">
        <v>3.77</v>
      </c>
      <c r="D53" s="89"/>
    </row>
    <row r="54" spans="1:4" x14ac:dyDescent="0.25">
      <c r="A54" s="88">
        <v>47</v>
      </c>
      <c r="B54" s="89">
        <v>27.09</v>
      </c>
      <c r="C54" s="89">
        <v>3.8</v>
      </c>
      <c r="D54" s="89"/>
    </row>
    <row r="55" spans="1:4" x14ac:dyDescent="0.25">
      <c r="A55" s="88">
        <v>48</v>
      </c>
      <c r="B55" s="89">
        <v>26.55</v>
      </c>
      <c r="C55" s="89">
        <v>3.83</v>
      </c>
      <c r="D55" s="89"/>
    </row>
    <row r="56" spans="1:4" x14ac:dyDescent="0.25">
      <c r="A56" s="88">
        <v>49</v>
      </c>
      <c r="B56" s="89">
        <v>26.01</v>
      </c>
      <c r="C56" s="89">
        <v>3.86</v>
      </c>
      <c r="D56" s="89"/>
    </row>
    <row r="57" spans="1:4" x14ac:dyDescent="0.25">
      <c r="A57" s="88">
        <v>50</v>
      </c>
      <c r="B57" s="89">
        <v>25.46</v>
      </c>
      <c r="C57" s="89">
        <v>3.89</v>
      </c>
      <c r="D57" s="89"/>
    </row>
    <row r="58" spans="1:4" x14ac:dyDescent="0.25">
      <c r="A58" s="88">
        <v>51</v>
      </c>
      <c r="B58" s="89">
        <v>24.9</v>
      </c>
      <c r="C58" s="89">
        <v>3.92</v>
      </c>
      <c r="D58" s="89"/>
    </row>
    <row r="59" spans="1:4" x14ac:dyDescent="0.25">
      <c r="A59" s="88">
        <v>52</v>
      </c>
      <c r="B59" s="89">
        <v>24.34</v>
      </c>
      <c r="C59" s="89">
        <v>3.95</v>
      </c>
      <c r="D59" s="89"/>
    </row>
    <row r="60" spans="1:4" x14ac:dyDescent="0.25">
      <c r="A60" s="88">
        <v>53</v>
      </c>
      <c r="B60" s="89">
        <v>23.76</v>
      </c>
      <c r="C60" s="89">
        <v>3.98</v>
      </c>
      <c r="D60" s="89"/>
    </row>
    <row r="61" spans="1:4" x14ac:dyDescent="0.25">
      <c r="A61" s="88">
        <v>54</v>
      </c>
      <c r="B61" s="89">
        <v>23.18</v>
      </c>
      <c r="C61" s="89">
        <v>4</v>
      </c>
      <c r="D61" s="89"/>
    </row>
    <row r="62" spans="1:4" x14ac:dyDescent="0.25">
      <c r="A62" s="88">
        <v>55</v>
      </c>
      <c r="B62" s="89">
        <v>22.6</v>
      </c>
      <c r="C62" s="89">
        <v>4.03</v>
      </c>
      <c r="D62" s="89"/>
    </row>
    <row r="63" spans="1:4" x14ac:dyDescent="0.25">
      <c r="A63" s="88">
        <v>56</v>
      </c>
      <c r="B63" s="89">
        <v>22.01</v>
      </c>
      <c r="C63" s="89">
        <v>4.05</v>
      </c>
      <c r="D63" s="89"/>
    </row>
    <row r="64" spans="1:4" x14ac:dyDescent="0.25">
      <c r="A64" s="88">
        <v>57</v>
      </c>
      <c r="B64" s="89">
        <v>21.41</v>
      </c>
      <c r="C64" s="89">
        <v>4.07</v>
      </c>
      <c r="D64" s="89"/>
    </row>
    <row r="65" spans="1:4" x14ac:dyDescent="0.25">
      <c r="A65" s="88">
        <v>58</v>
      </c>
      <c r="B65" s="89">
        <v>20.8</v>
      </c>
      <c r="C65" s="89">
        <v>4.0999999999999996</v>
      </c>
      <c r="D65" s="89"/>
    </row>
    <row r="66" spans="1:4" x14ac:dyDescent="0.25">
      <c r="A66" s="88">
        <v>59</v>
      </c>
      <c r="B66" s="89">
        <v>20.190000000000001</v>
      </c>
      <c r="C66" s="89">
        <v>4.1100000000000003</v>
      </c>
      <c r="D66" s="89"/>
    </row>
    <row r="67" spans="1:4" x14ac:dyDescent="0.25">
      <c r="A67" s="88">
        <v>60</v>
      </c>
      <c r="B67" s="89">
        <v>19.579999999999998</v>
      </c>
      <c r="C67" s="89">
        <v>4.13</v>
      </c>
      <c r="D67" s="89"/>
    </row>
    <row r="68" spans="1:4" x14ac:dyDescent="0.25">
      <c r="A68" s="88">
        <v>61</v>
      </c>
      <c r="B68" s="89">
        <v>18.96</v>
      </c>
      <c r="C68" s="89">
        <v>4.1399999999999997</v>
      </c>
      <c r="D68" s="89"/>
    </row>
    <row r="69" spans="1:4" x14ac:dyDescent="0.25">
      <c r="A69" s="88">
        <v>62</v>
      </c>
      <c r="B69" s="89">
        <v>18.329999999999998</v>
      </c>
      <c r="C69" s="89">
        <v>4.16</v>
      </c>
      <c r="D69" s="89"/>
    </row>
    <row r="70" spans="1:4" x14ac:dyDescent="0.25">
      <c r="A70" s="88">
        <v>63</v>
      </c>
      <c r="B70" s="89">
        <v>17.71</v>
      </c>
      <c r="C70" s="89">
        <v>4.16</v>
      </c>
      <c r="D70" s="89"/>
    </row>
    <row r="71" spans="1:4" x14ac:dyDescent="0.25">
      <c r="A71" s="88">
        <v>64</v>
      </c>
      <c r="B71" s="89">
        <v>17.079999999999998</v>
      </c>
      <c r="C71" s="89">
        <v>4.16</v>
      </c>
      <c r="D71" s="89"/>
    </row>
    <row r="72" spans="1:4" x14ac:dyDescent="0.25">
      <c r="A72" s="88">
        <v>65</v>
      </c>
      <c r="B72" s="89">
        <v>16.45</v>
      </c>
      <c r="C72" s="89">
        <v>4.16</v>
      </c>
      <c r="D72" s="89"/>
    </row>
    <row r="73" spans="1:4" x14ac:dyDescent="0.25">
      <c r="A73" s="88">
        <v>66</v>
      </c>
      <c r="B73" s="89">
        <v>15.83</v>
      </c>
      <c r="C73" s="89">
        <v>4.1500000000000004</v>
      </c>
      <c r="D73" s="89"/>
    </row>
    <row r="74" spans="1:4" x14ac:dyDescent="0.25">
      <c r="A74" s="88">
        <v>67</v>
      </c>
      <c r="B74" s="89">
        <v>15.2</v>
      </c>
      <c r="C74" s="89">
        <v>4.1399999999999997</v>
      </c>
      <c r="D74" s="89"/>
    </row>
    <row r="75" spans="1:4" x14ac:dyDescent="0.25">
      <c r="A75" s="88">
        <v>68</v>
      </c>
      <c r="B75" s="89">
        <v>14.57</v>
      </c>
      <c r="C75" s="89">
        <v>4.12</v>
      </c>
      <c r="D75" s="89"/>
    </row>
    <row r="76" spans="1:4" x14ac:dyDescent="0.25">
      <c r="A76" s="88">
        <v>69</v>
      </c>
      <c r="B76" s="89">
        <v>13.94</v>
      </c>
      <c r="C76" s="89">
        <v>4.05</v>
      </c>
      <c r="D76" s="89">
        <v>2.6</v>
      </c>
    </row>
    <row r="77" spans="1:4" x14ac:dyDescent="0.25">
      <c r="A77" s="88">
        <v>70</v>
      </c>
      <c r="B77" s="89">
        <v>13.32</v>
      </c>
      <c r="C77" s="89">
        <v>3.97</v>
      </c>
      <c r="D77" s="89">
        <v>2.41</v>
      </c>
    </row>
    <row r="78" spans="1:4" x14ac:dyDescent="0.25">
      <c r="A78" s="88">
        <v>71</v>
      </c>
      <c r="B78" s="89">
        <v>12.7</v>
      </c>
      <c r="C78" s="89">
        <v>3.94</v>
      </c>
      <c r="D78" s="89">
        <v>2.2200000000000002</v>
      </c>
    </row>
    <row r="79" spans="1:4" x14ac:dyDescent="0.25">
      <c r="A79" s="88">
        <v>72</v>
      </c>
      <c r="B79" s="89">
        <v>12.08</v>
      </c>
      <c r="C79" s="89">
        <v>3.9</v>
      </c>
      <c r="D79" s="89">
        <v>2.04</v>
      </c>
    </row>
    <row r="80" spans="1:4" x14ac:dyDescent="0.25">
      <c r="A80" s="88">
        <v>73</v>
      </c>
      <c r="B80" s="89">
        <v>11.47</v>
      </c>
      <c r="C80" s="89">
        <v>3.86</v>
      </c>
      <c r="D80" s="89">
        <v>1.87</v>
      </c>
    </row>
    <row r="81" spans="1:4" x14ac:dyDescent="0.25">
      <c r="A81" s="88">
        <v>74</v>
      </c>
      <c r="B81" s="89">
        <v>10.86</v>
      </c>
      <c r="C81" s="89">
        <v>3.68</v>
      </c>
      <c r="D81" s="89">
        <v>1.7</v>
      </c>
    </row>
    <row r="82" spans="1:4" x14ac:dyDescent="0.25">
      <c r="A82" s="88">
        <v>75</v>
      </c>
      <c r="B82" s="89">
        <v>10.27</v>
      </c>
      <c r="C82" s="89">
        <v>3.51</v>
      </c>
      <c r="D82" s="89">
        <v>1.55</v>
      </c>
    </row>
    <row r="83" spans="1:4" x14ac:dyDescent="0.25">
      <c r="A83" s="88">
        <v>76</v>
      </c>
      <c r="B83" s="89">
        <v>9.68</v>
      </c>
      <c r="C83" s="89">
        <v>3.44</v>
      </c>
      <c r="D83" s="89">
        <v>1.4</v>
      </c>
    </row>
    <row r="84" spans="1:4" x14ac:dyDescent="0.25">
      <c r="A84" s="88">
        <v>77</v>
      </c>
      <c r="B84" s="89">
        <v>9.11</v>
      </c>
      <c r="C84" s="89">
        <v>3.38</v>
      </c>
      <c r="D84" s="89">
        <v>1.26</v>
      </c>
    </row>
    <row r="85" spans="1:4" x14ac:dyDescent="0.25">
      <c r="A85" s="88">
        <v>78</v>
      </c>
      <c r="B85" s="89">
        <v>8.5500000000000007</v>
      </c>
      <c r="C85" s="89">
        <v>3.3</v>
      </c>
      <c r="D85" s="89">
        <v>1.1299999999999999</v>
      </c>
    </row>
    <row r="86" spans="1:4" x14ac:dyDescent="0.25">
      <c r="A86" s="88">
        <v>79</v>
      </c>
      <c r="B86" s="89">
        <v>8</v>
      </c>
      <c r="C86" s="89">
        <v>3.02</v>
      </c>
      <c r="D86" s="89">
        <v>1</v>
      </c>
    </row>
    <row r="87" spans="1:4" x14ac:dyDescent="0.25">
      <c r="A87" s="88">
        <v>80</v>
      </c>
      <c r="B87" s="89">
        <v>7.47</v>
      </c>
      <c r="C87" s="89">
        <v>2.74</v>
      </c>
      <c r="D87" s="89">
        <v>0.89</v>
      </c>
    </row>
    <row r="88" spans="1:4" x14ac:dyDescent="0.25">
      <c r="A88" s="88">
        <v>81</v>
      </c>
      <c r="B88" s="89">
        <v>6.96</v>
      </c>
      <c r="C88" s="89">
        <v>2.65</v>
      </c>
      <c r="D88" s="89">
        <v>0.78</v>
      </c>
    </row>
    <row r="89" spans="1:4" x14ac:dyDescent="0.25">
      <c r="A89" s="88">
        <v>82</v>
      </c>
      <c r="B89" s="89">
        <v>6.47</v>
      </c>
      <c r="C89" s="89">
        <v>2.56</v>
      </c>
      <c r="D89" s="89">
        <v>0.69</v>
      </c>
    </row>
    <row r="90" spans="1:4" x14ac:dyDescent="0.25">
      <c r="A90" s="88">
        <v>83</v>
      </c>
      <c r="B90" s="89">
        <v>6</v>
      </c>
      <c r="C90" s="89">
        <v>2.46</v>
      </c>
      <c r="D90" s="89">
        <v>0.6</v>
      </c>
    </row>
    <row r="91" spans="1:4" x14ac:dyDescent="0.25">
      <c r="A91" s="88">
        <v>84</v>
      </c>
      <c r="B91" s="89">
        <v>5.55</v>
      </c>
      <c r="C91" s="89">
        <v>2.14</v>
      </c>
      <c r="D91" s="89">
        <v>0.52</v>
      </c>
    </row>
    <row r="92" spans="1:4" x14ac:dyDescent="0.25">
      <c r="A92" s="88">
        <v>85</v>
      </c>
      <c r="B92" s="89">
        <v>5.13</v>
      </c>
      <c r="C92" s="89">
        <v>1.83</v>
      </c>
      <c r="D92" s="89">
        <v>0.45</v>
      </c>
    </row>
  </sheetData>
  <sheetProtection algorithmName="SHA-512" hashValue="/ViUXjhi99JV56JuOk1QPtPxdBVSmMzQ5MjtA6jXFNN7lhpwaNmNQe5Mkt5MwjEdKdCPc0APC0QLNGFotEKQTA==" saltValue="AP0i5e7EHMy8KArF5gvgfQ==" spinCount="100000" sheet="1" objects="1" scenarios="1"/>
  <conditionalFormatting sqref="A6:A21">
    <cfRule type="expression" dxfId="543" priority="3" stopIfTrue="1">
      <formula>MOD(ROW(),2)=0</formula>
    </cfRule>
    <cfRule type="expression" dxfId="542" priority="4" stopIfTrue="1">
      <formula>MOD(ROW(),2)&lt;&gt;0</formula>
    </cfRule>
  </conditionalFormatting>
  <conditionalFormatting sqref="A26:A92">
    <cfRule type="expression" dxfId="541" priority="13" stopIfTrue="1">
      <formula>MOD(ROW(),2)=0</formula>
    </cfRule>
    <cfRule type="expression" dxfId="540" priority="14" stopIfTrue="1">
      <formula>MOD(ROW(),2)&lt;&gt;0</formula>
    </cfRule>
  </conditionalFormatting>
  <conditionalFormatting sqref="B18:B21">
    <cfRule type="expression" dxfId="539" priority="1" stopIfTrue="1">
      <formula>MOD(ROW(),2)=0</formula>
    </cfRule>
    <cfRule type="expression" dxfId="538" priority="2" stopIfTrue="1">
      <formula>MOD(ROW(),2)&lt;&gt;0</formula>
    </cfRule>
  </conditionalFormatting>
  <conditionalFormatting sqref="B6:D21">
    <cfRule type="expression" dxfId="537" priority="23" stopIfTrue="1">
      <formula>MOD(ROW(),2)=0</formula>
    </cfRule>
    <cfRule type="expression" dxfId="536" priority="24" stopIfTrue="1">
      <formula>MOD(ROW(),2)&lt;&gt;0</formula>
    </cfRule>
  </conditionalFormatting>
  <conditionalFormatting sqref="B26:D92">
    <cfRule type="expression" dxfId="535" priority="15" stopIfTrue="1">
      <formula>MOD(ROW(),2)=0</formula>
    </cfRule>
    <cfRule type="expression" dxfId="534" priority="16" stopIfTrue="1">
      <formula>MOD(ROW(),2)&lt;&gt;0</formula>
    </cfRule>
  </conditionalFormatting>
  <conditionalFormatting sqref="C17:D17">
    <cfRule type="expression" dxfId="533" priority="9" stopIfTrue="1">
      <formula>MOD(ROW(),2)=0</formula>
    </cfRule>
    <cfRule type="expression" dxfId="53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2"/>
  <dimension ref="A1:I65"/>
  <sheetViews>
    <sheetView showGridLines="0" zoomScale="85" zoomScaleNormal="85" workbookViewId="0">
      <selection activeCell="A4" sqref="A4"/>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PenCE - x-309</v>
      </c>
      <c r="B3" s="42"/>
      <c r="C3" s="42"/>
      <c r="D3" s="42"/>
      <c r="E3" s="42"/>
      <c r="F3" s="42"/>
      <c r="G3" s="42"/>
      <c r="H3" s="42"/>
      <c r="I3" s="42"/>
    </row>
    <row r="4" spans="1:9" x14ac:dyDescent="0.25">
      <c r="A4" s="44"/>
    </row>
    <row r="6" spans="1:9" x14ac:dyDescent="0.25">
      <c r="A6" s="75" t="s">
        <v>484</v>
      </c>
      <c r="B6" s="162" t="s">
        <v>485</v>
      </c>
      <c r="C6" s="162"/>
      <c r="D6" s="162"/>
    </row>
    <row r="7" spans="1:9" x14ac:dyDescent="0.25">
      <c r="A7" s="76" t="s">
        <v>486</v>
      </c>
      <c r="B7" s="162" t="s">
        <v>81</v>
      </c>
      <c r="C7" s="162"/>
      <c r="D7" s="162"/>
    </row>
    <row r="8" spans="1:9" x14ac:dyDescent="0.25">
      <c r="A8" s="76" t="s">
        <v>282</v>
      </c>
      <c r="B8" s="162">
        <v>2015</v>
      </c>
      <c r="C8" s="162"/>
      <c r="D8" s="162"/>
    </row>
    <row r="9" spans="1:9" x14ac:dyDescent="0.25">
      <c r="A9" s="76" t="s">
        <v>283</v>
      </c>
      <c r="B9" s="162" t="s">
        <v>324</v>
      </c>
      <c r="C9" s="162"/>
      <c r="D9" s="162"/>
    </row>
    <row r="10" spans="1:9" x14ac:dyDescent="0.25">
      <c r="A10" s="76" t="s">
        <v>6</v>
      </c>
      <c r="B10" s="162" t="s">
        <v>325</v>
      </c>
      <c r="C10" s="162"/>
      <c r="D10" s="162"/>
    </row>
    <row r="11" spans="1:9" x14ac:dyDescent="0.25">
      <c r="A11" s="76" t="s">
        <v>284</v>
      </c>
      <c r="B11" s="162" t="s">
        <v>294</v>
      </c>
      <c r="C11" s="162"/>
      <c r="D11" s="162"/>
    </row>
    <row r="12" spans="1:9" x14ac:dyDescent="0.25">
      <c r="A12" s="76" t="s">
        <v>285</v>
      </c>
      <c r="B12" s="162" t="s">
        <v>295</v>
      </c>
      <c r="C12" s="162"/>
      <c r="D12" s="162"/>
    </row>
    <row r="13" spans="1:9" x14ac:dyDescent="0.25">
      <c r="A13" s="76" t="s">
        <v>493</v>
      </c>
      <c r="B13" s="162">
        <v>0</v>
      </c>
      <c r="C13" s="162"/>
      <c r="D13" s="162"/>
    </row>
    <row r="14" spans="1:9" x14ac:dyDescent="0.25">
      <c r="A14" s="76" t="s">
        <v>287</v>
      </c>
      <c r="B14" s="162">
        <v>309</v>
      </c>
      <c r="C14" s="162"/>
      <c r="D14" s="162"/>
    </row>
    <row r="15" spans="1:9" x14ac:dyDescent="0.25">
      <c r="A15" s="76" t="s">
        <v>496</v>
      </c>
      <c r="B15" s="162" t="s">
        <v>601</v>
      </c>
      <c r="C15" s="162"/>
      <c r="D15" s="162"/>
    </row>
    <row r="16" spans="1:9" x14ac:dyDescent="0.25">
      <c r="A16" s="76" t="s">
        <v>288</v>
      </c>
      <c r="B16" s="162" t="s">
        <v>296</v>
      </c>
      <c r="C16" s="162"/>
      <c r="D16" s="162"/>
    </row>
    <row r="17" spans="1:4" ht="36.6" customHeight="1" x14ac:dyDescent="0.25">
      <c r="A17" s="76" t="s">
        <v>568</v>
      </c>
      <c r="B17" s="162"/>
      <c r="C17" s="162"/>
      <c r="D17" s="162"/>
    </row>
    <row r="18" spans="1:4" x14ac:dyDescent="0.25">
      <c r="A18" s="76" t="s">
        <v>500</v>
      </c>
      <c r="B18" s="164">
        <v>45070</v>
      </c>
      <c r="C18" s="162"/>
      <c r="D18" s="162"/>
    </row>
    <row r="19" spans="1:4" x14ac:dyDescent="0.25">
      <c r="A19" s="76" t="s">
        <v>290</v>
      </c>
      <c r="B19" s="164">
        <v>45014</v>
      </c>
      <c r="C19" s="162"/>
      <c r="D19" s="162"/>
    </row>
    <row r="20" spans="1:4" x14ac:dyDescent="0.25">
      <c r="A20" s="76" t="s">
        <v>291</v>
      </c>
      <c r="B20" s="162" t="s">
        <v>298</v>
      </c>
      <c r="C20" s="162"/>
      <c r="D20" s="162"/>
    </row>
    <row r="21" spans="1:4" x14ac:dyDescent="0.25">
      <c r="A21" s="150" t="s">
        <v>569</v>
      </c>
      <c r="B21" s="162" t="s">
        <v>297</v>
      </c>
      <c r="C21" s="162"/>
      <c r="D21" s="162"/>
    </row>
    <row r="23" spans="1:4" x14ac:dyDescent="0.25">
      <c r="B23" s="91" t="str">
        <f>HYPERLINK("#'Factor List'!A1","Back to Factor List")</f>
        <v>Back to Factor List</v>
      </c>
    </row>
    <row r="24" spans="1:4" x14ac:dyDescent="0.25">
      <c r="B24" s="91" t="str">
        <f>HYPERLINK("#'Assumptions'!A1","Assumptions")</f>
        <v>Assumptions</v>
      </c>
    </row>
    <row r="26" spans="1:4" ht="36" customHeight="1" x14ac:dyDescent="0.25">
      <c r="A26" s="87" t="s">
        <v>570</v>
      </c>
      <c r="B26" s="87" t="s">
        <v>591</v>
      </c>
      <c r="C26" s="87" t="s">
        <v>572</v>
      </c>
      <c r="D26" s="87" t="s">
        <v>593</v>
      </c>
    </row>
    <row r="27" spans="1:4" x14ac:dyDescent="0.25">
      <c r="A27" s="88">
        <v>55</v>
      </c>
      <c r="B27" s="89">
        <v>22.65</v>
      </c>
      <c r="C27" s="89">
        <v>4.03</v>
      </c>
      <c r="D27" s="89"/>
    </row>
    <row r="28" spans="1:4" x14ac:dyDescent="0.25">
      <c r="A28" s="88">
        <v>56</v>
      </c>
      <c r="B28" s="89">
        <v>22.06</v>
      </c>
      <c r="C28" s="89">
        <v>4.05</v>
      </c>
      <c r="D28" s="89"/>
    </row>
    <row r="29" spans="1:4" x14ac:dyDescent="0.25">
      <c r="A29" s="88">
        <v>57</v>
      </c>
      <c r="B29" s="89">
        <v>21.46</v>
      </c>
      <c r="C29" s="89">
        <v>4.07</v>
      </c>
      <c r="D29" s="89"/>
    </row>
    <row r="30" spans="1:4" x14ac:dyDescent="0.25">
      <c r="A30" s="88">
        <v>58</v>
      </c>
      <c r="B30" s="89">
        <v>20.87</v>
      </c>
      <c r="C30" s="89">
        <v>4.0999999999999996</v>
      </c>
      <c r="D30" s="89"/>
    </row>
    <row r="31" spans="1:4" x14ac:dyDescent="0.25">
      <c r="A31" s="88">
        <v>59</v>
      </c>
      <c r="B31" s="89">
        <v>20.260000000000002</v>
      </c>
      <c r="C31" s="89">
        <v>4.1100000000000003</v>
      </c>
      <c r="D31" s="89"/>
    </row>
    <row r="32" spans="1:4" x14ac:dyDescent="0.25">
      <c r="A32" s="88">
        <v>60</v>
      </c>
      <c r="B32" s="89">
        <v>19.64</v>
      </c>
      <c r="C32" s="89">
        <v>4.13</v>
      </c>
      <c r="D32" s="89"/>
    </row>
    <row r="33" spans="1:4" x14ac:dyDescent="0.25">
      <c r="A33" s="88">
        <v>61</v>
      </c>
      <c r="B33" s="89">
        <v>19</v>
      </c>
      <c r="C33" s="89">
        <v>4.1399999999999997</v>
      </c>
      <c r="D33" s="89"/>
    </row>
    <row r="34" spans="1:4" x14ac:dyDescent="0.25">
      <c r="A34" s="88">
        <v>62</v>
      </c>
      <c r="B34" s="89">
        <v>18.36</v>
      </c>
      <c r="C34" s="89">
        <v>4.16</v>
      </c>
      <c r="D34" s="89"/>
    </row>
    <row r="35" spans="1:4" x14ac:dyDescent="0.25">
      <c r="A35" s="88">
        <v>63</v>
      </c>
      <c r="B35" s="89">
        <v>17.72</v>
      </c>
      <c r="C35" s="89">
        <v>4.16</v>
      </c>
      <c r="D35" s="89"/>
    </row>
    <row r="36" spans="1:4" x14ac:dyDescent="0.25">
      <c r="A36" s="88">
        <v>64</v>
      </c>
      <c r="B36" s="89">
        <v>17.079999999999998</v>
      </c>
      <c r="C36" s="89">
        <v>4.16</v>
      </c>
      <c r="D36" s="89"/>
    </row>
    <row r="37" spans="1:4" x14ac:dyDescent="0.25">
      <c r="A37" s="88">
        <v>65</v>
      </c>
      <c r="B37" s="89">
        <v>16.45</v>
      </c>
      <c r="C37" s="89">
        <v>4.16</v>
      </c>
      <c r="D37" s="89"/>
    </row>
    <row r="38" spans="1:4" x14ac:dyDescent="0.25">
      <c r="A38" s="88">
        <v>66</v>
      </c>
      <c r="B38" s="89">
        <v>15.83</v>
      </c>
      <c r="C38" s="89">
        <v>4.1500000000000004</v>
      </c>
      <c r="D38" s="89"/>
    </row>
    <row r="39" spans="1:4" x14ac:dyDescent="0.25">
      <c r="A39" s="88">
        <v>67</v>
      </c>
      <c r="B39" s="89">
        <v>15.2</v>
      </c>
      <c r="C39" s="89">
        <v>4.1399999999999997</v>
      </c>
      <c r="D39" s="89"/>
    </row>
    <row r="40" spans="1:4" x14ac:dyDescent="0.25">
      <c r="A40" s="88">
        <v>68</v>
      </c>
      <c r="B40" s="89">
        <v>14.57</v>
      </c>
      <c r="C40" s="89">
        <v>4.12</v>
      </c>
      <c r="D40" s="89"/>
    </row>
    <row r="41" spans="1:4" x14ac:dyDescent="0.25">
      <c r="A41" s="88">
        <v>69</v>
      </c>
      <c r="B41" s="89">
        <v>13.94</v>
      </c>
      <c r="C41" s="89">
        <v>4.05</v>
      </c>
      <c r="D41" s="89">
        <v>2.77</v>
      </c>
    </row>
    <row r="42" spans="1:4" x14ac:dyDescent="0.25">
      <c r="A42" s="88">
        <v>70</v>
      </c>
      <c r="B42" s="89">
        <v>13.32</v>
      </c>
      <c r="C42" s="89">
        <v>3.97</v>
      </c>
      <c r="D42" s="89">
        <v>2.57</v>
      </c>
    </row>
    <row r="43" spans="1:4" x14ac:dyDescent="0.25">
      <c r="A43" s="88">
        <v>71</v>
      </c>
      <c r="B43" s="89">
        <v>12.7</v>
      </c>
      <c r="C43" s="89">
        <v>3.94</v>
      </c>
      <c r="D43" s="89">
        <v>2.38</v>
      </c>
    </row>
    <row r="44" spans="1:4" x14ac:dyDescent="0.25">
      <c r="A44" s="88">
        <v>72</v>
      </c>
      <c r="B44" s="89">
        <v>12.08</v>
      </c>
      <c r="C44" s="89">
        <v>3.9</v>
      </c>
      <c r="D44" s="89">
        <v>2.2000000000000002</v>
      </c>
    </row>
    <row r="45" spans="1:4" x14ac:dyDescent="0.25">
      <c r="A45" s="88">
        <v>73</v>
      </c>
      <c r="B45" s="89">
        <v>11.47</v>
      </c>
      <c r="C45" s="89">
        <v>3.86</v>
      </c>
      <c r="D45" s="89">
        <v>2.02</v>
      </c>
    </row>
    <row r="46" spans="1:4" x14ac:dyDescent="0.25">
      <c r="A46" s="88">
        <v>74</v>
      </c>
      <c r="B46" s="89">
        <v>10.86</v>
      </c>
      <c r="C46" s="89">
        <v>3.68</v>
      </c>
      <c r="D46" s="89">
        <v>1.84</v>
      </c>
    </row>
    <row r="47" spans="1:4" x14ac:dyDescent="0.25">
      <c r="A47" s="88">
        <v>75</v>
      </c>
      <c r="B47" s="89">
        <v>10.27</v>
      </c>
      <c r="C47" s="89">
        <v>3.51</v>
      </c>
      <c r="D47" s="89">
        <v>1.67</v>
      </c>
    </row>
    <row r="48" spans="1:4" x14ac:dyDescent="0.25">
      <c r="A48" s="88">
        <v>76</v>
      </c>
      <c r="B48" s="89">
        <v>9.68</v>
      </c>
      <c r="C48" s="89">
        <v>3.44</v>
      </c>
      <c r="D48" s="89">
        <v>1.52</v>
      </c>
    </row>
    <row r="49" spans="1:4" x14ac:dyDescent="0.25">
      <c r="A49" s="88">
        <v>77</v>
      </c>
      <c r="B49" s="89">
        <v>9.11</v>
      </c>
      <c r="C49" s="89">
        <v>3.38</v>
      </c>
      <c r="D49" s="89">
        <v>1.38</v>
      </c>
    </row>
    <row r="50" spans="1:4" x14ac:dyDescent="0.25">
      <c r="A50" s="88">
        <v>78</v>
      </c>
      <c r="B50" s="89">
        <v>8.5500000000000007</v>
      </c>
      <c r="C50" s="89">
        <v>3.3</v>
      </c>
      <c r="D50" s="89">
        <v>1.24</v>
      </c>
    </row>
    <row r="51" spans="1:4" x14ac:dyDescent="0.25">
      <c r="A51" s="88">
        <v>79</v>
      </c>
      <c r="B51" s="89">
        <v>8</v>
      </c>
      <c r="C51" s="89">
        <v>3.02</v>
      </c>
      <c r="D51" s="89">
        <v>1.1000000000000001</v>
      </c>
    </row>
    <row r="52" spans="1:4" x14ac:dyDescent="0.25">
      <c r="A52" s="88">
        <v>80</v>
      </c>
      <c r="B52" s="89">
        <v>7.47</v>
      </c>
      <c r="C52" s="89">
        <v>2.74</v>
      </c>
      <c r="D52" s="89">
        <v>0.97</v>
      </c>
    </row>
    <row r="53" spans="1:4" x14ac:dyDescent="0.25">
      <c r="A53" s="88">
        <v>81</v>
      </c>
      <c r="B53" s="89">
        <v>6.96</v>
      </c>
      <c r="C53" s="89">
        <v>2.65</v>
      </c>
      <c r="D53" s="89">
        <v>0.86</v>
      </c>
    </row>
    <row r="54" spans="1:4" x14ac:dyDescent="0.25">
      <c r="A54" s="88">
        <v>82</v>
      </c>
      <c r="B54" s="89">
        <v>6.47</v>
      </c>
      <c r="C54" s="89">
        <v>2.56</v>
      </c>
      <c r="D54" s="89">
        <v>0.77</v>
      </c>
    </row>
    <row r="55" spans="1:4" x14ac:dyDescent="0.25">
      <c r="A55" s="88">
        <v>83</v>
      </c>
      <c r="B55" s="89">
        <v>6</v>
      </c>
      <c r="C55" s="89">
        <v>2.46</v>
      </c>
      <c r="D55" s="89">
        <v>0.68</v>
      </c>
    </row>
    <row r="56" spans="1:4" x14ac:dyDescent="0.25">
      <c r="A56" s="88">
        <v>84</v>
      </c>
      <c r="B56" s="89">
        <v>5.55</v>
      </c>
      <c r="C56" s="89">
        <v>2.14</v>
      </c>
      <c r="D56" s="89">
        <v>0.57999999999999996</v>
      </c>
    </row>
    <row r="57" spans="1:4" x14ac:dyDescent="0.25">
      <c r="A57" s="88">
        <v>85</v>
      </c>
      <c r="B57" s="89">
        <v>5.13</v>
      </c>
      <c r="C57" s="89">
        <v>1.83</v>
      </c>
      <c r="D57" s="89">
        <v>0.49</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p4edTWBYXNsB5P8fMRA5b2Gxp80FdI9WDoWYLrlETDto8GmHwkJ7kcrPz79fabCyCFTc/I+6LHokPaolzjQ5kg==" saltValue="GWZHCF/hQaMIGMHCAQuFCQ==" spinCount="100000" sheet="1" objects="1" scenarios="1"/>
  <conditionalFormatting sqref="A6:A21">
    <cfRule type="expression" dxfId="531" priority="3" stopIfTrue="1">
      <formula>MOD(ROW(),2)=0</formula>
    </cfRule>
    <cfRule type="expression" dxfId="530" priority="4" stopIfTrue="1">
      <formula>MOD(ROW(),2)&lt;&gt;0</formula>
    </cfRule>
  </conditionalFormatting>
  <conditionalFormatting sqref="A26:A57">
    <cfRule type="expression" dxfId="529" priority="11" stopIfTrue="1">
      <formula>MOD(ROW(),2)=0</formula>
    </cfRule>
    <cfRule type="expression" dxfId="528" priority="12" stopIfTrue="1">
      <formula>MOD(ROW(),2)&lt;&gt;0</formula>
    </cfRule>
  </conditionalFormatting>
  <conditionalFormatting sqref="B18:B21">
    <cfRule type="expression" dxfId="527" priority="1" stopIfTrue="1">
      <formula>MOD(ROW(),2)=0</formula>
    </cfRule>
    <cfRule type="expression" dxfId="526" priority="2" stopIfTrue="1">
      <formula>MOD(ROW(),2)&lt;&gt;0</formula>
    </cfRule>
  </conditionalFormatting>
  <conditionalFormatting sqref="B6:D21">
    <cfRule type="expression" dxfId="525" priority="21" stopIfTrue="1">
      <formula>MOD(ROW(),2)=0</formula>
    </cfRule>
    <cfRule type="expression" dxfId="524" priority="22" stopIfTrue="1">
      <formula>MOD(ROW(),2)&lt;&gt;0</formula>
    </cfRule>
  </conditionalFormatting>
  <conditionalFormatting sqref="B26:D57">
    <cfRule type="expression" dxfId="523" priority="13" stopIfTrue="1">
      <formula>MOD(ROW(),2)=0</formula>
    </cfRule>
    <cfRule type="expression" dxfId="522" priority="14" stopIfTrue="1">
      <formula>MOD(ROW(),2)&lt;&gt;0</formula>
    </cfRule>
  </conditionalFormatting>
  <conditionalFormatting sqref="C17:D17">
    <cfRule type="expression" dxfId="521" priority="7" stopIfTrue="1">
      <formula>MOD(ROW(),2)=0</formula>
    </cfRule>
    <cfRule type="expression" dxfId="520"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3"/>
  <dimension ref="A1:I65"/>
  <sheetViews>
    <sheetView showGridLines="0" zoomScale="85" zoomScaleNormal="85" workbookViewId="0">
      <selection activeCell="A4" sqref="A4"/>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PenCE - x-310</v>
      </c>
      <c r="B3" s="42"/>
      <c r="C3" s="42"/>
      <c r="D3" s="42"/>
      <c r="E3" s="42"/>
      <c r="F3" s="42"/>
      <c r="G3" s="42"/>
      <c r="H3" s="42"/>
      <c r="I3" s="42"/>
    </row>
    <row r="4" spans="1:9" x14ac:dyDescent="0.25">
      <c r="A4" s="44"/>
    </row>
    <row r="6" spans="1:9" x14ac:dyDescent="0.25">
      <c r="A6" s="75" t="s">
        <v>484</v>
      </c>
      <c r="B6" s="162" t="s">
        <v>485</v>
      </c>
      <c r="C6" s="162"/>
      <c r="D6" s="162"/>
    </row>
    <row r="7" spans="1:9" x14ac:dyDescent="0.25">
      <c r="A7" s="76" t="s">
        <v>486</v>
      </c>
      <c r="B7" s="162" t="s">
        <v>81</v>
      </c>
      <c r="C7" s="162"/>
      <c r="D7" s="162"/>
    </row>
    <row r="8" spans="1:9" x14ac:dyDescent="0.25">
      <c r="A8" s="76" t="s">
        <v>282</v>
      </c>
      <c r="B8" s="162">
        <v>2015</v>
      </c>
      <c r="C8" s="162"/>
      <c r="D8" s="162"/>
    </row>
    <row r="9" spans="1:9" x14ac:dyDescent="0.25">
      <c r="A9" s="76" t="s">
        <v>283</v>
      </c>
      <c r="B9" s="162" t="s">
        <v>324</v>
      </c>
      <c r="C9" s="162"/>
      <c r="D9" s="162"/>
    </row>
    <row r="10" spans="1:9" x14ac:dyDescent="0.25">
      <c r="A10" s="76" t="s">
        <v>6</v>
      </c>
      <c r="B10" s="162" t="s">
        <v>325</v>
      </c>
      <c r="C10" s="162"/>
      <c r="D10" s="162"/>
    </row>
    <row r="11" spans="1:9" x14ac:dyDescent="0.25">
      <c r="A11" s="76" t="s">
        <v>284</v>
      </c>
      <c r="B11" s="162" t="s">
        <v>299</v>
      </c>
      <c r="C11" s="162"/>
      <c r="D11" s="162"/>
    </row>
    <row r="12" spans="1:9" x14ac:dyDescent="0.25">
      <c r="A12" s="76" t="s">
        <v>285</v>
      </c>
      <c r="B12" s="162" t="s">
        <v>295</v>
      </c>
      <c r="C12" s="162"/>
      <c r="D12" s="162"/>
    </row>
    <row r="13" spans="1:9" x14ac:dyDescent="0.25">
      <c r="A13" s="76" t="s">
        <v>493</v>
      </c>
      <c r="B13" s="162">
        <v>0</v>
      </c>
      <c r="C13" s="162"/>
      <c r="D13" s="162"/>
    </row>
    <row r="14" spans="1:9" x14ac:dyDescent="0.25">
      <c r="A14" s="76" t="s">
        <v>287</v>
      </c>
      <c r="B14" s="162">
        <v>310</v>
      </c>
      <c r="C14" s="162"/>
      <c r="D14" s="162"/>
    </row>
    <row r="15" spans="1:9" x14ac:dyDescent="0.25">
      <c r="A15" s="76" t="s">
        <v>496</v>
      </c>
      <c r="B15" s="162" t="s">
        <v>602</v>
      </c>
      <c r="C15" s="162"/>
      <c r="D15" s="162"/>
    </row>
    <row r="16" spans="1:9" x14ac:dyDescent="0.25">
      <c r="A16" s="76" t="s">
        <v>288</v>
      </c>
      <c r="B16" s="162" t="s">
        <v>300</v>
      </c>
      <c r="C16" s="162"/>
      <c r="D16" s="162"/>
    </row>
    <row r="17" spans="1:4" ht="37.5" customHeight="1" x14ac:dyDescent="0.25">
      <c r="A17" s="76" t="s">
        <v>568</v>
      </c>
      <c r="B17" s="162"/>
      <c r="C17" s="162"/>
      <c r="D17" s="162"/>
    </row>
    <row r="18" spans="1:4" x14ac:dyDescent="0.25">
      <c r="A18" s="76" t="s">
        <v>500</v>
      </c>
      <c r="B18" s="164">
        <v>45070</v>
      </c>
      <c r="C18" s="162"/>
      <c r="D18" s="162"/>
    </row>
    <row r="19" spans="1:4" x14ac:dyDescent="0.25">
      <c r="A19" s="76" t="s">
        <v>290</v>
      </c>
      <c r="B19" s="164">
        <v>45014</v>
      </c>
      <c r="C19" s="162"/>
      <c r="D19" s="162"/>
    </row>
    <row r="20" spans="1:4" x14ac:dyDescent="0.25">
      <c r="A20" s="76" t="s">
        <v>291</v>
      </c>
      <c r="B20" s="162" t="s">
        <v>298</v>
      </c>
      <c r="C20" s="162"/>
      <c r="D20" s="162"/>
    </row>
    <row r="21" spans="1:4" x14ac:dyDescent="0.25">
      <c r="A21" s="150" t="s">
        <v>569</v>
      </c>
      <c r="B21" s="162" t="s">
        <v>297</v>
      </c>
      <c r="C21" s="162"/>
      <c r="D21" s="162"/>
    </row>
    <row r="23" spans="1:4" x14ac:dyDescent="0.25">
      <c r="B23" s="91" t="str">
        <f>HYPERLINK("#'Factor List'!A1","Back to Factor List")</f>
        <v>Back to Factor List</v>
      </c>
    </row>
    <row r="24" spans="1:4" x14ac:dyDescent="0.25">
      <c r="B24" s="91" t="str">
        <f>HYPERLINK("#'Assumptions'!A1","Assumptions")</f>
        <v>Assumptions</v>
      </c>
    </row>
    <row r="26" spans="1:4" ht="39.6" x14ac:dyDescent="0.25">
      <c r="A26" s="87" t="s">
        <v>570</v>
      </c>
      <c r="B26" s="87" t="s">
        <v>591</v>
      </c>
      <c r="C26" s="87" t="s">
        <v>572</v>
      </c>
      <c r="D26" s="87" t="s">
        <v>593</v>
      </c>
    </row>
    <row r="27" spans="1:4" x14ac:dyDescent="0.25">
      <c r="A27" s="88">
        <v>55</v>
      </c>
      <c r="B27" s="89">
        <v>22.65</v>
      </c>
      <c r="C27" s="89">
        <v>4.03</v>
      </c>
      <c r="D27" s="89"/>
    </row>
    <row r="28" spans="1:4" x14ac:dyDescent="0.25">
      <c r="A28" s="88">
        <v>56</v>
      </c>
      <c r="B28" s="89">
        <v>22.06</v>
      </c>
      <c r="C28" s="89">
        <v>4.05</v>
      </c>
      <c r="D28" s="89"/>
    </row>
    <row r="29" spans="1:4" x14ac:dyDescent="0.25">
      <c r="A29" s="88">
        <v>57</v>
      </c>
      <c r="B29" s="89">
        <v>21.46</v>
      </c>
      <c r="C29" s="89">
        <v>4.07</v>
      </c>
      <c r="D29" s="89"/>
    </row>
    <row r="30" spans="1:4" x14ac:dyDescent="0.25">
      <c r="A30" s="88">
        <v>58</v>
      </c>
      <c r="B30" s="89">
        <v>20.87</v>
      </c>
      <c r="C30" s="89">
        <v>4.0999999999999996</v>
      </c>
      <c r="D30" s="89"/>
    </row>
    <row r="31" spans="1:4" x14ac:dyDescent="0.25">
      <c r="A31" s="88">
        <v>59</v>
      </c>
      <c r="B31" s="89">
        <v>20.260000000000002</v>
      </c>
      <c r="C31" s="89">
        <v>4.1100000000000003</v>
      </c>
      <c r="D31" s="89"/>
    </row>
    <row r="32" spans="1:4" x14ac:dyDescent="0.25">
      <c r="A32" s="88">
        <v>60</v>
      </c>
      <c r="B32" s="89">
        <v>19.64</v>
      </c>
      <c r="C32" s="89">
        <v>4.13</v>
      </c>
      <c r="D32" s="89"/>
    </row>
    <row r="33" spans="1:4" x14ac:dyDescent="0.25">
      <c r="A33" s="88">
        <v>61</v>
      </c>
      <c r="B33" s="89">
        <v>19</v>
      </c>
      <c r="C33" s="89">
        <v>4.1399999999999997</v>
      </c>
      <c r="D33" s="89"/>
    </row>
    <row r="34" spans="1:4" x14ac:dyDescent="0.25">
      <c r="A34" s="88">
        <v>62</v>
      </c>
      <c r="B34" s="89">
        <v>18.36</v>
      </c>
      <c r="C34" s="89">
        <v>4.16</v>
      </c>
      <c r="D34" s="89"/>
    </row>
    <row r="35" spans="1:4" x14ac:dyDescent="0.25">
      <c r="A35" s="88">
        <v>63</v>
      </c>
      <c r="B35" s="89">
        <v>17.72</v>
      </c>
      <c r="C35" s="89">
        <v>4.16</v>
      </c>
      <c r="D35" s="89"/>
    </row>
    <row r="36" spans="1:4" x14ac:dyDescent="0.25">
      <c r="A36" s="88">
        <v>64</v>
      </c>
      <c r="B36" s="89">
        <v>17.079999999999998</v>
      </c>
      <c r="C36" s="89">
        <v>4.16</v>
      </c>
      <c r="D36" s="89"/>
    </row>
    <row r="37" spans="1:4" x14ac:dyDescent="0.25">
      <c r="A37" s="88">
        <v>65</v>
      </c>
      <c r="B37" s="89">
        <v>16.45</v>
      </c>
      <c r="C37" s="89">
        <v>4.16</v>
      </c>
      <c r="D37" s="89"/>
    </row>
    <row r="38" spans="1:4" x14ac:dyDescent="0.25">
      <c r="A38" s="88">
        <v>66</v>
      </c>
      <c r="B38" s="89">
        <v>15.83</v>
      </c>
      <c r="C38" s="89">
        <v>4.1500000000000004</v>
      </c>
      <c r="D38" s="89"/>
    </row>
    <row r="39" spans="1:4" x14ac:dyDescent="0.25">
      <c r="A39" s="88">
        <v>67</v>
      </c>
      <c r="B39" s="89">
        <v>15.2</v>
      </c>
      <c r="C39" s="89">
        <v>4.1399999999999997</v>
      </c>
      <c r="D39" s="89"/>
    </row>
    <row r="40" spans="1:4" x14ac:dyDescent="0.25">
      <c r="A40" s="88">
        <v>68</v>
      </c>
      <c r="B40" s="89">
        <v>14.57</v>
      </c>
      <c r="C40" s="89">
        <v>4.12</v>
      </c>
      <c r="D40" s="89"/>
    </row>
    <row r="41" spans="1:4" x14ac:dyDescent="0.25">
      <c r="A41" s="88">
        <v>69</v>
      </c>
      <c r="B41" s="89">
        <v>13.94</v>
      </c>
      <c r="C41" s="89">
        <v>4.05</v>
      </c>
      <c r="D41" s="89">
        <v>2.6</v>
      </c>
    </row>
    <row r="42" spans="1:4" x14ac:dyDescent="0.25">
      <c r="A42" s="88">
        <v>70</v>
      </c>
      <c r="B42" s="89">
        <v>13.32</v>
      </c>
      <c r="C42" s="89">
        <v>3.97</v>
      </c>
      <c r="D42" s="89">
        <v>2.41</v>
      </c>
    </row>
    <row r="43" spans="1:4" x14ac:dyDescent="0.25">
      <c r="A43" s="88">
        <v>71</v>
      </c>
      <c r="B43" s="89">
        <v>12.7</v>
      </c>
      <c r="C43" s="89">
        <v>3.94</v>
      </c>
      <c r="D43" s="89">
        <v>2.2200000000000002</v>
      </c>
    </row>
    <row r="44" spans="1:4" x14ac:dyDescent="0.25">
      <c r="A44" s="88">
        <v>72</v>
      </c>
      <c r="B44" s="89">
        <v>12.08</v>
      </c>
      <c r="C44" s="89">
        <v>3.9</v>
      </c>
      <c r="D44" s="89">
        <v>2.04</v>
      </c>
    </row>
    <row r="45" spans="1:4" x14ac:dyDescent="0.25">
      <c r="A45" s="88">
        <v>73</v>
      </c>
      <c r="B45" s="89">
        <v>11.47</v>
      </c>
      <c r="C45" s="89">
        <v>3.86</v>
      </c>
      <c r="D45" s="89">
        <v>1.87</v>
      </c>
    </row>
    <row r="46" spans="1:4" x14ac:dyDescent="0.25">
      <c r="A46" s="88">
        <v>74</v>
      </c>
      <c r="B46" s="89">
        <v>10.86</v>
      </c>
      <c r="C46" s="89">
        <v>3.68</v>
      </c>
      <c r="D46" s="89">
        <v>1.7</v>
      </c>
    </row>
    <row r="47" spans="1:4" x14ac:dyDescent="0.25">
      <c r="A47" s="88">
        <v>75</v>
      </c>
      <c r="B47" s="89">
        <v>10.27</v>
      </c>
      <c r="C47" s="89">
        <v>3.51</v>
      </c>
      <c r="D47" s="89">
        <v>1.55</v>
      </c>
    </row>
    <row r="48" spans="1:4" x14ac:dyDescent="0.25">
      <c r="A48" s="88">
        <v>76</v>
      </c>
      <c r="B48" s="89">
        <v>9.68</v>
      </c>
      <c r="C48" s="89">
        <v>3.44</v>
      </c>
      <c r="D48" s="89">
        <v>1.4</v>
      </c>
    </row>
    <row r="49" spans="1:4" x14ac:dyDescent="0.25">
      <c r="A49" s="88">
        <v>77</v>
      </c>
      <c r="B49" s="89">
        <v>9.11</v>
      </c>
      <c r="C49" s="89">
        <v>3.38</v>
      </c>
      <c r="D49" s="89">
        <v>1.26</v>
      </c>
    </row>
    <row r="50" spans="1:4" x14ac:dyDescent="0.25">
      <c r="A50" s="88">
        <v>78</v>
      </c>
      <c r="B50" s="89">
        <v>8.5500000000000007</v>
      </c>
      <c r="C50" s="89">
        <v>3.3</v>
      </c>
      <c r="D50" s="89">
        <v>1.1299999999999999</v>
      </c>
    </row>
    <row r="51" spans="1:4" x14ac:dyDescent="0.25">
      <c r="A51" s="88">
        <v>79</v>
      </c>
      <c r="B51" s="89">
        <v>8</v>
      </c>
      <c r="C51" s="89">
        <v>3.02</v>
      </c>
      <c r="D51" s="89">
        <v>1</v>
      </c>
    </row>
    <row r="52" spans="1:4" x14ac:dyDescent="0.25">
      <c r="A52" s="88">
        <v>80</v>
      </c>
      <c r="B52" s="89">
        <v>7.47</v>
      </c>
      <c r="C52" s="89">
        <v>2.74</v>
      </c>
      <c r="D52" s="89">
        <v>0.89</v>
      </c>
    </row>
    <row r="53" spans="1:4" x14ac:dyDescent="0.25">
      <c r="A53" s="88">
        <v>81</v>
      </c>
      <c r="B53" s="89">
        <v>6.96</v>
      </c>
      <c r="C53" s="89">
        <v>2.65</v>
      </c>
      <c r="D53" s="89">
        <v>0.78</v>
      </c>
    </row>
    <row r="54" spans="1:4" x14ac:dyDescent="0.25">
      <c r="A54" s="88">
        <v>82</v>
      </c>
      <c r="B54" s="89">
        <v>6.47</v>
      </c>
      <c r="C54" s="89">
        <v>2.56</v>
      </c>
      <c r="D54" s="89">
        <v>0.69</v>
      </c>
    </row>
    <row r="55" spans="1:4" x14ac:dyDescent="0.25">
      <c r="A55" s="88">
        <v>83</v>
      </c>
      <c r="B55" s="89">
        <v>6</v>
      </c>
      <c r="C55" s="89">
        <v>2.46</v>
      </c>
      <c r="D55" s="89">
        <v>0.6</v>
      </c>
    </row>
    <row r="56" spans="1:4" x14ac:dyDescent="0.25">
      <c r="A56" s="88">
        <v>84</v>
      </c>
      <c r="B56" s="89">
        <v>5.55</v>
      </c>
      <c r="C56" s="89">
        <v>2.14</v>
      </c>
      <c r="D56" s="89">
        <v>0.52</v>
      </c>
    </row>
    <row r="57" spans="1:4" x14ac:dyDescent="0.25">
      <c r="A57" s="88">
        <v>85</v>
      </c>
      <c r="B57" s="89">
        <v>5.13</v>
      </c>
      <c r="C57" s="89">
        <v>1.83</v>
      </c>
      <c r="D57" s="89">
        <v>0.45</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llZQKfJOHR2kPVX3tr+RjqWn90y8DileyRYeokmNovjD6O2cFcOd+2mLqOowcZ140Qcqfnx1Rr8PO1fOpHWsYg==" saltValue="+bHk+oCNpTr/x+wIL1rSmg==" spinCount="100000" sheet="1" objects="1" scenarios="1"/>
  <conditionalFormatting sqref="A6:A21">
    <cfRule type="expression" dxfId="519" priority="3" stopIfTrue="1">
      <formula>MOD(ROW(),2)=0</formula>
    </cfRule>
    <cfRule type="expression" dxfId="518" priority="4" stopIfTrue="1">
      <formula>MOD(ROW(),2)&lt;&gt;0</formula>
    </cfRule>
  </conditionalFormatting>
  <conditionalFormatting sqref="A26:A57">
    <cfRule type="expression" dxfId="517" priority="11" stopIfTrue="1">
      <formula>MOD(ROW(),2)=0</formula>
    </cfRule>
    <cfRule type="expression" dxfId="516" priority="12" stopIfTrue="1">
      <formula>MOD(ROW(),2)&lt;&gt;0</formula>
    </cfRule>
  </conditionalFormatting>
  <conditionalFormatting sqref="B18:B21">
    <cfRule type="expression" dxfId="515" priority="1" stopIfTrue="1">
      <formula>MOD(ROW(),2)=0</formula>
    </cfRule>
    <cfRule type="expression" dxfId="514" priority="2" stopIfTrue="1">
      <formula>MOD(ROW(),2)&lt;&gt;0</formula>
    </cfRule>
  </conditionalFormatting>
  <conditionalFormatting sqref="B6:D21">
    <cfRule type="expression" dxfId="513" priority="21" stopIfTrue="1">
      <formula>MOD(ROW(),2)=0</formula>
    </cfRule>
    <cfRule type="expression" dxfId="512" priority="22" stopIfTrue="1">
      <formula>MOD(ROW(),2)&lt;&gt;0</formula>
    </cfRule>
  </conditionalFormatting>
  <conditionalFormatting sqref="B26:D57">
    <cfRule type="expression" dxfId="511" priority="13" stopIfTrue="1">
      <formula>MOD(ROW(),2)=0</formula>
    </cfRule>
    <cfRule type="expression" dxfId="510" priority="14" stopIfTrue="1">
      <formula>MOD(ROW(),2)&lt;&gt;0</formula>
    </cfRule>
  </conditionalFormatting>
  <conditionalFormatting sqref="C17:D17">
    <cfRule type="expression" dxfId="509" priority="7" stopIfTrue="1">
      <formula>MOD(ROW(),2)=0</formula>
    </cfRule>
    <cfRule type="expression" dxfId="508"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4"/>
  <dimension ref="A1:I92"/>
  <sheetViews>
    <sheetView showGridLines="0" zoomScale="85" zoomScaleNormal="85" workbookViewId="0">
      <selection activeCell="A4" sqref="A4"/>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PenCE - x-311</v>
      </c>
      <c r="B3" s="42"/>
      <c r="C3" s="42"/>
      <c r="D3" s="42"/>
      <c r="E3" s="42"/>
      <c r="F3" s="42"/>
      <c r="G3" s="42"/>
      <c r="H3" s="42"/>
      <c r="I3" s="42"/>
    </row>
    <row r="4" spans="1:9" x14ac:dyDescent="0.25">
      <c r="A4" s="44"/>
    </row>
    <row r="6" spans="1:9" x14ac:dyDescent="0.25">
      <c r="A6" s="75" t="s">
        <v>484</v>
      </c>
      <c r="B6" s="162" t="s">
        <v>485</v>
      </c>
      <c r="C6" s="162"/>
      <c r="D6" s="162"/>
    </row>
    <row r="7" spans="1:9" x14ac:dyDescent="0.25">
      <c r="A7" s="76" t="s">
        <v>486</v>
      </c>
      <c r="B7" s="162" t="s">
        <v>81</v>
      </c>
      <c r="C7" s="162"/>
      <c r="D7" s="162"/>
    </row>
    <row r="8" spans="1:9" x14ac:dyDescent="0.25">
      <c r="A8" s="76" t="s">
        <v>282</v>
      </c>
      <c r="B8" s="162">
        <v>2015</v>
      </c>
      <c r="C8" s="162"/>
      <c r="D8" s="162"/>
    </row>
    <row r="9" spans="1:9" x14ac:dyDescent="0.25">
      <c r="A9" s="76" t="s">
        <v>283</v>
      </c>
      <c r="B9" s="162" t="s">
        <v>324</v>
      </c>
      <c r="C9" s="162"/>
      <c r="D9" s="162"/>
    </row>
    <row r="10" spans="1:9" x14ac:dyDescent="0.25">
      <c r="A10" s="76" t="s">
        <v>6</v>
      </c>
      <c r="B10" s="162" t="s">
        <v>331</v>
      </c>
      <c r="C10" s="162"/>
      <c r="D10" s="162"/>
    </row>
    <row r="11" spans="1:9" x14ac:dyDescent="0.25">
      <c r="A11" s="76" t="s">
        <v>284</v>
      </c>
      <c r="B11" s="162" t="s">
        <v>294</v>
      </c>
      <c r="C11" s="162"/>
      <c r="D11" s="162"/>
    </row>
    <row r="12" spans="1:9" x14ac:dyDescent="0.25">
      <c r="A12" s="76" t="s">
        <v>285</v>
      </c>
      <c r="B12" s="162" t="s">
        <v>295</v>
      </c>
      <c r="C12" s="162"/>
      <c r="D12" s="162"/>
    </row>
    <row r="13" spans="1:9" x14ac:dyDescent="0.25">
      <c r="A13" s="76" t="s">
        <v>493</v>
      </c>
      <c r="B13" s="162">
        <v>0</v>
      </c>
      <c r="C13" s="162"/>
      <c r="D13" s="162"/>
    </row>
    <row r="14" spans="1:9" x14ac:dyDescent="0.25">
      <c r="A14" s="76" t="s">
        <v>287</v>
      </c>
      <c r="B14" s="162">
        <v>311</v>
      </c>
      <c r="C14" s="162"/>
      <c r="D14" s="162"/>
    </row>
    <row r="15" spans="1:9" x14ac:dyDescent="0.25">
      <c r="A15" s="76" t="s">
        <v>496</v>
      </c>
      <c r="B15" s="162" t="s">
        <v>603</v>
      </c>
      <c r="C15" s="162"/>
      <c r="D15" s="162"/>
    </row>
    <row r="16" spans="1:9" x14ac:dyDescent="0.25">
      <c r="A16" s="76" t="s">
        <v>288</v>
      </c>
      <c r="B16" s="162" t="s">
        <v>304</v>
      </c>
      <c r="C16" s="162"/>
      <c r="D16" s="162"/>
    </row>
    <row r="17" spans="1:4" ht="39" customHeight="1" x14ac:dyDescent="0.25">
      <c r="A17" s="76" t="s">
        <v>568</v>
      </c>
      <c r="B17" s="162"/>
      <c r="C17" s="162"/>
      <c r="D17" s="162"/>
    </row>
    <row r="18" spans="1:4" x14ac:dyDescent="0.25">
      <c r="A18" s="76" t="s">
        <v>500</v>
      </c>
      <c r="B18" s="164">
        <v>45070</v>
      </c>
      <c r="C18" s="162"/>
      <c r="D18" s="162"/>
    </row>
    <row r="19" spans="1:4" x14ac:dyDescent="0.25">
      <c r="A19" s="76" t="s">
        <v>290</v>
      </c>
      <c r="B19" s="164">
        <v>45014</v>
      </c>
      <c r="C19" s="162"/>
      <c r="D19" s="162"/>
    </row>
    <row r="20" spans="1:4" x14ac:dyDescent="0.25">
      <c r="A20" s="76" t="s">
        <v>291</v>
      </c>
      <c r="B20" s="162" t="s">
        <v>298</v>
      </c>
      <c r="C20" s="162"/>
      <c r="D20" s="162"/>
    </row>
    <row r="21" spans="1:4" x14ac:dyDescent="0.25">
      <c r="A21" s="150" t="s">
        <v>569</v>
      </c>
      <c r="B21" s="162" t="s">
        <v>297</v>
      </c>
      <c r="C21" s="162"/>
      <c r="D21" s="162"/>
    </row>
    <row r="23" spans="1:4" x14ac:dyDescent="0.25">
      <c r="B23" s="91" t="str">
        <f>HYPERLINK("#'Factor List'!A1","Back to Factor List")</f>
        <v>Back to Factor List</v>
      </c>
    </row>
    <row r="24" spans="1:4" x14ac:dyDescent="0.25">
      <c r="B24" s="91" t="str">
        <f>HYPERLINK("#'Assumptions'!A1","Assumptions")</f>
        <v>Assumptions</v>
      </c>
    </row>
    <row r="26" spans="1:4" ht="39.6" x14ac:dyDescent="0.25">
      <c r="A26" s="87" t="s">
        <v>570</v>
      </c>
      <c r="B26" s="87" t="s">
        <v>591</v>
      </c>
      <c r="C26" s="87" t="s">
        <v>572</v>
      </c>
      <c r="D26" s="87" t="s">
        <v>593</v>
      </c>
    </row>
    <row r="27" spans="1:4" x14ac:dyDescent="0.25">
      <c r="A27" s="88">
        <v>20</v>
      </c>
      <c r="B27" s="89">
        <v>39.159999999999997</v>
      </c>
      <c r="C27" s="89">
        <v>2.7</v>
      </c>
      <c r="D27" s="89"/>
    </row>
    <row r="28" spans="1:4" x14ac:dyDescent="0.25">
      <c r="A28" s="88">
        <v>21</v>
      </c>
      <c r="B28" s="89">
        <v>38.79</v>
      </c>
      <c r="C28" s="89">
        <v>2.75</v>
      </c>
      <c r="D28" s="89"/>
    </row>
    <row r="29" spans="1:4" x14ac:dyDescent="0.25">
      <c r="A29" s="88">
        <v>22</v>
      </c>
      <c r="B29" s="89">
        <v>38.42</v>
      </c>
      <c r="C29" s="89">
        <v>2.79</v>
      </c>
      <c r="D29" s="89"/>
    </row>
    <row r="30" spans="1:4" x14ac:dyDescent="0.25">
      <c r="A30" s="88">
        <v>23</v>
      </c>
      <c r="B30" s="89">
        <v>38.04</v>
      </c>
      <c r="C30" s="89">
        <v>2.83</v>
      </c>
      <c r="D30" s="89"/>
    </row>
    <row r="31" spans="1:4" x14ac:dyDescent="0.25">
      <c r="A31" s="88">
        <v>24</v>
      </c>
      <c r="B31" s="89">
        <v>37.659999999999997</v>
      </c>
      <c r="C31" s="89">
        <v>2.88</v>
      </c>
      <c r="D31" s="89"/>
    </row>
    <row r="32" spans="1:4" x14ac:dyDescent="0.25">
      <c r="A32" s="88">
        <v>25</v>
      </c>
      <c r="B32" s="89">
        <v>37.270000000000003</v>
      </c>
      <c r="C32" s="89">
        <v>2.92</v>
      </c>
      <c r="D32" s="89"/>
    </row>
    <row r="33" spans="1:4" x14ac:dyDescent="0.25">
      <c r="A33" s="88">
        <v>26</v>
      </c>
      <c r="B33" s="89">
        <v>36.869999999999997</v>
      </c>
      <c r="C33" s="89">
        <v>2.96</v>
      </c>
      <c r="D33" s="89"/>
    </row>
    <row r="34" spans="1:4" x14ac:dyDescent="0.25">
      <c r="A34" s="88">
        <v>27</v>
      </c>
      <c r="B34" s="89">
        <v>36.47</v>
      </c>
      <c r="C34" s="89">
        <v>3.01</v>
      </c>
      <c r="D34" s="89"/>
    </row>
    <row r="35" spans="1:4" x14ac:dyDescent="0.25">
      <c r="A35" s="88">
        <v>28</v>
      </c>
      <c r="B35" s="89">
        <v>36.06</v>
      </c>
      <c r="C35" s="89">
        <v>3.05</v>
      </c>
      <c r="D35" s="89"/>
    </row>
    <row r="36" spans="1:4" x14ac:dyDescent="0.25">
      <c r="A36" s="88">
        <v>29</v>
      </c>
      <c r="B36" s="89">
        <v>35.65</v>
      </c>
      <c r="C36" s="89">
        <v>3.1</v>
      </c>
      <c r="D36" s="89"/>
    </row>
    <row r="37" spans="1:4" x14ac:dyDescent="0.25">
      <c r="A37" s="88">
        <v>30</v>
      </c>
      <c r="B37" s="89">
        <v>35.229999999999997</v>
      </c>
      <c r="C37" s="89">
        <v>3.14</v>
      </c>
      <c r="D37" s="89"/>
    </row>
    <row r="38" spans="1:4" x14ac:dyDescent="0.25">
      <c r="A38" s="88">
        <v>31</v>
      </c>
      <c r="B38" s="89">
        <v>34.799999999999997</v>
      </c>
      <c r="C38" s="89">
        <v>3.18</v>
      </c>
      <c r="D38" s="89"/>
    </row>
    <row r="39" spans="1:4" x14ac:dyDescent="0.25">
      <c r="A39" s="88">
        <v>32</v>
      </c>
      <c r="B39" s="89">
        <v>34.369999999999997</v>
      </c>
      <c r="C39" s="89">
        <v>3.23</v>
      </c>
      <c r="D39" s="89"/>
    </row>
    <row r="40" spans="1:4" x14ac:dyDescent="0.25">
      <c r="A40" s="88">
        <v>33</v>
      </c>
      <c r="B40" s="89">
        <v>33.93</v>
      </c>
      <c r="C40" s="89">
        <v>3.27</v>
      </c>
      <c r="D40" s="89"/>
    </row>
    <row r="41" spans="1:4" x14ac:dyDescent="0.25">
      <c r="A41" s="88">
        <v>34</v>
      </c>
      <c r="B41" s="89">
        <v>33.479999999999997</v>
      </c>
      <c r="C41" s="89">
        <v>3.31</v>
      </c>
      <c r="D41" s="89"/>
    </row>
    <row r="42" spans="1:4" x14ac:dyDescent="0.25">
      <c r="A42" s="88">
        <v>35</v>
      </c>
      <c r="B42" s="89">
        <v>33.03</v>
      </c>
      <c r="C42" s="89">
        <v>3.35</v>
      </c>
      <c r="D42" s="89"/>
    </row>
    <row r="43" spans="1:4" x14ac:dyDescent="0.25">
      <c r="A43" s="88">
        <v>36</v>
      </c>
      <c r="B43" s="89">
        <v>32.57</v>
      </c>
      <c r="C43" s="89">
        <v>3.39</v>
      </c>
      <c r="D43" s="89"/>
    </row>
    <row r="44" spans="1:4" x14ac:dyDescent="0.25">
      <c r="A44" s="88">
        <v>37</v>
      </c>
      <c r="B44" s="89">
        <v>32.11</v>
      </c>
      <c r="C44" s="89">
        <v>3.43</v>
      </c>
      <c r="D44" s="89"/>
    </row>
    <row r="45" spans="1:4" x14ac:dyDescent="0.25">
      <c r="A45" s="88">
        <v>38</v>
      </c>
      <c r="B45" s="89">
        <v>31.63</v>
      </c>
      <c r="C45" s="89">
        <v>3.47</v>
      </c>
      <c r="D45" s="89"/>
    </row>
    <row r="46" spans="1:4" x14ac:dyDescent="0.25">
      <c r="A46" s="88">
        <v>39</v>
      </c>
      <c r="B46" s="89">
        <v>31.15</v>
      </c>
      <c r="C46" s="89">
        <v>3.51</v>
      </c>
      <c r="D46" s="89"/>
    </row>
    <row r="47" spans="1:4" x14ac:dyDescent="0.25">
      <c r="A47" s="88">
        <v>40</v>
      </c>
      <c r="B47" s="89">
        <v>30.67</v>
      </c>
      <c r="C47" s="89">
        <v>3.55</v>
      </c>
      <c r="D47" s="89"/>
    </row>
    <row r="48" spans="1:4" x14ac:dyDescent="0.25">
      <c r="A48" s="88">
        <v>41</v>
      </c>
      <c r="B48" s="89">
        <v>30.18</v>
      </c>
      <c r="C48" s="89">
        <v>3.59</v>
      </c>
      <c r="D48" s="89"/>
    </row>
    <row r="49" spans="1:4" x14ac:dyDescent="0.25">
      <c r="A49" s="88">
        <v>42</v>
      </c>
      <c r="B49" s="89">
        <v>29.68</v>
      </c>
      <c r="C49" s="89">
        <v>3.63</v>
      </c>
      <c r="D49" s="89"/>
    </row>
    <row r="50" spans="1:4" x14ac:dyDescent="0.25">
      <c r="A50" s="88">
        <v>43</v>
      </c>
      <c r="B50" s="89">
        <v>29.17</v>
      </c>
      <c r="C50" s="89">
        <v>3.67</v>
      </c>
      <c r="D50" s="89"/>
    </row>
    <row r="51" spans="1:4" x14ac:dyDescent="0.25">
      <c r="A51" s="88">
        <v>44</v>
      </c>
      <c r="B51" s="89">
        <v>28.66</v>
      </c>
      <c r="C51" s="89">
        <v>3.7</v>
      </c>
      <c r="D51" s="89"/>
    </row>
    <row r="52" spans="1:4" x14ac:dyDescent="0.25">
      <c r="A52" s="88">
        <v>45</v>
      </c>
      <c r="B52" s="89">
        <v>28.14</v>
      </c>
      <c r="C52" s="89">
        <v>3.73</v>
      </c>
      <c r="D52" s="89"/>
    </row>
    <row r="53" spans="1:4" x14ac:dyDescent="0.25">
      <c r="A53" s="88">
        <v>46</v>
      </c>
      <c r="B53" s="89">
        <v>27.62</v>
      </c>
      <c r="C53" s="89">
        <v>3.77</v>
      </c>
      <c r="D53" s="89"/>
    </row>
    <row r="54" spans="1:4" x14ac:dyDescent="0.25">
      <c r="A54" s="88">
        <v>47</v>
      </c>
      <c r="B54" s="89">
        <v>27.09</v>
      </c>
      <c r="C54" s="89">
        <v>3.8</v>
      </c>
      <c r="D54" s="89"/>
    </row>
    <row r="55" spans="1:4" x14ac:dyDescent="0.25">
      <c r="A55" s="88">
        <v>48</v>
      </c>
      <c r="B55" s="89">
        <v>26.55</v>
      </c>
      <c r="C55" s="89">
        <v>3.83</v>
      </c>
      <c r="D55" s="89"/>
    </row>
    <row r="56" spans="1:4" x14ac:dyDescent="0.25">
      <c r="A56" s="88">
        <v>49</v>
      </c>
      <c r="B56" s="89">
        <v>26.01</v>
      </c>
      <c r="C56" s="89">
        <v>3.86</v>
      </c>
      <c r="D56" s="89"/>
    </row>
    <row r="57" spans="1:4" x14ac:dyDescent="0.25">
      <c r="A57" s="88">
        <v>50</v>
      </c>
      <c r="B57" s="89">
        <v>25.46</v>
      </c>
      <c r="C57" s="89">
        <v>3.89</v>
      </c>
      <c r="D57" s="89"/>
    </row>
    <row r="58" spans="1:4" x14ac:dyDescent="0.25">
      <c r="A58" s="88">
        <v>51</v>
      </c>
      <c r="B58" s="89">
        <v>24.9</v>
      </c>
      <c r="C58" s="89">
        <v>3.92</v>
      </c>
      <c r="D58" s="89"/>
    </row>
    <row r="59" spans="1:4" x14ac:dyDescent="0.25">
      <c r="A59" s="88">
        <v>52</v>
      </c>
      <c r="B59" s="89">
        <v>24.34</v>
      </c>
      <c r="C59" s="89">
        <v>3.95</v>
      </c>
      <c r="D59" s="89"/>
    </row>
    <row r="60" spans="1:4" x14ac:dyDescent="0.25">
      <c r="A60" s="88">
        <v>53</v>
      </c>
      <c r="B60" s="89">
        <v>23.76</v>
      </c>
      <c r="C60" s="89">
        <v>3.98</v>
      </c>
      <c r="D60" s="89"/>
    </row>
    <row r="61" spans="1:4" x14ac:dyDescent="0.25">
      <c r="A61" s="88">
        <v>54</v>
      </c>
      <c r="B61" s="89">
        <v>23.18</v>
      </c>
      <c r="C61" s="89">
        <v>4</v>
      </c>
      <c r="D61" s="89"/>
    </row>
    <row r="62" spans="1:4" x14ac:dyDescent="0.25">
      <c r="A62" s="88">
        <v>55</v>
      </c>
      <c r="B62" s="89">
        <v>22.6</v>
      </c>
      <c r="C62" s="89">
        <v>4.03</v>
      </c>
      <c r="D62" s="89"/>
    </row>
    <row r="63" spans="1:4" x14ac:dyDescent="0.25">
      <c r="A63" s="88">
        <v>56</v>
      </c>
      <c r="B63" s="89">
        <v>22.01</v>
      </c>
      <c r="C63" s="89">
        <v>4.05</v>
      </c>
      <c r="D63" s="89"/>
    </row>
    <row r="64" spans="1:4" x14ac:dyDescent="0.25">
      <c r="A64" s="88">
        <v>57</v>
      </c>
      <c r="B64" s="89">
        <v>21.41</v>
      </c>
      <c r="C64" s="89">
        <v>4.07</v>
      </c>
      <c r="D64" s="89"/>
    </row>
    <row r="65" spans="1:4" x14ac:dyDescent="0.25">
      <c r="A65" s="88">
        <v>58</v>
      </c>
      <c r="B65" s="89">
        <v>20.8</v>
      </c>
      <c r="C65" s="89">
        <v>4.0999999999999996</v>
      </c>
      <c r="D65" s="89"/>
    </row>
    <row r="66" spans="1:4" x14ac:dyDescent="0.25">
      <c r="A66" s="88">
        <v>59</v>
      </c>
      <c r="B66" s="89">
        <v>20.190000000000001</v>
      </c>
      <c r="C66" s="89">
        <v>4.1100000000000003</v>
      </c>
      <c r="D66" s="89"/>
    </row>
    <row r="67" spans="1:4" x14ac:dyDescent="0.25">
      <c r="A67" s="88">
        <v>60</v>
      </c>
      <c r="B67" s="89">
        <v>19.579999999999998</v>
      </c>
      <c r="C67" s="89">
        <v>4.13</v>
      </c>
      <c r="D67" s="89"/>
    </row>
    <row r="68" spans="1:4" x14ac:dyDescent="0.25">
      <c r="A68" s="88">
        <v>61</v>
      </c>
      <c r="B68" s="89">
        <v>18.96</v>
      </c>
      <c r="C68" s="89">
        <v>4.1399999999999997</v>
      </c>
      <c r="D68" s="89"/>
    </row>
    <row r="69" spans="1:4" x14ac:dyDescent="0.25">
      <c r="A69" s="88">
        <v>62</v>
      </c>
      <c r="B69" s="89">
        <v>18.329999999999998</v>
      </c>
      <c r="C69" s="89">
        <v>4.16</v>
      </c>
      <c r="D69" s="89"/>
    </row>
    <row r="70" spans="1:4" x14ac:dyDescent="0.25">
      <c r="A70" s="88">
        <v>63</v>
      </c>
      <c r="B70" s="89">
        <v>17.71</v>
      </c>
      <c r="C70" s="89">
        <v>4.16</v>
      </c>
      <c r="D70" s="89"/>
    </row>
    <row r="71" spans="1:4" x14ac:dyDescent="0.25">
      <c r="A71" s="88">
        <v>64</v>
      </c>
      <c r="B71" s="89">
        <v>17.079999999999998</v>
      </c>
      <c r="C71" s="89">
        <v>4.16</v>
      </c>
      <c r="D71" s="89"/>
    </row>
    <row r="72" spans="1:4" x14ac:dyDescent="0.25">
      <c r="A72" s="88">
        <v>65</v>
      </c>
      <c r="B72" s="89">
        <v>16.45</v>
      </c>
      <c r="C72" s="89">
        <v>4.16</v>
      </c>
      <c r="D72" s="89"/>
    </row>
    <row r="73" spans="1:4" x14ac:dyDescent="0.25">
      <c r="A73" s="88">
        <v>66</v>
      </c>
      <c r="B73" s="89">
        <v>15.83</v>
      </c>
      <c r="C73" s="89">
        <v>4.1500000000000004</v>
      </c>
      <c r="D73" s="89"/>
    </row>
    <row r="74" spans="1:4" x14ac:dyDescent="0.25">
      <c r="A74" s="88">
        <v>67</v>
      </c>
      <c r="B74" s="89">
        <v>15.2</v>
      </c>
      <c r="C74" s="89">
        <v>4.1399999999999997</v>
      </c>
      <c r="D74" s="89"/>
    </row>
    <row r="75" spans="1:4" x14ac:dyDescent="0.25">
      <c r="A75" s="88">
        <v>68</v>
      </c>
      <c r="B75" s="89">
        <v>14.57</v>
      </c>
      <c r="C75" s="89">
        <v>4.12</v>
      </c>
      <c r="D75" s="89"/>
    </row>
    <row r="76" spans="1:4" x14ac:dyDescent="0.25">
      <c r="A76" s="88">
        <v>69</v>
      </c>
      <c r="B76" s="89">
        <v>13.94</v>
      </c>
      <c r="C76" s="89">
        <v>4.05</v>
      </c>
      <c r="D76" s="89">
        <v>2.77</v>
      </c>
    </row>
    <row r="77" spans="1:4" x14ac:dyDescent="0.25">
      <c r="A77" s="88">
        <v>70</v>
      </c>
      <c r="B77" s="89">
        <v>13.32</v>
      </c>
      <c r="C77" s="89">
        <v>3.97</v>
      </c>
      <c r="D77" s="89">
        <v>2.57</v>
      </c>
    </row>
    <row r="78" spans="1:4" x14ac:dyDescent="0.25">
      <c r="A78" s="88">
        <v>71</v>
      </c>
      <c r="B78" s="89">
        <v>12.7</v>
      </c>
      <c r="C78" s="89">
        <v>3.94</v>
      </c>
      <c r="D78" s="89">
        <v>2.38</v>
      </c>
    </row>
    <row r="79" spans="1:4" x14ac:dyDescent="0.25">
      <c r="A79" s="88">
        <v>72</v>
      </c>
      <c r="B79" s="89">
        <v>12.08</v>
      </c>
      <c r="C79" s="89">
        <v>3.9</v>
      </c>
      <c r="D79" s="89">
        <v>2.2000000000000002</v>
      </c>
    </row>
    <row r="80" spans="1:4" x14ac:dyDescent="0.25">
      <c r="A80" s="88">
        <v>73</v>
      </c>
      <c r="B80" s="89">
        <v>11.47</v>
      </c>
      <c r="C80" s="89">
        <v>3.86</v>
      </c>
      <c r="D80" s="89">
        <v>2.02</v>
      </c>
    </row>
    <row r="81" spans="1:4" x14ac:dyDescent="0.25">
      <c r="A81" s="88">
        <v>74</v>
      </c>
      <c r="B81" s="89">
        <v>10.86</v>
      </c>
      <c r="C81" s="89">
        <v>3.68</v>
      </c>
      <c r="D81" s="89">
        <v>1.84</v>
      </c>
    </row>
    <row r="82" spans="1:4" x14ac:dyDescent="0.25">
      <c r="A82" s="88">
        <v>75</v>
      </c>
      <c r="B82" s="89">
        <v>10.27</v>
      </c>
      <c r="C82" s="89">
        <v>3.51</v>
      </c>
      <c r="D82" s="89">
        <v>1.67</v>
      </c>
    </row>
    <row r="83" spans="1:4" x14ac:dyDescent="0.25">
      <c r="A83" s="88">
        <v>76</v>
      </c>
      <c r="B83" s="89">
        <v>9.68</v>
      </c>
      <c r="C83" s="89">
        <v>3.44</v>
      </c>
      <c r="D83" s="89">
        <v>1.52</v>
      </c>
    </row>
    <row r="84" spans="1:4" x14ac:dyDescent="0.25">
      <c r="A84" s="88">
        <v>77</v>
      </c>
      <c r="B84" s="89">
        <v>9.11</v>
      </c>
      <c r="C84" s="89">
        <v>3.38</v>
      </c>
      <c r="D84" s="89">
        <v>1.38</v>
      </c>
    </row>
    <row r="85" spans="1:4" x14ac:dyDescent="0.25">
      <c r="A85" s="88">
        <v>78</v>
      </c>
      <c r="B85" s="89">
        <v>8.5500000000000007</v>
      </c>
      <c r="C85" s="89">
        <v>3.3</v>
      </c>
      <c r="D85" s="89">
        <v>1.24</v>
      </c>
    </row>
    <row r="86" spans="1:4" x14ac:dyDescent="0.25">
      <c r="A86" s="88">
        <v>79</v>
      </c>
      <c r="B86" s="89">
        <v>8</v>
      </c>
      <c r="C86" s="89">
        <v>3.02</v>
      </c>
      <c r="D86" s="89">
        <v>1.1000000000000001</v>
      </c>
    </row>
    <row r="87" spans="1:4" x14ac:dyDescent="0.25">
      <c r="A87" s="88">
        <v>80</v>
      </c>
      <c r="B87" s="89">
        <v>7.47</v>
      </c>
      <c r="C87" s="89">
        <v>2.74</v>
      </c>
      <c r="D87" s="89">
        <v>0.97</v>
      </c>
    </row>
    <row r="88" spans="1:4" x14ac:dyDescent="0.25">
      <c r="A88" s="88">
        <v>81</v>
      </c>
      <c r="B88" s="89">
        <v>6.96</v>
      </c>
      <c r="C88" s="89">
        <v>2.65</v>
      </c>
      <c r="D88" s="89">
        <v>0.86</v>
      </c>
    </row>
    <row r="89" spans="1:4" x14ac:dyDescent="0.25">
      <c r="A89" s="88">
        <v>82</v>
      </c>
      <c r="B89" s="89">
        <v>6.47</v>
      </c>
      <c r="C89" s="89">
        <v>2.56</v>
      </c>
      <c r="D89" s="89">
        <v>0.77</v>
      </c>
    </row>
    <row r="90" spans="1:4" x14ac:dyDescent="0.25">
      <c r="A90" s="88">
        <v>83</v>
      </c>
      <c r="B90" s="89">
        <v>6</v>
      </c>
      <c r="C90" s="89">
        <v>2.46</v>
      </c>
      <c r="D90" s="89">
        <v>0.68</v>
      </c>
    </row>
    <row r="91" spans="1:4" x14ac:dyDescent="0.25">
      <c r="A91" s="88">
        <v>84</v>
      </c>
      <c r="B91" s="89">
        <v>5.55</v>
      </c>
      <c r="C91" s="89">
        <v>2.14</v>
      </c>
      <c r="D91" s="89">
        <v>0.57999999999999996</v>
      </c>
    </row>
    <row r="92" spans="1:4" x14ac:dyDescent="0.25">
      <c r="A92" s="88">
        <v>85</v>
      </c>
      <c r="B92" s="89">
        <v>5.13</v>
      </c>
      <c r="C92" s="89">
        <v>1.83</v>
      </c>
      <c r="D92" s="89">
        <v>0.49</v>
      </c>
    </row>
  </sheetData>
  <sheetProtection algorithmName="SHA-512" hashValue="5c1AfD6dqQlEu0wBZTudsk6rLLwYjOzeNtGRGFN3MiFF9c+Aye7W9jycJ2F5gCKJQm0n6ohM3Gj+/CLtcgCmFw==" saltValue="71pdqdNgdCy+0UfRW/diWQ==" spinCount="100000" sheet="1" objects="1" scenarios="1"/>
  <conditionalFormatting sqref="A6:A21">
    <cfRule type="expression" dxfId="507" priority="3" stopIfTrue="1">
      <formula>MOD(ROW(),2)=0</formula>
    </cfRule>
    <cfRule type="expression" dxfId="506" priority="4" stopIfTrue="1">
      <formula>MOD(ROW(),2)&lt;&gt;0</formula>
    </cfRule>
  </conditionalFormatting>
  <conditionalFormatting sqref="A26:A92">
    <cfRule type="expression" dxfId="505" priority="13" stopIfTrue="1">
      <formula>MOD(ROW(),2)=0</formula>
    </cfRule>
    <cfRule type="expression" dxfId="504" priority="14" stopIfTrue="1">
      <formula>MOD(ROW(),2)&lt;&gt;0</formula>
    </cfRule>
  </conditionalFormatting>
  <conditionalFormatting sqref="B18:B21">
    <cfRule type="expression" dxfId="503" priority="1" stopIfTrue="1">
      <formula>MOD(ROW(),2)=0</formula>
    </cfRule>
    <cfRule type="expression" dxfId="502" priority="2" stopIfTrue="1">
      <formula>MOD(ROW(),2)&lt;&gt;0</formula>
    </cfRule>
  </conditionalFormatting>
  <conditionalFormatting sqref="B6:D21">
    <cfRule type="expression" dxfId="501" priority="23" stopIfTrue="1">
      <formula>MOD(ROW(),2)=0</formula>
    </cfRule>
    <cfRule type="expression" dxfId="500" priority="24" stopIfTrue="1">
      <formula>MOD(ROW(),2)&lt;&gt;0</formula>
    </cfRule>
  </conditionalFormatting>
  <conditionalFormatting sqref="B26:D92">
    <cfRule type="expression" dxfId="499" priority="15" stopIfTrue="1">
      <formula>MOD(ROW(),2)=0</formula>
    </cfRule>
    <cfRule type="expression" dxfId="498" priority="16" stopIfTrue="1">
      <formula>MOD(ROW(),2)&lt;&gt;0</formula>
    </cfRule>
  </conditionalFormatting>
  <conditionalFormatting sqref="C17:D17">
    <cfRule type="expression" dxfId="497" priority="9" stopIfTrue="1">
      <formula>MOD(ROW(),2)=0</formula>
    </cfRule>
    <cfRule type="expression" dxfId="496"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5"/>
  <dimension ref="A1:I92"/>
  <sheetViews>
    <sheetView showGridLines="0" zoomScale="85" zoomScaleNormal="85" workbookViewId="0">
      <selection activeCell="A4" sqref="A4"/>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PenCE - x-312</v>
      </c>
      <c r="B3" s="42"/>
      <c r="C3" s="42"/>
      <c r="D3" s="42"/>
      <c r="E3" s="42"/>
      <c r="F3" s="42"/>
      <c r="G3" s="42"/>
      <c r="H3" s="42"/>
      <c r="I3" s="42"/>
    </row>
    <row r="4" spans="1:9" x14ac:dyDescent="0.25">
      <c r="A4" s="44"/>
    </row>
    <row r="6" spans="1:9" x14ac:dyDescent="0.25">
      <c r="A6" s="75" t="s">
        <v>484</v>
      </c>
      <c r="B6" s="162" t="s">
        <v>485</v>
      </c>
      <c r="C6" s="162"/>
      <c r="D6" s="162"/>
    </row>
    <row r="7" spans="1:9" x14ac:dyDescent="0.25">
      <c r="A7" s="76" t="s">
        <v>486</v>
      </c>
      <c r="B7" s="162" t="s">
        <v>81</v>
      </c>
      <c r="C7" s="162"/>
      <c r="D7" s="162"/>
    </row>
    <row r="8" spans="1:9" x14ac:dyDescent="0.25">
      <c r="A8" s="76" t="s">
        <v>282</v>
      </c>
      <c r="B8" s="162">
        <v>2015</v>
      </c>
      <c r="C8" s="162"/>
      <c r="D8" s="162"/>
    </row>
    <row r="9" spans="1:9" x14ac:dyDescent="0.25">
      <c r="A9" s="76" t="s">
        <v>283</v>
      </c>
      <c r="B9" s="162" t="s">
        <v>324</v>
      </c>
      <c r="C9" s="162"/>
      <c r="D9" s="162"/>
    </row>
    <row r="10" spans="1:9" x14ac:dyDescent="0.25">
      <c r="A10" s="76" t="s">
        <v>6</v>
      </c>
      <c r="B10" s="162" t="s">
        <v>331</v>
      </c>
      <c r="C10" s="162"/>
      <c r="D10" s="162"/>
    </row>
    <row r="11" spans="1:9" x14ac:dyDescent="0.25">
      <c r="A11" s="76" t="s">
        <v>284</v>
      </c>
      <c r="B11" s="162" t="s">
        <v>299</v>
      </c>
      <c r="C11" s="162"/>
      <c r="D11" s="162"/>
    </row>
    <row r="12" spans="1:9" x14ac:dyDescent="0.25">
      <c r="A12" s="76" t="s">
        <v>285</v>
      </c>
      <c r="B12" s="162" t="s">
        <v>295</v>
      </c>
      <c r="C12" s="162"/>
      <c r="D12" s="162"/>
    </row>
    <row r="13" spans="1:9" x14ac:dyDescent="0.25">
      <c r="A13" s="76" t="s">
        <v>493</v>
      </c>
      <c r="B13" s="162">
        <v>0</v>
      </c>
      <c r="C13" s="162"/>
      <c r="D13" s="162"/>
    </row>
    <row r="14" spans="1:9" x14ac:dyDescent="0.25">
      <c r="A14" s="76" t="s">
        <v>287</v>
      </c>
      <c r="B14" s="162">
        <v>312</v>
      </c>
      <c r="C14" s="162"/>
      <c r="D14" s="162"/>
    </row>
    <row r="15" spans="1:9" x14ac:dyDescent="0.25">
      <c r="A15" s="76" t="s">
        <v>496</v>
      </c>
      <c r="B15" s="162" t="s">
        <v>604</v>
      </c>
      <c r="C15" s="162"/>
      <c r="D15" s="162"/>
    </row>
    <row r="16" spans="1:9" x14ac:dyDescent="0.25">
      <c r="A16" s="76" t="s">
        <v>288</v>
      </c>
      <c r="B16" s="162" t="s">
        <v>305</v>
      </c>
      <c r="C16" s="162"/>
      <c r="D16" s="162"/>
    </row>
    <row r="17" spans="1:4" ht="39" customHeight="1" x14ac:dyDescent="0.25">
      <c r="A17" s="76" t="s">
        <v>568</v>
      </c>
      <c r="B17" s="162"/>
      <c r="C17" s="162"/>
      <c r="D17" s="162"/>
    </row>
    <row r="18" spans="1:4" x14ac:dyDescent="0.25">
      <c r="A18" s="76" t="s">
        <v>500</v>
      </c>
      <c r="B18" s="164">
        <v>45070</v>
      </c>
      <c r="C18" s="162"/>
      <c r="D18" s="162"/>
    </row>
    <row r="19" spans="1:4" x14ac:dyDescent="0.25">
      <c r="A19" s="76" t="s">
        <v>290</v>
      </c>
      <c r="B19" s="164">
        <v>45014</v>
      </c>
      <c r="C19" s="162"/>
      <c r="D19" s="162"/>
    </row>
    <row r="20" spans="1:4" x14ac:dyDescent="0.25">
      <c r="A20" s="76" t="s">
        <v>291</v>
      </c>
      <c r="B20" s="162" t="s">
        <v>298</v>
      </c>
      <c r="C20" s="162"/>
      <c r="D20" s="162"/>
    </row>
    <row r="21" spans="1:4" x14ac:dyDescent="0.25">
      <c r="A21" s="150" t="s">
        <v>569</v>
      </c>
      <c r="B21" s="162" t="s">
        <v>297</v>
      </c>
      <c r="C21" s="162"/>
      <c r="D21" s="162"/>
    </row>
    <row r="23" spans="1:4" x14ac:dyDescent="0.25">
      <c r="B23" s="91" t="str">
        <f>HYPERLINK("#'Factor List'!A1","Back to Factor List")</f>
        <v>Back to Factor List</v>
      </c>
    </row>
    <row r="24" spans="1:4" x14ac:dyDescent="0.25">
      <c r="B24" s="91" t="str">
        <f>HYPERLINK("#'Assumptions'!A1","Assumptions")</f>
        <v>Assumptions</v>
      </c>
    </row>
    <row r="26" spans="1:4" ht="39.6" x14ac:dyDescent="0.25">
      <c r="A26" s="87" t="s">
        <v>570</v>
      </c>
      <c r="B26" s="87" t="s">
        <v>591</v>
      </c>
      <c r="C26" s="87" t="s">
        <v>572</v>
      </c>
      <c r="D26" s="87" t="s">
        <v>593</v>
      </c>
    </row>
    <row r="27" spans="1:4" x14ac:dyDescent="0.25">
      <c r="A27" s="88">
        <v>20</v>
      </c>
      <c r="B27" s="89">
        <v>39.159999999999997</v>
      </c>
      <c r="C27" s="89">
        <v>2.7</v>
      </c>
      <c r="D27" s="89"/>
    </row>
    <row r="28" spans="1:4" x14ac:dyDescent="0.25">
      <c r="A28" s="88">
        <v>21</v>
      </c>
      <c r="B28" s="89">
        <v>38.79</v>
      </c>
      <c r="C28" s="89">
        <v>2.75</v>
      </c>
      <c r="D28" s="89"/>
    </row>
    <row r="29" spans="1:4" x14ac:dyDescent="0.25">
      <c r="A29" s="88">
        <v>22</v>
      </c>
      <c r="B29" s="89">
        <v>38.42</v>
      </c>
      <c r="C29" s="89">
        <v>2.79</v>
      </c>
      <c r="D29" s="89"/>
    </row>
    <row r="30" spans="1:4" x14ac:dyDescent="0.25">
      <c r="A30" s="88">
        <v>23</v>
      </c>
      <c r="B30" s="89">
        <v>38.04</v>
      </c>
      <c r="C30" s="89">
        <v>2.83</v>
      </c>
      <c r="D30" s="89"/>
    </row>
    <row r="31" spans="1:4" x14ac:dyDescent="0.25">
      <c r="A31" s="88">
        <v>24</v>
      </c>
      <c r="B31" s="89">
        <v>37.659999999999997</v>
      </c>
      <c r="C31" s="89">
        <v>2.88</v>
      </c>
      <c r="D31" s="89"/>
    </row>
    <row r="32" spans="1:4" x14ac:dyDescent="0.25">
      <c r="A32" s="88">
        <v>25</v>
      </c>
      <c r="B32" s="89">
        <v>37.270000000000003</v>
      </c>
      <c r="C32" s="89">
        <v>2.92</v>
      </c>
      <c r="D32" s="89"/>
    </row>
    <row r="33" spans="1:4" x14ac:dyDescent="0.25">
      <c r="A33" s="88">
        <v>26</v>
      </c>
      <c r="B33" s="89">
        <v>36.869999999999997</v>
      </c>
      <c r="C33" s="89">
        <v>2.96</v>
      </c>
      <c r="D33" s="89"/>
    </row>
    <row r="34" spans="1:4" x14ac:dyDescent="0.25">
      <c r="A34" s="88">
        <v>27</v>
      </c>
      <c r="B34" s="89">
        <v>36.47</v>
      </c>
      <c r="C34" s="89">
        <v>3.01</v>
      </c>
      <c r="D34" s="89"/>
    </row>
    <row r="35" spans="1:4" x14ac:dyDescent="0.25">
      <c r="A35" s="88">
        <v>28</v>
      </c>
      <c r="B35" s="89">
        <v>36.06</v>
      </c>
      <c r="C35" s="89">
        <v>3.05</v>
      </c>
      <c r="D35" s="89"/>
    </row>
    <row r="36" spans="1:4" x14ac:dyDescent="0.25">
      <c r="A36" s="88">
        <v>29</v>
      </c>
      <c r="B36" s="89">
        <v>35.65</v>
      </c>
      <c r="C36" s="89">
        <v>3.1</v>
      </c>
      <c r="D36" s="89"/>
    </row>
    <row r="37" spans="1:4" x14ac:dyDescent="0.25">
      <c r="A37" s="88">
        <v>30</v>
      </c>
      <c r="B37" s="89">
        <v>35.229999999999997</v>
      </c>
      <c r="C37" s="89">
        <v>3.14</v>
      </c>
      <c r="D37" s="89"/>
    </row>
    <row r="38" spans="1:4" x14ac:dyDescent="0.25">
      <c r="A38" s="88">
        <v>31</v>
      </c>
      <c r="B38" s="89">
        <v>34.799999999999997</v>
      </c>
      <c r="C38" s="89">
        <v>3.18</v>
      </c>
      <c r="D38" s="89"/>
    </row>
    <row r="39" spans="1:4" x14ac:dyDescent="0.25">
      <c r="A39" s="88">
        <v>32</v>
      </c>
      <c r="B39" s="89">
        <v>34.369999999999997</v>
      </c>
      <c r="C39" s="89">
        <v>3.23</v>
      </c>
      <c r="D39" s="89"/>
    </row>
    <row r="40" spans="1:4" x14ac:dyDescent="0.25">
      <c r="A40" s="88">
        <v>33</v>
      </c>
      <c r="B40" s="89">
        <v>33.93</v>
      </c>
      <c r="C40" s="89">
        <v>3.27</v>
      </c>
      <c r="D40" s="89"/>
    </row>
    <row r="41" spans="1:4" x14ac:dyDescent="0.25">
      <c r="A41" s="88">
        <v>34</v>
      </c>
      <c r="B41" s="89">
        <v>33.479999999999997</v>
      </c>
      <c r="C41" s="89">
        <v>3.31</v>
      </c>
      <c r="D41" s="89"/>
    </row>
    <row r="42" spans="1:4" x14ac:dyDescent="0.25">
      <c r="A42" s="88">
        <v>35</v>
      </c>
      <c r="B42" s="89">
        <v>33.03</v>
      </c>
      <c r="C42" s="89">
        <v>3.35</v>
      </c>
      <c r="D42" s="89"/>
    </row>
    <row r="43" spans="1:4" x14ac:dyDescent="0.25">
      <c r="A43" s="88">
        <v>36</v>
      </c>
      <c r="B43" s="89">
        <v>32.57</v>
      </c>
      <c r="C43" s="89">
        <v>3.39</v>
      </c>
      <c r="D43" s="89"/>
    </row>
    <row r="44" spans="1:4" x14ac:dyDescent="0.25">
      <c r="A44" s="88">
        <v>37</v>
      </c>
      <c r="B44" s="89">
        <v>32.11</v>
      </c>
      <c r="C44" s="89">
        <v>3.43</v>
      </c>
      <c r="D44" s="89"/>
    </row>
    <row r="45" spans="1:4" x14ac:dyDescent="0.25">
      <c r="A45" s="88">
        <v>38</v>
      </c>
      <c r="B45" s="89">
        <v>31.63</v>
      </c>
      <c r="C45" s="89">
        <v>3.47</v>
      </c>
      <c r="D45" s="89"/>
    </row>
    <row r="46" spans="1:4" x14ac:dyDescent="0.25">
      <c r="A46" s="88">
        <v>39</v>
      </c>
      <c r="B46" s="89">
        <v>31.15</v>
      </c>
      <c r="C46" s="89">
        <v>3.51</v>
      </c>
      <c r="D46" s="89"/>
    </row>
    <row r="47" spans="1:4" x14ac:dyDescent="0.25">
      <c r="A47" s="88">
        <v>40</v>
      </c>
      <c r="B47" s="89">
        <v>30.67</v>
      </c>
      <c r="C47" s="89">
        <v>3.55</v>
      </c>
      <c r="D47" s="89"/>
    </row>
    <row r="48" spans="1:4" x14ac:dyDescent="0.25">
      <c r="A48" s="88">
        <v>41</v>
      </c>
      <c r="B48" s="89">
        <v>30.18</v>
      </c>
      <c r="C48" s="89">
        <v>3.59</v>
      </c>
      <c r="D48" s="89"/>
    </row>
    <row r="49" spans="1:4" x14ac:dyDescent="0.25">
      <c r="A49" s="88">
        <v>42</v>
      </c>
      <c r="B49" s="89">
        <v>29.68</v>
      </c>
      <c r="C49" s="89">
        <v>3.63</v>
      </c>
      <c r="D49" s="89"/>
    </row>
    <row r="50" spans="1:4" x14ac:dyDescent="0.25">
      <c r="A50" s="88">
        <v>43</v>
      </c>
      <c r="B50" s="89">
        <v>29.17</v>
      </c>
      <c r="C50" s="89">
        <v>3.67</v>
      </c>
      <c r="D50" s="89"/>
    </row>
    <row r="51" spans="1:4" x14ac:dyDescent="0.25">
      <c r="A51" s="88">
        <v>44</v>
      </c>
      <c r="B51" s="89">
        <v>28.66</v>
      </c>
      <c r="C51" s="89">
        <v>3.7</v>
      </c>
      <c r="D51" s="89"/>
    </row>
    <row r="52" spans="1:4" x14ac:dyDescent="0.25">
      <c r="A52" s="88">
        <v>45</v>
      </c>
      <c r="B52" s="89">
        <v>28.14</v>
      </c>
      <c r="C52" s="89">
        <v>3.73</v>
      </c>
      <c r="D52" s="89"/>
    </row>
    <row r="53" spans="1:4" x14ac:dyDescent="0.25">
      <c r="A53" s="88">
        <v>46</v>
      </c>
      <c r="B53" s="89">
        <v>27.62</v>
      </c>
      <c r="C53" s="89">
        <v>3.77</v>
      </c>
      <c r="D53" s="89"/>
    </row>
    <row r="54" spans="1:4" x14ac:dyDescent="0.25">
      <c r="A54" s="88">
        <v>47</v>
      </c>
      <c r="B54" s="89">
        <v>27.09</v>
      </c>
      <c r="C54" s="89">
        <v>3.8</v>
      </c>
      <c r="D54" s="89"/>
    </row>
    <row r="55" spans="1:4" x14ac:dyDescent="0.25">
      <c r="A55" s="88">
        <v>48</v>
      </c>
      <c r="B55" s="89">
        <v>26.55</v>
      </c>
      <c r="C55" s="89">
        <v>3.83</v>
      </c>
      <c r="D55" s="89"/>
    </row>
    <row r="56" spans="1:4" x14ac:dyDescent="0.25">
      <c r="A56" s="88">
        <v>49</v>
      </c>
      <c r="B56" s="89">
        <v>26.01</v>
      </c>
      <c r="C56" s="89">
        <v>3.86</v>
      </c>
      <c r="D56" s="89"/>
    </row>
    <row r="57" spans="1:4" x14ac:dyDescent="0.25">
      <c r="A57" s="88">
        <v>50</v>
      </c>
      <c r="B57" s="89">
        <v>25.46</v>
      </c>
      <c r="C57" s="89">
        <v>3.89</v>
      </c>
      <c r="D57" s="89"/>
    </row>
    <row r="58" spans="1:4" x14ac:dyDescent="0.25">
      <c r="A58" s="88">
        <v>51</v>
      </c>
      <c r="B58" s="89">
        <v>24.9</v>
      </c>
      <c r="C58" s="89">
        <v>3.92</v>
      </c>
      <c r="D58" s="89"/>
    </row>
    <row r="59" spans="1:4" x14ac:dyDescent="0.25">
      <c r="A59" s="88">
        <v>52</v>
      </c>
      <c r="B59" s="89">
        <v>24.34</v>
      </c>
      <c r="C59" s="89">
        <v>3.95</v>
      </c>
      <c r="D59" s="89"/>
    </row>
    <row r="60" spans="1:4" x14ac:dyDescent="0.25">
      <c r="A60" s="88">
        <v>53</v>
      </c>
      <c r="B60" s="89">
        <v>23.76</v>
      </c>
      <c r="C60" s="89">
        <v>3.98</v>
      </c>
      <c r="D60" s="89"/>
    </row>
    <row r="61" spans="1:4" x14ac:dyDescent="0.25">
      <c r="A61" s="88">
        <v>54</v>
      </c>
      <c r="B61" s="89">
        <v>23.18</v>
      </c>
      <c r="C61" s="89">
        <v>4</v>
      </c>
      <c r="D61" s="89"/>
    </row>
    <row r="62" spans="1:4" x14ac:dyDescent="0.25">
      <c r="A62" s="88">
        <v>55</v>
      </c>
      <c r="B62" s="89">
        <v>22.6</v>
      </c>
      <c r="C62" s="89">
        <v>4.03</v>
      </c>
      <c r="D62" s="89"/>
    </row>
    <row r="63" spans="1:4" x14ac:dyDescent="0.25">
      <c r="A63" s="88">
        <v>56</v>
      </c>
      <c r="B63" s="89">
        <v>22.01</v>
      </c>
      <c r="C63" s="89">
        <v>4.05</v>
      </c>
      <c r="D63" s="89"/>
    </row>
    <row r="64" spans="1:4" x14ac:dyDescent="0.25">
      <c r="A64" s="88">
        <v>57</v>
      </c>
      <c r="B64" s="89">
        <v>21.41</v>
      </c>
      <c r="C64" s="89">
        <v>4.07</v>
      </c>
      <c r="D64" s="89"/>
    </row>
    <row r="65" spans="1:4" x14ac:dyDescent="0.25">
      <c r="A65" s="88">
        <v>58</v>
      </c>
      <c r="B65" s="89">
        <v>20.8</v>
      </c>
      <c r="C65" s="89">
        <v>4.0999999999999996</v>
      </c>
      <c r="D65" s="89"/>
    </row>
    <row r="66" spans="1:4" x14ac:dyDescent="0.25">
      <c r="A66" s="88">
        <v>59</v>
      </c>
      <c r="B66" s="89">
        <v>20.190000000000001</v>
      </c>
      <c r="C66" s="89">
        <v>4.1100000000000003</v>
      </c>
      <c r="D66" s="89"/>
    </row>
    <row r="67" spans="1:4" x14ac:dyDescent="0.25">
      <c r="A67" s="88">
        <v>60</v>
      </c>
      <c r="B67" s="89">
        <v>19.579999999999998</v>
      </c>
      <c r="C67" s="89">
        <v>4.13</v>
      </c>
      <c r="D67" s="89"/>
    </row>
    <row r="68" spans="1:4" x14ac:dyDescent="0.25">
      <c r="A68" s="88">
        <v>61</v>
      </c>
      <c r="B68" s="89">
        <v>18.96</v>
      </c>
      <c r="C68" s="89">
        <v>4.1399999999999997</v>
      </c>
      <c r="D68" s="89"/>
    </row>
    <row r="69" spans="1:4" x14ac:dyDescent="0.25">
      <c r="A69" s="88">
        <v>62</v>
      </c>
      <c r="B69" s="89">
        <v>18.329999999999998</v>
      </c>
      <c r="C69" s="89">
        <v>4.16</v>
      </c>
      <c r="D69" s="89"/>
    </row>
    <row r="70" spans="1:4" x14ac:dyDescent="0.25">
      <c r="A70" s="88">
        <v>63</v>
      </c>
      <c r="B70" s="89">
        <v>17.71</v>
      </c>
      <c r="C70" s="89">
        <v>4.16</v>
      </c>
      <c r="D70" s="89"/>
    </row>
    <row r="71" spans="1:4" x14ac:dyDescent="0.25">
      <c r="A71" s="88">
        <v>64</v>
      </c>
      <c r="B71" s="89">
        <v>17.079999999999998</v>
      </c>
      <c r="C71" s="89">
        <v>4.16</v>
      </c>
      <c r="D71" s="89"/>
    </row>
    <row r="72" spans="1:4" x14ac:dyDescent="0.25">
      <c r="A72" s="88">
        <v>65</v>
      </c>
      <c r="B72" s="89">
        <v>16.45</v>
      </c>
      <c r="C72" s="89">
        <v>4.16</v>
      </c>
      <c r="D72" s="89"/>
    </row>
    <row r="73" spans="1:4" x14ac:dyDescent="0.25">
      <c r="A73" s="88">
        <v>66</v>
      </c>
      <c r="B73" s="89">
        <v>15.83</v>
      </c>
      <c r="C73" s="89">
        <v>4.1500000000000004</v>
      </c>
      <c r="D73" s="89"/>
    </row>
    <row r="74" spans="1:4" x14ac:dyDescent="0.25">
      <c r="A74" s="88">
        <v>67</v>
      </c>
      <c r="B74" s="89">
        <v>15.2</v>
      </c>
      <c r="C74" s="89">
        <v>4.1399999999999997</v>
      </c>
      <c r="D74" s="89"/>
    </row>
    <row r="75" spans="1:4" x14ac:dyDescent="0.25">
      <c r="A75" s="88">
        <v>68</v>
      </c>
      <c r="B75" s="89">
        <v>14.57</v>
      </c>
      <c r="C75" s="89">
        <v>4.12</v>
      </c>
      <c r="D75" s="89"/>
    </row>
    <row r="76" spans="1:4" x14ac:dyDescent="0.25">
      <c r="A76" s="88">
        <v>69</v>
      </c>
      <c r="B76" s="89">
        <v>13.94</v>
      </c>
      <c r="C76" s="89">
        <v>4.05</v>
      </c>
      <c r="D76" s="89">
        <v>2.6</v>
      </c>
    </row>
    <row r="77" spans="1:4" x14ac:dyDescent="0.25">
      <c r="A77" s="88">
        <v>70</v>
      </c>
      <c r="B77" s="89">
        <v>13.32</v>
      </c>
      <c r="C77" s="89">
        <v>3.97</v>
      </c>
      <c r="D77" s="89">
        <v>2.41</v>
      </c>
    </row>
    <row r="78" spans="1:4" x14ac:dyDescent="0.25">
      <c r="A78" s="88">
        <v>71</v>
      </c>
      <c r="B78" s="89">
        <v>12.7</v>
      </c>
      <c r="C78" s="89">
        <v>3.94</v>
      </c>
      <c r="D78" s="89">
        <v>2.2200000000000002</v>
      </c>
    </row>
    <row r="79" spans="1:4" x14ac:dyDescent="0.25">
      <c r="A79" s="88">
        <v>72</v>
      </c>
      <c r="B79" s="89">
        <v>12.08</v>
      </c>
      <c r="C79" s="89">
        <v>3.9</v>
      </c>
      <c r="D79" s="89">
        <v>2.04</v>
      </c>
    </row>
    <row r="80" spans="1:4" x14ac:dyDescent="0.25">
      <c r="A80" s="88">
        <v>73</v>
      </c>
      <c r="B80" s="89">
        <v>11.47</v>
      </c>
      <c r="C80" s="89">
        <v>3.86</v>
      </c>
      <c r="D80" s="89">
        <v>1.87</v>
      </c>
    </row>
    <row r="81" spans="1:4" x14ac:dyDescent="0.25">
      <c r="A81" s="88">
        <v>74</v>
      </c>
      <c r="B81" s="89">
        <v>10.86</v>
      </c>
      <c r="C81" s="89">
        <v>3.68</v>
      </c>
      <c r="D81" s="89">
        <v>1.7</v>
      </c>
    </row>
    <row r="82" spans="1:4" x14ac:dyDescent="0.25">
      <c r="A82" s="88">
        <v>75</v>
      </c>
      <c r="B82" s="89">
        <v>10.27</v>
      </c>
      <c r="C82" s="89">
        <v>3.51</v>
      </c>
      <c r="D82" s="89">
        <v>1.55</v>
      </c>
    </row>
    <row r="83" spans="1:4" x14ac:dyDescent="0.25">
      <c r="A83" s="88">
        <v>76</v>
      </c>
      <c r="B83" s="89">
        <v>9.68</v>
      </c>
      <c r="C83" s="89">
        <v>3.44</v>
      </c>
      <c r="D83" s="89">
        <v>1.4</v>
      </c>
    </row>
    <row r="84" spans="1:4" x14ac:dyDescent="0.25">
      <c r="A84" s="88">
        <v>77</v>
      </c>
      <c r="B84" s="89">
        <v>9.11</v>
      </c>
      <c r="C84" s="89">
        <v>3.38</v>
      </c>
      <c r="D84" s="89">
        <v>1.26</v>
      </c>
    </row>
    <row r="85" spans="1:4" x14ac:dyDescent="0.25">
      <c r="A85" s="88">
        <v>78</v>
      </c>
      <c r="B85" s="89">
        <v>8.5500000000000007</v>
      </c>
      <c r="C85" s="89">
        <v>3.3</v>
      </c>
      <c r="D85" s="89">
        <v>1.1299999999999999</v>
      </c>
    </row>
    <row r="86" spans="1:4" x14ac:dyDescent="0.25">
      <c r="A86" s="88">
        <v>79</v>
      </c>
      <c r="B86" s="89">
        <v>8</v>
      </c>
      <c r="C86" s="89">
        <v>3.02</v>
      </c>
      <c r="D86" s="89">
        <v>1</v>
      </c>
    </row>
    <row r="87" spans="1:4" x14ac:dyDescent="0.25">
      <c r="A87" s="88">
        <v>80</v>
      </c>
      <c r="B87" s="89">
        <v>7.47</v>
      </c>
      <c r="C87" s="89">
        <v>2.74</v>
      </c>
      <c r="D87" s="89">
        <v>0.89</v>
      </c>
    </row>
    <row r="88" spans="1:4" x14ac:dyDescent="0.25">
      <c r="A88" s="88">
        <v>81</v>
      </c>
      <c r="B88" s="89">
        <v>6.96</v>
      </c>
      <c r="C88" s="89">
        <v>2.65</v>
      </c>
      <c r="D88" s="89">
        <v>0.78</v>
      </c>
    </row>
    <row r="89" spans="1:4" x14ac:dyDescent="0.25">
      <c r="A89" s="88">
        <v>82</v>
      </c>
      <c r="B89" s="89">
        <v>6.47</v>
      </c>
      <c r="C89" s="89">
        <v>2.56</v>
      </c>
      <c r="D89" s="89">
        <v>0.69</v>
      </c>
    </row>
    <row r="90" spans="1:4" x14ac:dyDescent="0.25">
      <c r="A90" s="88">
        <v>83</v>
      </c>
      <c r="B90" s="89">
        <v>6</v>
      </c>
      <c r="C90" s="89">
        <v>2.46</v>
      </c>
      <c r="D90" s="89">
        <v>0.6</v>
      </c>
    </row>
    <row r="91" spans="1:4" x14ac:dyDescent="0.25">
      <c r="A91" s="88">
        <v>84</v>
      </c>
      <c r="B91" s="89">
        <v>5.55</v>
      </c>
      <c r="C91" s="89">
        <v>2.14</v>
      </c>
      <c r="D91" s="89">
        <v>0.52</v>
      </c>
    </row>
    <row r="92" spans="1:4" x14ac:dyDescent="0.25">
      <c r="A92" s="88">
        <v>85</v>
      </c>
      <c r="B92" s="89">
        <v>5.13</v>
      </c>
      <c r="C92" s="89">
        <v>1.83</v>
      </c>
      <c r="D92" s="89">
        <v>0.45</v>
      </c>
    </row>
  </sheetData>
  <sheetProtection algorithmName="SHA-512" hashValue="PKJDgouX/SDLk22Yv1Jk8cTDolwefT4eOIhTnWcF29TXXob8+OvaZ3ut+WuE+YDSloz+7gBR7rddlzdltYfWYg==" saltValue="fd/EAIPu7umHDt6dQtm9og==" spinCount="100000" sheet="1" objects="1" scenarios="1"/>
  <conditionalFormatting sqref="A6:A21">
    <cfRule type="expression" dxfId="495" priority="3" stopIfTrue="1">
      <formula>MOD(ROW(),2)=0</formula>
    </cfRule>
    <cfRule type="expression" dxfId="494" priority="4" stopIfTrue="1">
      <formula>MOD(ROW(),2)&lt;&gt;0</formula>
    </cfRule>
  </conditionalFormatting>
  <conditionalFormatting sqref="A26:A92">
    <cfRule type="expression" dxfId="493" priority="11" stopIfTrue="1">
      <formula>MOD(ROW(),2)=0</formula>
    </cfRule>
    <cfRule type="expression" dxfId="492" priority="12" stopIfTrue="1">
      <formula>MOD(ROW(),2)&lt;&gt;0</formula>
    </cfRule>
  </conditionalFormatting>
  <conditionalFormatting sqref="B18:B21">
    <cfRule type="expression" dxfId="491" priority="1" stopIfTrue="1">
      <formula>MOD(ROW(),2)=0</formula>
    </cfRule>
    <cfRule type="expression" dxfId="490" priority="2" stopIfTrue="1">
      <formula>MOD(ROW(),2)&lt;&gt;0</formula>
    </cfRule>
  </conditionalFormatting>
  <conditionalFormatting sqref="B6:D21">
    <cfRule type="expression" dxfId="489" priority="21" stopIfTrue="1">
      <formula>MOD(ROW(),2)=0</formula>
    </cfRule>
    <cfRule type="expression" dxfId="488" priority="22" stopIfTrue="1">
      <formula>MOD(ROW(),2)&lt;&gt;0</formula>
    </cfRule>
  </conditionalFormatting>
  <conditionalFormatting sqref="B26:D92">
    <cfRule type="expression" dxfId="487" priority="13" stopIfTrue="1">
      <formula>MOD(ROW(),2)=0</formula>
    </cfRule>
    <cfRule type="expression" dxfId="486" priority="14" stopIfTrue="1">
      <formula>MOD(ROW(),2)&lt;&gt;0</formula>
    </cfRule>
  </conditionalFormatting>
  <conditionalFormatting sqref="C17:D17">
    <cfRule type="expression" dxfId="485" priority="7" stopIfTrue="1">
      <formula>MOD(ROW(),2)=0</formula>
    </cfRule>
    <cfRule type="expression" dxfId="48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03"/>
  <dimension ref="A1:I96"/>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Pension Credit - x-313</v>
      </c>
      <c r="B3" s="42"/>
      <c r="C3" s="42"/>
      <c r="D3" s="42"/>
      <c r="E3" s="42"/>
      <c r="F3" s="42"/>
      <c r="G3" s="42"/>
      <c r="H3" s="42"/>
      <c r="I3" s="42"/>
    </row>
    <row r="4" spans="1:9" x14ac:dyDescent="0.25">
      <c r="A4" s="44"/>
    </row>
    <row r="6" spans="1:9" x14ac:dyDescent="0.25">
      <c r="A6" s="85" t="s">
        <v>484</v>
      </c>
      <c r="B6" s="163" t="s">
        <v>485</v>
      </c>
      <c r="C6" s="163"/>
    </row>
    <row r="7" spans="1:9" x14ac:dyDescent="0.25">
      <c r="A7" s="165" t="s">
        <v>486</v>
      </c>
      <c r="B7" s="163" t="s">
        <v>81</v>
      </c>
      <c r="C7" s="163"/>
    </row>
    <row r="8" spans="1:9" x14ac:dyDescent="0.25">
      <c r="A8" s="165" t="s">
        <v>282</v>
      </c>
      <c r="B8" s="163">
        <v>1992</v>
      </c>
      <c r="C8" s="163"/>
    </row>
    <row r="9" spans="1:9" x14ac:dyDescent="0.25">
      <c r="A9" s="165" t="s">
        <v>283</v>
      </c>
      <c r="B9" s="163" t="s">
        <v>332</v>
      </c>
      <c r="C9" s="163"/>
    </row>
    <row r="10" spans="1:9" x14ac:dyDescent="0.25">
      <c r="A10" s="165" t="s">
        <v>6</v>
      </c>
      <c r="B10" s="163" t="s">
        <v>333</v>
      </c>
      <c r="C10" s="163"/>
    </row>
    <row r="11" spans="1:9" x14ac:dyDescent="0.25">
      <c r="A11" s="165" t="s">
        <v>284</v>
      </c>
      <c r="B11" s="163" t="s">
        <v>334</v>
      </c>
      <c r="C11" s="163"/>
    </row>
    <row r="12" spans="1:9" x14ac:dyDescent="0.25">
      <c r="A12" s="165" t="s">
        <v>285</v>
      </c>
      <c r="B12" s="163" t="s">
        <v>295</v>
      </c>
      <c r="C12" s="163"/>
    </row>
    <row r="13" spans="1:9" hidden="1" x14ac:dyDescent="0.25">
      <c r="A13" s="165" t="s">
        <v>493</v>
      </c>
      <c r="B13" s="163">
        <v>2</v>
      </c>
      <c r="C13" s="163"/>
    </row>
    <row r="14" spans="1:9" hidden="1" x14ac:dyDescent="0.25">
      <c r="A14" s="165" t="s">
        <v>287</v>
      </c>
      <c r="B14" s="163">
        <v>313</v>
      </c>
      <c r="C14" s="163"/>
    </row>
    <row r="15" spans="1:9" x14ac:dyDescent="0.25">
      <c r="A15" s="165" t="s">
        <v>496</v>
      </c>
      <c r="B15" s="163" t="s">
        <v>335</v>
      </c>
      <c r="C15" s="163"/>
    </row>
    <row r="16" spans="1:9" x14ac:dyDescent="0.25">
      <c r="A16" s="165" t="s">
        <v>288</v>
      </c>
      <c r="B16" s="163" t="s">
        <v>336</v>
      </c>
      <c r="C16" s="163"/>
    </row>
    <row r="17" spans="1:3" x14ac:dyDescent="0.25">
      <c r="A17" s="165" t="s">
        <v>568</v>
      </c>
      <c r="B17" s="163"/>
      <c r="C17" s="163"/>
    </row>
    <row r="18" spans="1:3" x14ac:dyDescent="0.25">
      <c r="A18" s="165" t="s">
        <v>500</v>
      </c>
      <c r="B18" s="166">
        <v>45070</v>
      </c>
      <c r="C18" s="163"/>
    </row>
    <row r="19" spans="1:3" x14ac:dyDescent="0.25">
      <c r="A19" s="165" t="s">
        <v>290</v>
      </c>
      <c r="B19" s="166">
        <v>45014</v>
      </c>
      <c r="C19" s="163"/>
    </row>
    <row r="20" spans="1:3" x14ac:dyDescent="0.25">
      <c r="A20" s="165" t="s">
        <v>291</v>
      </c>
      <c r="B20" s="163" t="s">
        <v>298</v>
      </c>
      <c r="C20" s="163"/>
    </row>
    <row r="21" spans="1:3" x14ac:dyDescent="0.25">
      <c r="A21" s="150" t="s">
        <v>569</v>
      </c>
      <c r="B21" s="163" t="s">
        <v>297</v>
      </c>
      <c r="C21" s="163"/>
    </row>
    <row r="23" spans="1:3" x14ac:dyDescent="0.25">
      <c r="B23" s="91" t="str">
        <f>HYPERLINK("#'Factor List'!A1","Back to Factor List")</f>
        <v>Back to Factor List</v>
      </c>
    </row>
    <row r="24" spans="1:3" x14ac:dyDescent="0.25">
      <c r="B24" s="91" t="str">
        <f>HYPERLINK("#'Assumptions'!A1","Assumptions")</f>
        <v>Assumptions</v>
      </c>
    </row>
    <row r="26" spans="1:3" ht="26.4" x14ac:dyDescent="0.25">
      <c r="A26" s="87" t="s">
        <v>570</v>
      </c>
      <c r="B26" s="87" t="s">
        <v>605</v>
      </c>
      <c r="C26" s="87" t="s">
        <v>606</v>
      </c>
    </row>
    <row r="27" spans="1:3" x14ac:dyDescent="0.25">
      <c r="A27" s="88">
        <v>16</v>
      </c>
      <c r="B27" s="89">
        <v>10.72</v>
      </c>
      <c r="C27" s="89">
        <v>10.72</v>
      </c>
    </row>
    <row r="28" spans="1:3" x14ac:dyDescent="0.25">
      <c r="A28" s="88">
        <v>17</v>
      </c>
      <c r="B28" s="89">
        <v>10.87</v>
      </c>
      <c r="C28" s="89">
        <v>10.87</v>
      </c>
    </row>
    <row r="29" spans="1:3" x14ac:dyDescent="0.25">
      <c r="A29" s="88">
        <v>18</v>
      </c>
      <c r="B29" s="89">
        <v>11.03</v>
      </c>
      <c r="C29" s="89">
        <v>11.03</v>
      </c>
    </row>
    <row r="30" spans="1:3" x14ac:dyDescent="0.25">
      <c r="A30" s="88">
        <v>19</v>
      </c>
      <c r="B30" s="89">
        <v>11.18</v>
      </c>
      <c r="C30" s="89">
        <v>11.18</v>
      </c>
    </row>
    <row r="31" spans="1:3" x14ac:dyDescent="0.25">
      <c r="A31" s="88">
        <v>20</v>
      </c>
      <c r="B31" s="89">
        <v>11.34</v>
      </c>
      <c r="C31" s="89">
        <v>11.34</v>
      </c>
    </row>
    <row r="32" spans="1:3" x14ac:dyDescent="0.25">
      <c r="A32" s="88">
        <v>21</v>
      </c>
      <c r="B32" s="89">
        <v>11.51</v>
      </c>
      <c r="C32" s="89">
        <v>11.51</v>
      </c>
    </row>
    <row r="33" spans="1:3" x14ac:dyDescent="0.25">
      <c r="A33" s="88">
        <v>22</v>
      </c>
      <c r="B33" s="89">
        <v>11.67</v>
      </c>
      <c r="C33" s="89">
        <v>11.67</v>
      </c>
    </row>
    <row r="34" spans="1:3" x14ac:dyDescent="0.25">
      <c r="A34" s="88">
        <v>23</v>
      </c>
      <c r="B34" s="89">
        <v>11.84</v>
      </c>
      <c r="C34" s="89">
        <v>11.84</v>
      </c>
    </row>
    <row r="35" spans="1:3" x14ac:dyDescent="0.25">
      <c r="A35" s="88">
        <v>24</v>
      </c>
      <c r="B35" s="89">
        <v>12.01</v>
      </c>
      <c r="C35" s="89">
        <v>12.01</v>
      </c>
    </row>
    <row r="36" spans="1:3" x14ac:dyDescent="0.25">
      <c r="A36" s="88">
        <v>25</v>
      </c>
      <c r="B36" s="89">
        <v>12.18</v>
      </c>
      <c r="C36" s="89">
        <v>12.18</v>
      </c>
    </row>
    <row r="37" spans="1:3" x14ac:dyDescent="0.25">
      <c r="A37" s="88">
        <v>26</v>
      </c>
      <c r="B37" s="89">
        <v>12.36</v>
      </c>
      <c r="C37" s="89">
        <v>12.36</v>
      </c>
    </row>
    <row r="38" spans="1:3" x14ac:dyDescent="0.25">
      <c r="A38" s="88">
        <v>27</v>
      </c>
      <c r="B38" s="89">
        <v>12.53</v>
      </c>
      <c r="C38" s="89">
        <v>12.53</v>
      </c>
    </row>
    <row r="39" spans="1:3" x14ac:dyDescent="0.25">
      <c r="A39" s="88">
        <v>28</v>
      </c>
      <c r="B39" s="89">
        <v>12.71</v>
      </c>
      <c r="C39" s="89">
        <v>12.71</v>
      </c>
    </row>
    <row r="40" spans="1:3" x14ac:dyDescent="0.25">
      <c r="A40" s="88">
        <v>29</v>
      </c>
      <c r="B40" s="89">
        <v>12.9</v>
      </c>
      <c r="C40" s="89">
        <v>12.9</v>
      </c>
    </row>
    <row r="41" spans="1:3" x14ac:dyDescent="0.25">
      <c r="A41" s="88">
        <v>30</v>
      </c>
      <c r="B41" s="89">
        <v>13.08</v>
      </c>
      <c r="C41" s="89">
        <v>13.08</v>
      </c>
    </row>
    <row r="42" spans="1:3" x14ac:dyDescent="0.25">
      <c r="A42" s="88">
        <v>31</v>
      </c>
      <c r="B42" s="89">
        <v>13.27</v>
      </c>
      <c r="C42" s="89">
        <v>13.27</v>
      </c>
    </row>
    <row r="43" spans="1:3" x14ac:dyDescent="0.25">
      <c r="A43" s="88">
        <v>32</v>
      </c>
      <c r="B43" s="89">
        <v>13.46</v>
      </c>
      <c r="C43" s="89">
        <v>13.46</v>
      </c>
    </row>
    <row r="44" spans="1:3" x14ac:dyDescent="0.25">
      <c r="A44" s="88">
        <v>33</v>
      </c>
      <c r="B44" s="89">
        <v>13.66</v>
      </c>
      <c r="C44" s="89">
        <v>13.66</v>
      </c>
    </row>
    <row r="45" spans="1:3" x14ac:dyDescent="0.25">
      <c r="A45" s="88">
        <v>34</v>
      </c>
      <c r="B45" s="89">
        <v>13.86</v>
      </c>
      <c r="C45" s="89">
        <v>13.86</v>
      </c>
    </row>
    <row r="46" spans="1:3" x14ac:dyDescent="0.25">
      <c r="A46" s="88">
        <v>35</v>
      </c>
      <c r="B46" s="89">
        <v>14.06</v>
      </c>
      <c r="C46" s="89">
        <v>14.06</v>
      </c>
    </row>
    <row r="47" spans="1:3" x14ac:dyDescent="0.25">
      <c r="A47" s="88">
        <v>36</v>
      </c>
      <c r="B47" s="89">
        <v>14.26</v>
      </c>
      <c r="C47" s="89">
        <v>14.26</v>
      </c>
    </row>
    <row r="48" spans="1:3" x14ac:dyDescent="0.25">
      <c r="A48" s="88">
        <v>37</v>
      </c>
      <c r="B48" s="89">
        <v>14.47</v>
      </c>
      <c r="C48" s="89">
        <v>14.47</v>
      </c>
    </row>
    <row r="49" spans="1:3" x14ac:dyDescent="0.25">
      <c r="A49" s="88">
        <v>38</v>
      </c>
      <c r="B49" s="89">
        <v>14.69</v>
      </c>
      <c r="C49" s="89">
        <v>14.69</v>
      </c>
    </row>
    <row r="50" spans="1:3" x14ac:dyDescent="0.25">
      <c r="A50" s="88">
        <v>39</v>
      </c>
      <c r="B50" s="89">
        <v>14.91</v>
      </c>
      <c r="C50" s="89">
        <v>14.91</v>
      </c>
    </row>
    <row r="51" spans="1:3" x14ac:dyDescent="0.25">
      <c r="A51" s="88">
        <v>40</v>
      </c>
      <c r="B51" s="89">
        <v>15.13</v>
      </c>
      <c r="C51" s="89">
        <v>15.13</v>
      </c>
    </row>
    <row r="52" spans="1:3" x14ac:dyDescent="0.25">
      <c r="A52" s="88">
        <v>41</v>
      </c>
      <c r="B52" s="89">
        <v>15.36</v>
      </c>
      <c r="C52" s="89">
        <v>15.36</v>
      </c>
    </row>
    <row r="53" spans="1:3" x14ac:dyDescent="0.25">
      <c r="A53" s="88">
        <v>42</v>
      </c>
      <c r="B53" s="89">
        <v>15.59</v>
      </c>
      <c r="C53" s="89">
        <v>15.59</v>
      </c>
    </row>
    <row r="54" spans="1:3" x14ac:dyDescent="0.25">
      <c r="A54" s="88">
        <v>43</v>
      </c>
      <c r="B54" s="89">
        <v>15.83</v>
      </c>
      <c r="C54" s="89">
        <v>15.83</v>
      </c>
    </row>
    <row r="55" spans="1:3" x14ac:dyDescent="0.25">
      <c r="A55" s="88">
        <v>44</v>
      </c>
      <c r="B55" s="89">
        <v>16.07</v>
      </c>
      <c r="C55" s="89">
        <v>16.07</v>
      </c>
    </row>
    <row r="56" spans="1:3" x14ac:dyDescent="0.25">
      <c r="A56" s="88">
        <v>45</v>
      </c>
      <c r="B56" s="89">
        <v>16.329999999999998</v>
      </c>
      <c r="C56" s="89">
        <v>16.329999999999998</v>
      </c>
    </row>
    <row r="57" spans="1:3" x14ac:dyDescent="0.25">
      <c r="A57" s="88">
        <v>46</v>
      </c>
      <c r="B57" s="89">
        <v>16.59</v>
      </c>
      <c r="C57" s="89">
        <v>16.59</v>
      </c>
    </row>
    <row r="58" spans="1:3" x14ac:dyDescent="0.25">
      <c r="A58" s="88">
        <v>47</v>
      </c>
      <c r="B58" s="89">
        <v>16.850000000000001</v>
      </c>
      <c r="C58" s="89">
        <v>16.850000000000001</v>
      </c>
    </row>
    <row r="59" spans="1:3" x14ac:dyDescent="0.25">
      <c r="A59" s="88">
        <v>48</v>
      </c>
      <c r="B59" s="89">
        <v>17.13</v>
      </c>
      <c r="C59" s="89">
        <v>17.13</v>
      </c>
    </row>
    <row r="60" spans="1:3" x14ac:dyDescent="0.25">
      <c r="A60" s="88">
        <v>49</v>
      </c>
      <c r="B60" s="89">
        <v>17.41</v>
      </c>
      <c r="C60" s="89">
        <v>17.41</v>
      </c>
    </row>
    <row r="61" spans="1:3" x14ac:dyDescent="0.25">
      <c r="A61" s="88">
        <v>50</v>
      </c>
      <c r="B61" s="89">
        <v>17.7</v>
      </c>
      <c r="C61" s="89">
        <v>17.7</v>
      </c>
    </row>
    <row r="62" spans="1:3" x14ac:dyDescent="0.25">
      <c r="A62" s="88">
        <v>51</v>
      </c>
      <c r="B62" s="89">
        <v>18.010000000000002</v>
      </c>
      <c r="C62" s="89">
        <v>18.010000000000002</v>
      </c>
    </row>
    <row r="63" spans="1:3" x14ac:dyDescent="0.25">
      <c r="A63" s="88">
        <v>52</v>
      </c>
      <c r="B63" s="89">
        <v>18.32</v>
      </c>
      <c r="C63" s="89">
        <v>18.32</v>
      </c>
    </row>
    <row r="64" spans="1:3" x14ac:dyDescent="0.25">
      <c r="A64" s="88">
        <v>53</v>
      </c>
      <c r="B64" s="89">
        <v>18.64</v>
      </c>
      <c r="C64" s="89">
        <v>18.64</v>
      </c>
    </row>
    <row r="65" spans="1:3" x14ac:dyDescent="0.25">
      <c r="A65" s="88">
        <v>54</v>
      </c>
      <c r="B65" s="89">
        <v>18.97</v>
      </c>
      <c r="C65" s="89">
        <v>18.97</v>
      </c>
    </row>
    <row r="66" spans="1:3" x14ac:dyDescent="0.25">
      <c r="A66" s="88">
        <v>55</v>
      </c>
      <c r="B66" s="89">
        <v>19.309999999999999</v>
      </c>
      <c r="C66" s="89">
        <v>19.309999999999999</v>
      </c>
    </row>
    <row r="67" spans="1:3" x14ac:dyDescent="0.25">
      <c r="A67" s="88">
        <v>56</v>
      </c>
      <c r="B67" s="89">
        <v>19.66</v>
      </c>
      <c r="C67" s="89">
        <v>19.66</v>
      </c>
    </row>
    <row r="68" spans="1:3" x14ac:dyDescent="0.25">
      <c r="A68" s="88">
        <v>57</v>
      </c>
      <c r="B68" s="89">
        <v>20.03</v>
      </c>
      <c r="C68" s="89">
        <v>20.03</v>
      </c>
    </row>
    <row r="69" spans="1:3" x14ac:dyDescent="0.25">
      <c r="A69" s="88">
        <v>58</v>
      </c>
      <c r="B69" s="89">
        <v>20.41</v>
      </c>
      <c r="C69" s="89">
        <v>20.41</v>
      </c>
    </row>
    <row r="70" spans="1:3" x14ac:dyDescent="0.25">
      <c r="A70" s="88">
        <v>59</v>
      </c>
      <c r="B70" s="89">
        <v>20.81</v>
      </c>
      <c r="C70" s="89">
        <v>20.81</v>
      </c>
    </row>
    <row r="71" spans="1:3" x14ac:dyDescent="0.25">
      <c r="A71" s="88">
        <v>60</v>
      </c>
      <c r="B71" s="89">
        <v>20.72</v>
      </c>
      <c r="C71" s="89">
        <v>20.72</v>
      </c>
    </row>
    <row r="72" spans="1:3" x14ac:dyDescent="0.25">
      <c r="A72" s="88">
        <v>61</v>
      </c>
      <c r="B72" s="89">
        <v>20.12</v>
      </c>
      <c r="C72" s="89">
        <v>20.12</v>
      </c>
    </row>
    <row r="73" spans="1:3" x14ac:dyDescent="0.25">
      <c r="A73" s="88">
        <v>62</v>
      </c>
      <c r="B73" s="89">
        <v>19.53</v>
      </c>
      <c r="C73" s="89">
        <v>19.53</v>
      </c>
    </row>
    <row r="74" spans="1:3" x14ac:dyDescent="0.25">
      <c r="A74" s="88">
        <v>63</v>
      </c>
      <c r="B74" s="89">
        <v>18.93</v>
      </c>
      <c r="C74" s="89">
        <v>18.93</v>
      </c>
    </row>
    <row r="75" spans="1:3" x14ac:dyDescent="0.25">
      <c r="A75" s="88">
        <v>64</v>
      </c>
      <c r="B75" s="89">
        <v>18.32</v>
      </c>
      <c r="C75" s="89">
        <v>18.32</v>
      </c>
    </row>
    <row r="76" spans="1:3" x14ac:dyDescent="0.25">
      <c r="A76" s="88">
        <v>65</v>
      </c>
      <c r="B76" s="89">
        <v>17.71</v>
      </c>
      <c r="C76" s="89">
        <v>17.71</v>
      </c>
    </row>
    <row r="77" spans="1:3" x14ac:dyDescent="0.25">
      <c r="A77" s="88">
        <v>66</v>
      </c>
      <c r="B77" s="89">
        <v>17.100000000000001</v>
      </c>
      <c r="C77" s="89">
        <v>17.100000000000001</v>
      </c>
    </row>
    <row r="78" spans="1:3" x14ac:dyDescent="0.25">
      <c r="A78" s="88">
        <v>67</v>
      </c>
      <c r="B78" s="89">
        <v>16.489999999999998</v>
      </c>
      <c r="C78" s="89">
        <v>16.489999999999998</v>
      </c>
    </row>
    <row r="79" spans="1:3" x14ac:dyDescent="0.25">
      <c r="A79" s="88">
        <v>68</v>
      </c>
      <c r="B79" s="89">
        <v>15.88</v>
      </c>
      <c r="C79" s="89">
        <v>15.88</v>
      </c>
    </row>
    <row r="80" spans="1:3" x14ac:dyDescent="0.25">
      <c r="A80" s="88">
        <v>69</v>
      </c>
      <c r="B80" s="89">
        <v>15.26</v>
      </c>
      <c r="C80" s="89">
        <v>15.26</v>
      </c>
    </row>
    <row r="81" spans="1:3" x14ac:dyDescent="0.25">
      <c r="A81" s="88">
        <v>70</v>
      </c>
      <c r="B81" s="89">
        <v>14.64</v>
      </c>
      <c r="C81" s="89">
        <v>14.64</v>
      </c>
    </row>
    <row r="82" spans="1:3" x14ac:dyDescent="0.25">
      <c r="A82" s="88">
        <v>71</v>
      </c>
      <c r="B82" s="89">
        <v>14.02</v>
      </c>
      <c r="C82" s="89">
        <v>14.02</v>
      </c>
    </row>
    <row r="83" spans="1:3" x14ac:dyDescent="0.25">
      <c r="A83" s="88">
        <v>72</v>
      </c>
      <c r="B83" s="89">
        <v>13.4</v>
      </c>
      <c r="C83" s="89">
        <v>13.4</v>
      </c>
    </row>
    <row r="84" spans="1:3" x14ac:dyDescent="0.25">
      <c r="A84" s="88">
        <v>73</v>
      </c>
      <c r="B84" s="89">
        <v>12.78</v>
      </c>
      <c r="C84" s="89">
        <v>12.78</v>
      </c>
    </row>
    <row r="85" spans="1:3" x14ac:dyDescent="0.25">
      <c r="A85" s="88">
        <v>74</v>
      </c>
      <c r="B85" s="89">
        <v>12.17</v>
      </c>
      <c r="C85" s="89">
        <v>12.17</v>
      </c>
    </row>
    <row r="86" spans="1:3" x14ac:dyDescent="0.25">
      <c r="A86" s="88">
        <v>75</v>
      </c>
      <c r="B86" s="89">
        <v>11.56</v>
      </c>
      <c r="C86" s="89">
        <v>11.56</v>
      </c>
    </row>
    <row r="87" spans="1:3" x14ac:dyDescent="0.25">
      <c r="A87" s="88">
        <v>76</v>
      </c>
      <c r="B87" s="89">
        <v>10.96</v>
      </c>
      <c r="C87" s="89">
        <v>10.96</v>
      </c>
    </row>
    <row r="88" spans="1:3" x14ac:dyDescent="0.25">
      <c r="A88" s="88">
        <v>77</v>
      </c>
      <c r="B88" s="89">
        <v>10.36</v>
      </c>
      <c r="C88" s="89">
        <v>10.36</v>
      </c>
    </row>
    <row r="89" spans="1:3" x14ac:dyDescent="0.25">
      <c r="A89" s="88">
        <v>78</v>
      </c>
      <c r="B89" s="89">
        <v>9.77</v>
      </c>
      <c r="C89" s="89">
        <v>9.77</v>
      </c>
    </row>
    <row r="90" spans="1:3" x14ac:dyDescent="0.25">
      <c r="A90" s="88">
        <v>79</v>
      </c>
      <c r="B90" s="89">
        <v>9.1999999999999993</v>
      </c>
      <c r="C90" s="89">
        <v>9.1999999999999993</v>
      </c>
    </row>
    <row r="91" spans="1:3" x14ac:dyDescent="0.25">
      <c r="A91" s="88">
        <v>80</v>
      </c>
      <c r="B91" s="89">
        <v>8.6300000000000008</v>
      </c>
      <c r="C91" s="89">
        <v>8.6300000000000008</v>
      </c>
    </row>
    <row r="92" spans="1:3" x14ac:dyDescent="0.25">
      <c r="A92" s="88">
        <v>81</v>
      </c>
      <c r="B92" s="89">
        <v>8.08</v>
      </c>
      <c r="C92" s="89">
        <v>8.08</v>
      </c>
    </row>
    <row r="93" spans="1:3" x14ac:dyDescent="0.25">
      <c r="A93" s="88">
        <v>82</v>
      </c>
      <c r="B93" s="89">
        <v>7.54</v>
      </c>
      <c r="C93" s="89">
        <v>7.54</v>
      </c>
    </row>
    <row r="94" spans="1:3" x14ac:dyDescent="0.25">
      <c r="A94" s="88">
        <v>83</v>
      </c>
      <c r="B94" s="89">
        <v>7.02</v>
      </c>
      <c r="C94" s="89">
        <v>7.02</v>
      </c>
    </row>
    <row r="95" spans="1:3" x14ac:dyDescent="0.25">
      <c r="A95" s="88">
        <v>84</v>
      </c>
      <c r="B95" s="89">
        <v>6.52</v>
      </c>
      <c r="C95" s="89">
        <v>6.52</v>
      </c>
    </row>
    <row r="96" spans="1:3" x14ac:dyDescent="0.25">
      <c r="A96" s="88">
        <v>85</v>
      </c>
      <c r="B96" s="89">
        <v>6.03</v>
      </c>
      <c r="C96" s="89">
        <v>6.03</v>
      </c>
    </row>
  </sheetData>
  <sheetProtection algorithmName="SHA-512" hashValue="1SB06jDaTuVRhDEP6DyFQsKN905zPLHQflffiPv14KuDy1yranA941LpfvmQiJo25QC2eRK3N3Mg2f+yYx2SdQ==" saltValue="P8bRlviRVSiUK3JzNsOJtQ==" spinCount="100000" sheet="1" objects="1" scenarios="1"/>
  <conditionalFormatting sqref="A6:A21">
    <cfRule type="expression" dxfId="483" priority="3" stopIfTrue="1">
      <formula>MOD(ROW(),2)=0</formula>
    </cfRule>
    <cfRule type="expression" dxfId="482" priority="4" stopIfTrue="1">
      <formula>MOD(ROW(),2)&lt;&gt;0</formula>
    </cfRule>
  </conditionalFormatting>
  <conditionalFormatting sqref="A26:A96">
    <cfRule type="expression" dxfId="481" priority="9" stopIfTrue="1">
      <formula>MOD(ROW(),2)=0</formula>
    </cfRule>
    <cfRule type="expression" dxfId="480" priority="10" stopIfTrue="1">
      <formula>MOD(ROW(),2)&lt;&gt;0</formula>
    </cfRule>
  </conditionalFormatting>
  <conditionalFormatting sqref="B17:B21">
    <cfRule type="expression" dxfId="479" priority="7" stopIfTrue="1">
      <formula>MOD(ROW(),2)=0</formula>
    </cfRule>
    <cfRule type="expression" dxfId="478" priority="8" stopIfTrue="1">
      <formula>MOD(ROW(),2)&lt;&gt;0</formula>
    </cfRule>
  </conditionalFormatting>
  <conditionalFormatting sqref="B6:C21">
    <cfRule type="expression" dxfId="477" priority="23" stopIfTrue="1">
      <formula>MOD(ROW(),2)=0</formula>
    </cfRule>
    <cfRule type="expression" dxfId="476" priority="24" stopIfTrue="1">
      <formula>MOD(ROW(),2)&lt;&gt;0</formula>
    </cfRule>
  </conditionalFormatting>
  <conditionalFormatting sqref="B26:C96">
    <cfRule type="expression" dxfId="475" priority="11" stopIfTrue="1">
      <formula>MOD(ROW(),2)=0</formula>
    </cfRule>
    <cfRule type="expression" dxfId="474"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04"/>
  <dimension ref="A1:I96"/>
  <sheetViews>
    <sheetView showGridLines="0" zoomScale="85" zoomScaleNormal="85" workbookViewId="0">
      <selection activeCell="A4" sqref="A4"/>
    </sheetView>
  </sheetViews>
  <sheetFormatPr defaultColWidth="10" defaultRowHeight="13.2" x14ac:dyDescent="0.25"/>
  <cols>
    <col min="1" max="1" width="31.88671875" style="27" customWidth="1"/>
    <col min="2" max="2" width="22.88671875" style="27" customWidth="1"/>
    <col min="3" max="3" width="26.4414062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Pension Credit - x-314</v>
      </c>
      <c r="B3" s="42"/>
      <c r="C3" s="42"/>
      <c r="D3" s="42"/>
      <c r="E3" s="42"/>
      <c r="F3" s="42"/>
      <c r="G3" s="42"/>
      <c r="H3" s="42"/>
      <c r="I3" s="42"/>
    </row>
    <row r="4" spans="1:9" x14ac:dyDescent="0.25">
      <c r="A4" s="44"/>
    </row>
    <row r="6" spans="1:9" x14ac:dyDescent="0.25">
      <c r="A6" s="85" t="s">
        <v>484</v>
      </c>
      <c r="B6" s="163" t="s">
        <v>485</v>
      </c>
      <c r="C6" s="163"/>
    </row>
    <row r="7" spans="1:9" x14ac:dyDescent="0.25">
      <c r="A7" s="165" t="s">
        <v>486</v>
      </c>
      <c r="B7" s="163" t="s">
        <v>81</v>
      </c>
      <c r="C7" s="163"/>
    </row>
    <row r="8" spans="1:9" x14ac:dyDescent="0.25">
      <c r="A8" s="165" t="s">
        <v>282</v>
      </c>
      <c r="B8" s="163">
        <v>2006</v>
      </c>
      <c r="C8" s="163"/>
    </row>
    <row r="9" spans="1:9" x14ac:dyDescent="0.25">
      <c r="A9" s="165" t="s">
        <v>283</v>
      </c>
      <c r="B9" s="163" t="s">
        <v>332</v>
      </c>
      <c r="C9" s="163"/>
    </row>
    <row r="10" spans="1:9" x14ac:dyDescent="0.25">
      <c r="A10" s="165" t="s">
        <v>6</v>
      </c>
      <c r="B10" s="163" t="s">
        <v>333</v>
      </c>
      <c r="C10" s="163"/>
    </row>
    <row r="11" spans="1:9" x14ac:dyDescent="0.25">
      <c r="A11" s="165" t="s">
        <v>284</v>
      </c>
      <c r="B11" s="163" t="s">
        <v>334</v>
      </c>
      <c r="C11" s="163"/>
    </row>
    <row r="12" spans="1:9" x14ac:dyDescent="0.25">
      <c r="A12" s="165" t="s">
        <v>285</v>
      </c>
      <c r="B12" s="163" t="s">
        <v>295</v>
      </c>
      <c r="C12" s="163"/>
    </row>
    <row r="13" spans="1:9" hidden="1" x14ac:dyDescent="0.25">
      <c r="A13" s="165" t="s">
        <v>493</v>
      </c>
      <c r="B13" s="163">
        <v>1</v>
      </c>
      <c r="C13" s="163"/>
    </row>
    <row r="14" spans="1:9" hidden="1" x14ac:dyDescent="0.25">
      <c r="A14" s="165" t="s">
        <v>287</v>
      </c>
      <c r="B14" s="163">
        <v>314</v>
      </c>
      <c r="C14" s="163"/>
    </row>
    <row r="15" spans="1:9" x14ac:dyDescent="0.25">
      <c r="A15" s="165" t="s">
        <v>496</v>
      </c>
      <c r="B15" s="163" t="s">
        <v>337</v>
      </c>
      <c r="C15" s="163"/>
    </row>
    <row r="16" spans="1:9" x14ac:dyDescent="0.25">
      <c r="A16" s="165" t="s">
        <v>288</v>
      </c>
      <c r="B16" s="163" t="s">
        <v>336</v>
      </c>
      <c r="C16" s="163"/>
    </row>
    <row r="17" spans="1:3" x14ac:dyDescent="0.25">
      <c r="A17" s="165" t="s">
        <v>568</v>
      </c>
      <c r="B17" s="163"/>
      <c r="C17" s="163"/>
    </row>
    <row r="18" spans="1:3" x14ac:dyDescent="0.25">
      <c r="A18" s="165" t="s">
        <v>500</v>
      </c>
      <c r="B18" s="166">
        <v>45070</v>
      </c>
      <c r="C18" s="163"/>
    </row>
    <row r="19" spans="1:3" x14ac:dyDescent="0.25">
      <c r="A19" s="165" t="s">
        <v>290</v>
      </c>
      <c r="B19" s="166">
        <v>45014</v>
      </c>
      <c r="C19" s="163"/>
    </row>
    <row r="20" spans="1:3" x14ac:dyDescent="0.25">
      <c r="A20" s="165" t="s">
        <v>291</v>
      </c>
      <c r="B20" s="163" t="s">
        <v>298</v>
      </c>
      <c r="C20" s="163"/>
    </row>
    <row r="21" spans="1:3" x14ac:dyDescent="0.25">
      <c r="A21" s="150" t="s">
        <v>569</v>
      </c>
      <c r="B21" s="163" t="s">
        <v>297</v>
      </c>
      <c r="C21" s="163"/>
    </row>
    <row r="23" spans="1:3" x14ac:dyDescent="0.25">
      <c r="B23" s="91" t="str">
        <f>HYPERLINK("#'Factor List'!A1","Back to Factor List")</f>
        <v>Back to Factor List</v>
      </c>
    </row>
    <row r="24" spans="1:3" x14ac:dyDescent="0.25">
      <c r="B24" s="91" t="str">
        <f>HYPERLINK("#'Assumptions'!A1","Assumptions")</f>
        <v>Assumptions</v>
      </c>
    </row>
    <row r="26" spans="1:3" ht="26.4" x14ac:dyDescent="0.25">
      <c r="A26" s="87" t="s">
        <v>570</v>
      </c>
      <c r="B26" s="87" t="s">
        <v>605</v>
      </c>
      <c r="C26" s="87" t="s">
        <v>606</v>
      </c>
    </row>
    <row r="27" spans="1:3" x14ac:dyDescent="0.25">
      <c r="A27" s="88">
        <v>16</v>
      </c>
      <c r="B27" s="89">
        <v>8.56</v>
      </c>
      <c r="C27" s="89">
        <v>8.56</v>
      </c>
    </row>
    <row r="28" spans="1:3" x14ac:dyDescent="0.25">
      <c r="A28" s="88">
        <v>17</v>
      </c>
      <c r="B28" s="89">
        <v>8.68</v>
      </c>
      <c r="C28" s="89">
        <v>8.68</v>
      </c>
    </row>
    <row r="29" spans="1:3" x14ac:dyDescent="0.25">
      <c r="A29" s="88">
        <v>18</v>
      </c>
      <c r="B29" s="89">
        <v>8.8000000000000007</v>
      </c>
      <c r="C29" s="89">
        <v>8.8000000000000007</v>
      </c>
    </row>
    <row r="30" spans="1:3" x14ac:dyDescent="0.25">
      <c r="A30" s="88">
        <v>19</v>
      </c>
      <c r="B30" s="89">
        <v>8.92</v>
      </c>
      <c r="C30" s="89">
        <v>8.92</v>
      </c>
    </row>
    <row r="31" spans="1:3" x14ac:dyDescent="0.25">
      <c r="A31" s="88">
        <v>20</v>
      </c>
      <c r="B31" s="89">
        <v>9.0500000000000007</v>
      </c>
      <c r="C31" s="89">
        <v>9.0500000000000007</v>
      </c>
    </row>
    <row r="32" spans="1:3" x14ac:dyDescent="0.25">
      <c r="A32" s="88">
        <v>21</v>
      </c>
      <c r="B32" s="89">
        <v>9.17</v>
      </c>
      <c r="C32" s="89">
        <v>9.17</v>
      </c>
    </row>
    <row r="33" spans="1:3" x14ac:dyDescent="0.25">
      <c r="A33" s="88">
        <v>22</v>
      </c>
      <c r="B33" s="89">
        <v>9.3000000000000007</v>
      </c>
      <c r="C33" s="89">
        <v>9.3000000000000007</v>
      </c>
    </row>
    <row r="34" spans="1:3" x14ac:dyDescent="0.25">
      <c r="A34" s="88">
        <v>23</v>
      </c>
      <c r="B34" s="89">
        <v>9.43</v>
      </c>
      <c r="C34" s="89">
        <v>9.43</v>
      </c>
    </row>
    <row r="35" spans="1:3" x14ac:dyDescent="0.25">
      <c r="A35" s="88">
        <v>24</v>
      </c>
      <c r="B35" s="89">
        <v>9.56</v>
      </c>
      <c r="C35" s="89">
        <v>9.56</v>
      </c>
    </row>
    <row r="36" spans="1:3" x14ac:dyDescent="0.25">
      <c r="A36" s="88">
        <v>25</v>
      </c>
      <c r="B36" s="89">
        <v>9.69</v>
      </c>
      <c r="C36" s="89">
        <v>9.69</v>
      </c>
    </row>
    <row r="37" spans="1:3" x14ac:dyDescent="0.25">
      <c r="A37" s="88">
        <v>26</v>
      </c>
      <c r="B37" s="89">
        <v>9.82</v>
      </c>
      <c r="C37" s="89">
        <v>9.82</v>
      </c>
    </row>
    <row r="38" spans="1:3" x14ac:dyDescent="0.25">
      <c r="A38" s="88">
        <v>27</v>
      </c>
      <c r="B38" s="89">
        <v>9.9600000000000009</v>
      </c>
      <c r="C38" s="89">
        <v>9.9600000000000009</v>
      </c>
    </row>
    <row r="39" spans="1:3" x14ac:dyDescent="0.25">
      <c r="A39" s="88">
        <v>28</v>
      </c>
      <c r="B39" s="89">
        <v>10.1</v>
      </c>
      <c r="C39" s="89">
        <v>10.1</v>
      </c>
    </row>
    <row r="40" spans="1:3" x14ac:dyDescent="0.25">
      <c r="A40" s="88">
        <v>29</v>
      </c>
      <c r="B40" s="89">
        <v>10.24</v>
      </c>
      <c r="C40" s="89">
        <v>10.24</v>
      </c>
    </row>
    <row r="41" spans="1:3" x14ac:dyDescent="0.25">
      <c r="A41" s="88">
        <v>30</v>
      </c>
      <c r="B41" s="89">
        <v>10.38</v>
      </c>
      <c r="C41" s="89">
        <v>10.38</v>
      </c>
    </row>
    <row r="42" spans="1:3" x14ac:dyDescent="0.25">
      <c r="A42" s="88">
        <v>31</v>
      </c>
      <c r="B42" s="89">
        <v>10.52</v>
      </c>
      <c r="C42" s="89">
        <v>10.52</v>
      </c>
    </row>
    <row r="43" spans="1:3" x14ac:dyDescent="0.25">
      <c r="A43" s="88">
        <v>32</v>
      </c>
      <c r="B43" s="89">
        <v>10.67</v>
      </c>
      <c r="C43" s="89">
        <v>10.67</v>
      </c>
    </row>
    <row r="44" spans="1:3" x14ac:dyDescent="0.25">
      <c r="A44" s="88">
        <v>33</v>
      </c>
      <c r="B44" s="89">
        <v>10.82</v>
      </c>
      <c r="C44" s="89">
        <v>10.82</v>
      </c>
    </row>
    <row r="45" spans="1:3" x14ac:dyDescent="0.25">
      <c r="A45" s="88">
        <v>34</v>
      </c>
      <c r="B45" s="89">
        <v>10.97</v>
      </c>
      <c r="C45" s="89">
        <v>10.97</v>
      </c>
    </row>
    <row r="46" spans="1:3" x14ac:dyDescent="0.25">
      <c r="A46" s="88">
        <v>35</v>
      </c>
      <c r="B46" s="89">
        <v>11.12</v>
      </c>
      <c r="C46" s="89">
        <v>11.12</v>
      </c>
    </row>
    <row r="47" spans="1:3" x14ac:dyDescent="0.25">
      <c r="A47" s="88">
        <v>36</v>
      </c>
      <c r="B47" s="89">
        <v>11.28</v>
      </c>
      <c r="C47" s="89">
        <v>11.28</v>
      </c>
    </row>
    <row r="48" spans="1:3" x14ac:dyDescent="0.25">
      <c r="A48" s="88">
        <v>37</v>
      </c>
      <c r="B48" s="89">
        <v>11.44</v>
      </c>
      <c r="C48" s="89">
        <v>11.44</v>
      </c>
    </row>
    <row r="49" spans="1:3" x14ac:dyDescent="0.25">
      <c r="A49" s="88">
        <v>38</v>
      </c>
      <c r="B49" s="89">
        <v>11.6</v>
      </c>
      <c r="C49" s="89">
        <v>11.6</v>
      </c>
    </row>
    <row r="50" spans="1:3" x14ac:dyDescent="0.25">
      <c r="A50" s="88">
        <v>39</v>
      </c>
      <c r="B50" s="89">
        <v>11.77</v>
      </c>
      <c r="C50" s="89">
        <v>11.77</v>
      </c>
    </row>
    <row r="51" spans="1:3" x14ac:dyDescent="0.25">
      <c r="A51" s="88">
        <v>40</v>
      </c>
      <c r="B51" s="89">
        <v>11.93</v>
      </c>
      <c r="C51" s="89">
        <v>11.93</v>
      </c>
    </row>
    <row r="52" spans="1:3" x14ac:dyDescent="0.25">
      <c r="A52" s="88">
        <v>41</v>
      </c>
      <c r="B52" s="89">
        <v>12.11</v>
      </c>
      <c r="C52" s="89">
        <v>12.11</v>
      </c>
    </row>
    <row r="53" spans="1:3" x14ac:dyDescent="0.25">
      <c r="A53" s="88">
        <v>42</v>
      </c>
      <c r="B53" s="89">
        <v>12.28</v>
      </c>
      <c r="C53" s="89">
        <v>12.28</v>
      </c>
    </row>
    <row r="54" spans="1:3" x14ac:dyDescent="0.25">
      <c r="A54" s="88">
        <v>43</v>
      </c>
      <c r="B54" s="89">
        <v>12.46</v>
      </c>
      <c r="C54" s="89">
        <v>12.46</v>
      </c>
    </row>
    <row r="55" spans="1:3" x14ac:dyDescent="0.25">
      <c r="A55" s="88">
        <v>44</v>
      </c>
      <c r="B55" s="89">
        <v>12.65</v>
      </c>
      <c r="C55" s="89">
        <v>12.65</v>
      </c>
    </row>
    <row r="56" spans="1:3" x14ac:dyDescent="0.25">
      <c r="A56" s="88">
        <v>45</v>
      </c>
      <c r="B56" s="89">
        <v>12.84</v>
      </c>
      <c r="C56" s="89">
        <v>12.84</v>
      </c>
    </row>
    <row r="57" spans="1:3" x14ac:dyDescent="0.25">
      <c r="A57" s="88">
        <v>46</v>
      </c>
      <c r="B57" s="89">
        <v>13.04</v>
      </c>
      <c r="C57" s="89">
        <v>13.04</v>
      </c>
    </row>
    <row r="58" spans="1:3" x14ac:dyDescent="0.25">
      <c r="A58" s="88">
        <v>47</v>
      </c>
      <c r="B58" s="89">
        <v>13.24</v>
      </c>
      <c r="C58" s="89">
        <v>13.24</v>
      </c>
    </row>
    <row r="59" spans="1:3" x14ac:dyDescent="0.25">
      <c r="A59" s="88">
        <v>48</v>
      </c>
      <c r="B59" s="89">
        <v>13.45</v>
      </c>
      <c r="C59" s="89">
        <v>13.45</v>
      </c>
    </row>
    <row r="60" spans="1:3" x14ac:dyDescent="0.25">
      <c r="A60" s="88">
        <v>49</v>
      </c>
      <c r="B60" s="89">
        <v>13.66</v>
      </c>
      <c r="C60" s="89">
        <v>13.66</v>
      </c>
    </row>
    <row r="61" spans="1:3" x14ac:dyDescent="0.25">
      <c r="A61" s="88">
        <v>50</v>
      </c>
      <c r="B61" s="89">
        <v>13.88</v>
      </c>
      <c r="C61" s="89">
        <v>13.88</v>
      </c>
    </row>
    <row r="62" spans="1:3" x14ac:dyDescent="0.25">
      <c r="A62" s="88">
        <v>51</v>
      </c>
      <c r="B62" s="89">
        <v>14.11</v>
      </c>
      <c r="C62" s="89">
        <v>14.11</v>
      </c>
    </row>
    <row r="63" spans="1:3" x14ac:dyDescent="0.25">
      <c r="A63" s="88">
        <v>52</v>
      </c>
      <c r="B63" s="89">
        <v>14.34</v>
      </c>
      <c r="C63" s="89">
        <v>14.34</v>
      </c>
    </row>
    <row r="64" spans="1:3" x14ac:dyDescent="0.25">
      <c r="A64" s="88">
        <v>53</v>
      </c>
      <c r="B64" s="89">
        <v>14.58</v>
      </c>
      <c r="C64" s="89">
        <v>14.58</v>
      </c>
    </row>
    <row r="65" spans="1:3" x14ac:dyDescent="0.25">
      <c r="A65" s="88">
        <v>54</v>
      </c>
      <c r="B65" s="89">
        <v>14.83</v>
      </c>
      <c r="C65" s="89">
        <v>14.83</v>
      </c>
    </row>
    <row r="66" spans="1:3" x14ac:dyDescent="0.25">
      <c r="A66" s="88">
        <v>55</v>
      </c>
      <c r="B66" s="89">
        <v>15.09</v>
      </c>
      <c r="C66" s="89">
        <v>15.09</v>
      </c>
    </row>
    <row r="67" spans="1:3" x14ac:dyDescent="0.25">
      <c r="A67" s="88">
        <v>56</v>
      </c>
      <c r="B67" s="89">
        <v>15.36</v>
      </c>
      <c r="C67" s="89">
        <v>15.36</v>
      </c>
    </row>
    <row r="68" spans="1:3" x14ac:dyDescent="0.25">
      <c r="A68" s="88">
        <v>57</v>
      </c>
      <c r="B68" s="89">
        <v>15.63</v>
      </c>
      <c r="C68" s="89">
        <v>15.63</v>
      </c>
    </row>
    <row r="69" spans="1:3" x14ac:dyDescent="0.25">
      <c r="A69" s="88">
        <v>58</v>
      </c>
      <c r="B69" s="89">
        <v>15.92</v>
      </c>
      <c r="C69" s="89">
        <v>15.92</v>
      </c>
    </row>
    <row r="70" spans="1:3" x14ac:dyDescent="0.25">
      <c r="A70" s="88">
        <v>59</v>
      </c>
      <c r="B70" s="89">
        <v>16.22</v>
      </c>
      <c r="C70" s="89">
        <v>16.22</v>
      </c>
    </row>
    <row r="71" spans="1:3" x14ac:dyDescent="0.25">
      <c r="A71" s="88">
        <v>60</v>
      </c>
      <c r="B71" s="89">
        <v>16.53</v>
      </c>
      <c r="C71" s="89">
        <v>16.53</v>
      </c>
    </row>
    <row r="72" spans="1:3" x14ac:dyDescent="0.25">
      <c r="A72" s="88">
        <v>61</v>
      </c>
      <c r="B72" s="89">
        <v>16.86</v>
      </c>
      <c r="C72" s="89">
        <v>16.86</v>
      </c>
    </row>
    <row r="73" spans="1:3" x14ac:dyDescent="0.25">
      <c r="A73" s="88">
        <v>62</v>
      </c>
      <c r="B73" s="89">
        <v>17.2</v>
      </c>
      <c r="C73" s="89">
        <v>17.2</v>
      </c>
    </row>
    <row r="74" spans="1:3" x14ac:dyDescent="0.25">
      <c r="A74" s="88">
        <v>63</v>
      </c>
      <c r="B74" s="89">
        <v>17.55</v>
      </c>
      <c r="C74" s="89">
        <v>17.55</v>
      </c>
    </row>
    <row r="75" spans="1:3" x14ac:dyDescent="0.25">
      <c r="A75" s="88">
        <v>64</v>
      </c>
      <c r="B75" s="89">
        <v>17.93</v>
      </c>
      <c r="C75" s="89">
        <v>17.93</v>
      </c>
    </row>
    <row r="76" spans="1:3" x14ac:dyDescent="0.25">
      <c r="A76" s="88">
        <v>65</v>
      </c>
      <c r="B76" s="89">
        <v>17.8</v>
      </c>
      <c r="C76" s="89">
        <v>17.8</v>
      </c>
    </row>
    <row r="77" spans="1:3" x14ac:dyDescent="0.25">
      <c r="A77" s="88">
        <v>66</v>
      </c>
      <c r="B77" s="89">
        <v>17.16</v>
      </c>
      <c r="C77" s="89">
        <v>17.16</v>
      </c>
    </row>
    <row r="78" spans="1:3" x14ac:dyDescent="0.25">
      <c r="A78" s="88">
        <v>67</v>
      </c>
      <c r="B78" s="89">
        <v>16.52</v>
      </c>
      <c r="C78" s="89">
        <v>16.52</v>
      </c>
    </row>
    <row r="79" spans="1:3" x14ac:dyDescent="0.25">
      <c r="A79" s="88">
        <v>68</v>
      </c>
      <c r="B79" s="89">
        <v>15.89</v>
      </c>
      <c r="C79" s="89">
        <v>15.89</v>
      </c>
    </row>
    <row r="80" spans="1:3" x14ac:dyDescent="0.25">
      <c r="A80" s="88">
        <v>69</v>
      </c>
      <c r="B80" s="89">
        <v>15.26</v>
      </c>
      <c r="C80" s="89">
        <v>15.26</v>
      </c>
    </row>
    <row r="81" spans="1:3" x14ac:dyDescent="0.25">
      <c r="A81" s="88">
        <v>70</v>
      </c>
      <c r="B81" s="89">
        <v>14.64</v>
      </c>
      <c r="C81" s="89">
        <v>14.64</v>
      </c>
    </row>
    <row r="82" spans="1:3" x14ac:dyDescent="0.25">
      <c r="A82" s="88">
        <v>71</v>
      </c>
      <c r="B82" s="89">
        <v>14.02</v>
      </c>
      <c r="C82" s="89">
        <v>14.02</v>
      </c>
    </row>
    <row r="83" spans="1:3" x14ac:dyDescent="0.25">
      <c r="A83" s="88">
        <v>72</v>
      </c>
      <c r="B83" s="89">
        <v>13.4</v>
      </c>
      <c r="C83" s="89">
        <v>13.4</v>
      </c>
    </row>
    <row r="84" spans="1:3" x14ac:dyDescent="0.25">
      <c r="A84" s="88">
        <v>73</v>
      </c>
      <c r="B84" s="89">
        <v>12.78</v>
      </c>
      <c r="C84" s="89">
        <v>12.78</v>
      </c>
    </row>
    <row r="85" spans="1:3" x14ac:dyDescent="0.25">
      <c r="A85" s="88">
        <v>74</v>
      </c>
      <c r="B85" s="89">
        <v>12.17</v>
      </c>
      <c r="C85" s="89">
        <v>12.17</v>
      </c>
    </row>
    <row r="86" spans="1:3" x14ac:dyDescent="0.25">
      <c r="A86" s="88">
        <v>75</v>
      </c>
      <c r="B86" s="89">
        <v>11.56</v>
      </c>
      <c r="C86" s="89">
        <v>11.56</v>
      </c>
    </row>
    <row r="87" spans="1:3" x14ac:dyDescent="0.25">
      <c r="A87" s="88">
        <v>76</v>
      </c>
      <c r="B87" s="89">
        <v>10.96</v>
      </c>
      <c r="C87" s="89">
        <v>10.96</v>
      </c>
    </row>
    <row r="88" spans="1:3" x14ac:dyDescent="0.25">
      <c r="A88" s="88">
        <v>77</v>
      </c>
      <c r="B88" s="89">
        <v>10.36</v>
      </c>
      <c r="C88" s="89">
        <v>10.36</v>
      </c>
    </row>
    <row r="89" spans="1:3" x14ac:dyDescent="0.25">
      <c r="A89" s="88">
        <v>78</v>
      </c>
      <c r="B89" s="89">
        <v>9.77</v>
      </c>
      <c r="C89" s="89">
        <v>9.77</v>
      </c>
    </row>
    <row r="90" spans="1:3" x14ac:dyDescent="0.25">
      <c r="A90" s="88">
        <v>79</v>
      </c>
      <c r="B90" s="89">
        <v>9.1999999999999993</v>
      </c>
      <c r="C90" s="89">
        <v>9.1999999999999993</v>
      </c>
    </row>
    <row r="91" spans="1:3" x14ac:dyDescent="0.25">
      <c r="A91" s="88">
        <v>80</v>
      </c>
      <c r="B91" s="89">
        <v>8.6300000000000008</v>
      </c>
      <c r="C91" s="89">
        <v>8.6300000000000008</v>
      </c>
    </row>
    <row r="92" spans="1:3" x14ac:dyDescent="0.25">
      <c r="A92" s="88">
        <v>81</v>
      </c>
      <c r="B92" s="89">
        <v>8.08</v>
      </c>
      <c r="C92" s="89">
        <v>8.08</v>
      </c>
    </row>
    <row r="93" spans="1:3" x14ac:dyDescent="0.25">
      <c r="A93" s="88">
        <v>82</v>
      </c>
      <c r="B93" s="89">
        <v>7.54</v>
      </c>
      <c r="C93" s="89">
        <v>7.54</v>
      </c>
    </row>
    <row r="94" spans="1:3" x14ac:dyDescent="0.25">
      <c r="A94" s="88">
        <v>83</v>
      </c>
      <c r="B94" s="89">
        <v>7.02</v>
      </c>
      <c r="C94" s="89">
        <v>7.02</v>
      </c>
    </row>
    <row r="95" spans="1:3" x14ac:dyDescent="0.25">
      <c r="A95" s="88">
        <v>84</v>
      </c>
      <c r="B95" s="89">
        <v>6.52</v>
      </c>
      <c r="C95" s="89">
        <v>6.52</v>
      </c>
    </row>
    <row r="96" spans="1:3" x14ac:dyDescent="0.25">
      <c r="A96" s="88">
        <v>85</v>
      </c>
      <c r="B96" s="89">
        <v>6.03</v>
      </c>
      <c r="C96" s="89">
        <v>6.03</v>
      </c>
    </row>
  </sheetData>
  <sheetProtection algorithmName="SHA-512" hashValue="oOKW0KT1j21M7UgDL4aWvQyIjcicLoPnlIuun4+F6zjSkfgc+ih36C7aVUKKOCzsSSI/fxPDzJjEYwdbbb6dOg==" saltValue="zrxTJ2TOqPkquhtdzoeeFQ==" spinCount="100000" sheet="1" objects="1" scenarios="1"/>
  <conditionalFormatting sqref="A6:A21">
    <cfRule type="expression" dxfId="473" priority="3" stopIfTrue="1">
      <formula>MOD(ROW(),2)=0</formula>
    </cfRule>
    <cfRule type="expression" dxfId="472" priority="4" stopIfTrue="1">
      <formula>MOD(ROW(),2)&lt;&gt;0</formula>
    </cfRule>
  </conditionalFormatting>
  <conditionalFormatting sqref="A26:A96">
    <cfRule type="expression" dxfId="471" priority="9" stopIfTrue="1">
      <formula>MOD(ROW(),2)=0</formula>
    </cfRule>
    <cfRule type="expression" dxfId="470" priority="10" stopIfTrue="1">
      <formula>MOD(ROW(),2)&lt;&gt;0</formula>
    </cfRule>
  </conditionalFormatting>
  <conditionalFormatting sqref="B17:B21">
    <cfRule type="expression" dxfId="469" priority="7" stopIfTrue="1">
      <formula>MOD(ROW(),2)=0</formula>
    </cfRule>
    <cfRule type="expression" dxfId="468" priority="8" stopIfTrue="1">
      <formula>MOD(ROW(),2)&lt;&gt;0</formula>
    </cfRule>
  </conditionalFormatting>
  <conditionalFormatting sqref="B6:C21">
    <cfRule type="expression" dxfId="467" priority="23" stopIfTrue="1">
      <formula>MOD(ROW(),2)=0</formula>
    </cfRule>
    <cfRule type="expression" dxfId="466" priority="24" stopIfTrue="1">
      <formula>MOD(ROW(),2)&lt;&gt;0</formula>
    </cfRule>
  </conditionalFormatting>
  <conditionalFormatting sqref="B26:C96">
    <cfRule type="expression" dxfId="465" priority="11" stopIfTrue="1">
      <formula>MOD(ROW(),2)=0</formula>
    </cfRule>
    <cfRule type="expression" dxfId="464"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4"/>
  </sheetPr>
  <dimension ref="A1:I224"/>
  <sheetViews>
    <sheetView view="pageBreakPreview" zoomScale="60" zoomScaleNormal="100" workbookViewId="0">
      <selection activeCell="E10" sqref="E10:G224"/>
    </sheetView>
  </sheetViews>
  <sheetFormatPr defaultRowHeight="13.2" x14ac:dyDescent="0.25"/>
  <cols>
    <col min="2" max="2" width="3.44140625" style="12" customWidth="1"/>
    <col min="3" max="3" width="7" style="12" customWidth="1"/>
    <col min="4" max="4" width="62" customWidth="1"/>
    <col min="5" max="6" width="16.88671875" style="12" customWidth="1"/>
    <col min="7" max="7" width="19.44140625" style="12" customWidth="1"/>
  </cols>
  <sheetData>
    <row r="1" spans="1:9" ht="21" x14ac:dyDescent="0.4">
      <c r="A1" s="4" t="s">
        <v>0</v>
      </c>
      <c r="B1" s="13"/>
      <c r="C1" s="13"/>
      <c r="D1" s="10"/>
      <c r="E1" s="13"/>
      <c r="F1" s="13"/>
      <c r="G1" s="13"/>
      <c r="H1" s="10"/>
      <c r="I1" s="10"/>
    </row>
    <row r="2" spans="1:9" ht="15.6" x14ac:dyDescent="0.3">
      <c r="A2" s="11" t="str">
        <f>IF(title="&gt; Enter workbook title here","Enter workbook title in Cover sheet",title)</f>
        <v>Fire_S - Consolidated Factor Spreadsheet</v>
      </c>
      <c r="B2" s="14"/>
      <c r="C2" s="14"/>
      <c r="D2" s="9"/>
      <c r="E2" s="14"/>
      <c r="F2" s="14"/>
      <c r="G2" s="14"/>
      <c r="H2" s="9"/>
      <c r="I2" s="9"/>
    </row>
    <row r="3" spans="1:9" ht="15.6" x14ac:dyDescent="0.3">
      <c r="A3" s="6" t="s">
        <v>77</v>
      </c>
      <c r="B3" s="14"/>
      <c r="C3" s="14"/>
      <c r="D3" s="9"/>
      <c r="E3" s="14"/>
      <c r="F3" s="14"/>
      <c r="G3" s="14"/>
      <c r="H3" s="9"/>
      <c r="I3" s="9"/>
    </row>
    <row r="4" spans="1:9" x14ac:dyDescent="0.25">
      <c r="A4" s="7" t="str">
        <f ca="1">CELL("filename",A1)</f>
        <v>https://tris42.sharepoint.com/sites/gad_wrkgrp_actuarial/pspsactuarialwork/Central/Factors &amp; Guidance/2024 Guidance Review/4. Online portal/3. Import data/3. Factor tables/0_client_friendly/Ready to be uploaded/2025-03/[Fire S Consolidated Factors 2025-02.xlsx]Summary - Fire_S</v>
      </c>
    </row>
    <row r="7" spans="1:9" x14ac:dyDescent="0.25">
      <c r="E7" s="30" t="s">
        <v>78</v>
      </c>
      <c r="F7" s="30" t="s">
        <v>79</v>
      </c>
      <c r="G7" s="30" t="s">
        <v>80</v>
      </c>
    </row>
    <row r="8" spans="1:9" x14ac:dyDescent="0.25">
      <c r="B8" s="32" t="s">
        <v>81</v>
      </c>
      <c r="C8" s="20"/>
      <c r="D8" s="15"/>
      <c r="E8" s="31">
        <v>2015</v>
      </c>
      <c r="F8" s="31">
        <v>2007</v>
      </c>
      <c r="G8" s="34">
        <v>1992</v>
      </c>
    </row>
    <row r="9" spans="1:9" x14ac:dyDescent="0.25">
      <c r="B9" s="22"/>
      <c r="C9" s="21"/>
      <c r="D9" s="17"/>
      <c r="E9" s="16"/>
      <c r="F9" s="16"/>
      <c r="G9" s="16"/>
    </row>
    <row r="10" spans="1:9" x14ac:dyDescent="0.25">
      <c r="B10" s="33" t="s">
        <v>82</v>
      </c>
      <c r="D10" s="18"/>
      <c r="E10" s="35"/>
      <c r="F10" s="35"/>
      <c r="G10" s="35"/>
    </row>
    <row r="11" spans="1:9" x14ac:dyDescent="0.25">
      <c r="B11" s="23" t="s">
        <v>83</v>
      </c>
      <c r="C11" s="12">
        <v>101</v>
      </c>
      <c r="D11" s="18"/>
      <c r="E11" s="35"/>
      <c r="F11" s="35"/>
      <c r="G11" s="35"/>
    </row>
    <row r="12" spans="1:9" x14ac:dyDescent="0.25">
      <c r="B12" s="23" t="s">
        <v>83</v>
      </c>
      <c r="C12" s="12">
        <v>102</v>
      </c>
      <c r="D12" s="18"/>
      <c r="E12" s="35"/>
      <c r="F12" s="35"/>
      <c r="G12" s="35"/>
    </row>
    <row r="13" spans="1:9" x14ac:dyDescent="0.25">
      <c r="B13" s="23" t="s">
        <v>83</v>
      </c>
      <c r="C13" s="12">
        <v>103</v>
      </c>
      <c r="D13" s="18"/>
      <c r="E13" s="35"/>
      <c r="F13" s="35"/>
      <c r="G13" s="35"/>
    </row>
    <row r="14" spans="1:9" x14ac:dyDescent="0.25">
      <c r="B14" s="23" t="s">
        <v>83</v>
      </c>
      <c r="C14" s="12">
        <v>104</v>
      </c>
      <c r="D14" s="18"/>
      <c r="E14" s="35"/>
      <c r="F14" s="35"/>
      <c r="G14" s="35"/>
    </row>
    <row r="15" spans="1:9" x14ac:dyDescent="0.25">
      <c r="B15" s="23" t="s">
        <v>83</v>
      </c>
      <c r="C15" s="12">
        <v>105</v>
      </c>
      <c r="D15" s="18"/>
      <c r="E15" s="35"/>
      <c r="F15" s="35"/>
      <c r="G15" s="35"/>
    </row>
    <row r="16" spans="1:9" x14ac:dyDescent="0.25">
      <c r="B16" s="23" t="s">
        <v>83</v>
      </c>
      <c r="C16" s="12">
        <v>106</v>
      </c>
      <c r="D16" s="18"/>
      <c r="E16" s="35"/>
      <c r="F16" s="35"/>
      <c r="G16" s="35"/>
    </row>
    <row r="17" spans="2:8" x14ac:dyDescent="0.25">
      <c r="B17" s="23" t="s">
        <v>83</v>
      </c>
      <c r="C17" s="12">
        <v>107</v>
      </c>
      <c r="D17" s="18"/>
      <c r="E17" s="35"/>
      <c r="F17" s="35"/>
      <c r="G17" s="35"/>
    </row>
    <row r="18" spans="2:8" x14ac:dyDescent="0.25">
      <c r="B18" s="23" t="s">
        <v>83</v>
      </c>
      <c r="C18" s="12">
        <v>108</v>
      </c>
      <c r="D18" s="18"/>
      <c r="E18" s="35"/>
      <c r="F18" s="35"/>
      <c r="G18" s="35"/>
    </row>
    <row r="19" spans="2:8" x14ac:dyDescent="0.25">
      <c r="B19" s="23" t="s">
        <v>83</v>
      </c>
      <c r="C19" s="12">
        <v>109</v>
      </c>
      <c r="D19" s="18"/>
      <c r="E19" s="35"/>
      <c r="F19" s="35"/>
      <c r="G19" s="35"/>
    </row>
    <row r="20" spans="2:8" x14ac:dyDescent="0.25">
      <c r="B20" s="23" t="s">
        <v>83</v>
      </c>
      <c r="C20" s="12">
        <v>110</v>
      </c>
      <c r="D20" s="18"/>
      <c r="E20" s="35"/>
      <c r="F20" s="35"/>
      <c r="G20" s="35"/>
    </row>
    <row r="21" spans="2:8" x14ac:dyDescent="0.25">
      <c r="B21" s="23" t="s">
        <v>83</v>
      </c>
      <c r="C21" s="12">
        <v>111</v>
      </c>
      <c r="D21" s="18"/>
      <c r="E21" s="35"/>
      <c r="F21" s="35"/>
      <c r="G21" s="35"/>
    </row>
    <row r="22" spans="2:8" x14ac:dyDescent="0.25">
      <c r="B22" s="23" t="s">
        <v>83</v>
      </c>
      <c r="C22" s="12">
        <v>112</v>
      </c>
      <c r="D22" s="18"/>
      <c r="E22" s="35"/>
      <c r="F22" s="35"/>
      <c r="G22" s="35"/>
    </row>
    <row r="23" spans="2:8" x14ac:dyDescent="0.25">
      <c r="B23" s="23" t="s">
        <v>83</v>
      </c>
      <c r="C23" s="12">
        <v>113</v>
      </c>
      <c r="D23" s="18"/>
      <c r="E23" s="35"/>
      <c r="F23" s="35"/>
      <c r="G23" s="35"/>
    </row>
    <row r="24" spans="2:8" x14ac:dyDescent="0.25">
      <c r="B24" s="23" t="s">
        <v>83</v>
      </c>
      <c r="C24" s="12">
        <v>114</v>
      </c>
      <c r="D24" s="18"/>
      <c r="E24" s="35"/>
      <c r="F24" s="35"/>
      <c r="G24" s="35"/>
    </row>
    <row r="25" spans="2:8" x14ac:dyDescent="0.25">
      <c r="B25" s="23" t="s">
        <v>83</v>
      </c>
      <c r="C25" s="12">
        <v>115</v>
      </c>
      <c r="D25" s="18"/>
      <c r="E25" s="35"/>
      <c r="F25" s="35"/>
      <c r="G25" s="35"/>
    </row>
    <row r="26" spans="2:8" x14ac:dyDescent="0.25">
      <c r="B26" s="23" t="s">
        <v>83</v>
      </c>
      <c r="C26" s="12">
        <v>116</v>
      </c>
      <c r="D26" s="18"/>
      <c r="E26" s="35"/>
      <c r="F26" s="35"/>
      <c r="G26" s="35"/>
    </row>
    <row r="27" spans="2:8" x14ac:dyDescent="0.25">
      <c r="B27" s="23" t="s">
        <v>83</v>
      </c>
      <c r="C27" s="12">
        <v>117</v>
      </c>
      <c r="D27" s="18"/>
      <c r="E27" s="35"/>
      <c r="F27" s="35"/>
      <c r="G27" s="35"/>
    </row>
    <row r="28" spans="2:8" x14ac:dyDescent="0.25">
      <c r="B28" s="23" t="s">
        <v>83</v>
      </c>
      <c r="C28" s="12">
        <v>118</v>
      </c>
      <c r="D28" s="18"/>
      <c r="E28" s="35"/>
      <c r="F28" s="35"/>
      <c r="G28" s="35"/>
    </row>
    <row r="29" spans="2:8" x14ac:dyDescent="0.25">
      <c r="B29" s="23" t="s">
        <v>83</v>
      </c>
      <c r="C29" s="12">
        <v>119</v>
      </c>
      <c r="D29" s="18"/>
      <c r="E29" s="35"/>
      <c r="F29" s="35"/>
      <c r="G29" s="35"/>
    </row>
    <row r="30" spans="2:8" x14ac:dyDescent="0.25">
      <c r="B30" s="23" t="s">
        <v>83</v>
      </c>
      <c r="C30" s="12">
        <v>120</v>
      </c>
      <c r="D30" s="18"/>
      <c r="E30" s="35"/>
      <c r="F30" s="35"/>
      <c r="G30" s="35"/>
    </row>
    <row r="31" spans="2:8" x14ac:dyDescent="0.25">
      <c r="B31" s="23" t="s">
        <v>83</v>
      </c>
      <c r="C31" s="12">
        <v>121</v>
      </c>
      <c r="E31" s="36"/>
      <c r="F31" s="36"/>
      <c r="G31" s="36"/>
      <c r="H31" s="29"/>
    </row>
    <row r="32" spans="2:8" x14ac:dyDescent="0.25">
      <c r="B32" s="23" t="s">
        <v>83</v>
      </c>
      <c r="C32" s="12">
        <v>122</v>
      </c>
      <c r="D32" s="18"/>
      <c r="E32" s="35"/>
      <c r="F32" s="35"/>
      <c r="G32" s="35"/>
    </row>
    <row r="33" spans="2:8" x14ac:dyDescent="0.25">
      <c r="B33" s="23" t="s">
        <v>83</v>
      </c>
      <c r="C33" s="12">
        <v>123</v>
      </c>
      <c r="D33" s="18"/>
      <c r="E33" s="35"/>
      <c r="F33" s="35"/>
      <c r="G33" s="35"/>
    </row>
    <row r="34" spans="2:8" x14ac:dyDescent="0.25">
      <c r="B34" s="23" t="s">
        <v>83</v>
      </c>
      <c r="C34" s="12">
        <v>124</v>
      </c>
      <c r="D34" s="18"/>
      <c r="E34" s="35"/>
      <c r="F34" s="35"/>
      <c r="G34" s="35"/>
    </row>
    <row r="35" spans="2:8" x14ac:dyDescent="0.25">
      <c r="B35" s="23" t="s">
        <v>83</v>
      </c>
      <c r="C35" s="12">
        <v>125</v>
      </c>
      <c r="D35" s="18"/>
      <c r="E35" s="35"/>
      <c r="F35" s="35"/>
      <c r="G35" s="35"/>
      <c r="H35" s="28"/>
    </row>
    <row r="36" spans="2:8" x14ac:dyDescent="0.25">
      <c r="B36" s="24"/>
      <c r="C36" s="21"/>
      <c r="D36" s="17"/>
      <c r="E36" s="37"/>
      <c r="F36" s="37"/>
      <c r="G36" s="37"/>
    </row>
    <row r="37" spans="2:8" x14ac:dyDescent="0.25">
      <c r="B37" s="33" t="s">
        <v>84</v>
      </c>
      <c r="D37" s="18"/>
      <c r="E37" s="35"/>
      <c r="F37" s="35"/>
      <c r="G37" s="35"/>
    </row>
    <row r="38" spans="2:8" x14ac:dyDescent="0.25">
      <c r="B38" s="23" t="s">
        <v>83</v>
      </c>
      <c r="C38" s="12">
        <v>201</v>
      </c>
      <c r="D38" s="18"/>
      <c r="E38" s="35"/>
      <c r="F38" s="35"/>
      <c r="G38" s="35"/>
    </row>
    <row r="39" spans="2:8" x14ac:dyDescent="0.25">
      <c r="B39" s="23" t="s">
        <v>83</v>
      </c>
      <c r="C39" s="12">
        <v>202</v>
      </c>
      <c r="D39" s="18"/>
      <c r="E39" s="35"/>
      <c r="F39" s="35"/>
      <c r="G39" s="35"/>
    </row>
    <row r="40" spans="2:8" x14ac:dyDescent="0.25">
      <c r="B40" s="23" t="s">
        <v>83</v>
      </c>
      <c r="C40" s="12">
        <v>203</v>
      </c>
      <c r="D40" s="18"/>
      <c r="E40" s="35"/>
      <c r="F40" s="35"/>
      <c r="G40" s="35"/>
    </row>
    <row r="41" spans="2:8" x14ac:dyDescent="0.25">
      <c r="B41" s="23" t="s">
        <v>83</v>
      </c>
      <c r="C41" s="12">
        <v>204</v>
      </c>
      <c r="D41" s="18"/>
      <c r="E41" s="35"/>
      <c r="F41" s="35"/>
      <c r="G41" s="35"/>
    </row>
    <row r="42" spans="2:8" x14ac:dyDescent="0.25">
      <c r="B42" s="23" t="s">
        <v>83</v>
      </c>
      <c r="C42" s="12">
        <v>205</v>
      </c>
      <c r="D42" s="18"/>
      <c r="E42" s="35"/>
      <c r="F42" s="35"/>
      <c r="G42" s="35"/>
    </row>
    <row r="43" spans="2:8" x14ac:dyDescent="0.25">
      <c r="B43" s="23" t="s">
        <v>83</v>
      </c>
      <c r="C43" s="12">
        <v>206</v>
      </c>
      <c r="D43" s="18"/>
      <c r="E43" s="35"/>
      <c r="F43" s="35"/>
      <c r="G43" s="35"/>
    </row>
    <row r="44" spans="2:8" x14ac:dyDescent="0.25">
      <c r="B44" s="23" t="s">
        <v>83</v>
      </c>
      <c r="C44" s="12">
        <v>207</v>
      </c>
      <c r="D44" s="18"/>
      <c r="E44" s="35"/>
      <c r="F44" s="35"/>
      <c r="G44" s="35"/>
    </row>
    <row r="45" spans="2:8" x14ac:dyDescent="0.25">
      <c r="B45" s="23" t="s">
        <v>83</v>
      </c>
      <c r="C45" s="12">
        <v>208</v>
      </c>
      <c r="D45" s="18"/>
      <c r="E45" s="35"/>
      <c r="F45" s="35"/>
      <c r="G45" s="35"/>
    </row>
    <row r="46" spans="2:8" x14ac:dyDescent="0.25">
      <c r="B46" s="23" t="s">
        <v>83</v>
      </c>
      <c r="C46" s="12">
        <v>209</v>
      </c>
      <c r="D46" s="18"/>
      <c r="E46" s="35"/>
      <c r="F46" s="35"/>
      <c r="G46" s="35"/>
    </row>
    <row r="47" spans="2:8" x14ac:dyDescent="0.25">
      <c r="B47" s="23" t="s">
        <v>83</v>
      </c>
      <c r="C47" s="12">
        <v>210</v>
      </c>
      <c r="D47" s="18"/>
      <c r="E47" s="35"/>
      <c r="F47" s="35"/>
      <c r="G47" s="35"/>
    </row>
    <row r="48" spans="2:8" x14ac:dyDescent="0.25">
      <c r="B48" s="23" t="s">
        <v>83</v>
      </c>
      <c r="C48" s="12">
        <v>211</v>
      </c>
      <c r="D48" s="18"/>
      <c r="E48" s="35"/>
      <c r="F48" s="35"/>
      <c r="G48" s="35"/>
    </row>
    <row r="49" spans="2:7" x14ac:dyDescent="0.25">
      <c r="B49" s="23" t="s">
        <v>83</v>
      </c>
      <c r="C49" s="12">
        <v>212</v>
      </c>
      <c r="D49" s="18"/>
      <c r="E49" s="35"/>
      <c r="F49" s="35"/>
      <c r="G49" s="35"/>
    </row>
    <row r="50" spans="2:7" x14ac:dyDescent="0.25">
      <c r="B50" s="23" t="s">
        <v>83</v>
      </c>
      <c r="C50" s="12">
        <v>213</v>
      </c>
      <c r="D50" s="18"/>
      <c r="E50" s="35"/>
      <c r="F50" s="35"/>
      <c r="G50" s="35"/>
    </row>
    <row r="51" spans="2:7" x14ac:dyDescent="0.25">
      <c r="B51" s="23" t="s">
        <v>83</v>
      </c>
      <c r="C51" s="12">
        <v>214</v>
      </c>
      <c r="D51" s="18"/>
      <c r="E51" s="35"/>
      <c r="F51" s="35"/>
      <c r="G51" s="35"/>
    </row>
    <row r="52" spans="2:7" x14ac:dyDescent="0.25">
      <c r="B52" s="23" t="s">
        <v>83</v>
      </c>
      <c r="C52" s="12">
        <v>215</v>
      </c>
      <c r="D52" s="18"/>
      <c r="E52" s="35"/>
      <c r="F52" s="35"/>
      <c r="G52" s="35"/>
    </row>
    <row r="53" spans="2:7" x14ac:dyDescent="0.25">
      <c r="B53" s="23" t="s">
        <v>83</v>
      </c>
      <c r="C53" s="12">
        <v>216</v>
      </c>
      <c r="D53" s="18"/>
      <c r="E53" s="35"/>
      <c r="F53" s="35"/>
      <c r="G53" s="35"/>
    </row>
    <row r="54" spans="2:7" x14ac:dyDescent="0.25">
      <c r="B54" s="23" t="s">
        <v>83</v>
      </c>
      <c r="C54" s="12">
        <v>217</v>
      </c>
      <c r="D54" s="18"/>
      <c r="E54" s="35"/>
      <c r="F54" s="35"/>
      <c r="G54" s="35"/>
    </row>
    <row r="55" spans="2:7" x14ac:dyDescent="0.25">
      <c r="B55" s="23" t="s">
        <v>83</v>
      </c>
      <c r="C55" s="12">
        <v>218</v>
      </c>
      <c r="D55" s="18"/>
      <c r="E55" s="35"/>
      <c r="F55" s="35"/>
      <c r="G55" s="35"/>
    </row>
    <row r="56" spans="2:7" x14ac:dyDescent="0.25">
      <c r="B56" s="23" t="s">
        <v>83</v>
      </c>
      <c r="C56" s="12">
        <v>219</v>
      </c>
      <c r="D56" s="18"/>
      <c r="E56" s="35"/>
      <c r="F56" s="35"/>
      <c r="G56" s="35"/>
    </row>
    <row r="57" spans="2:7" x14ac:dyDescent="0.25">
      <c r="B57" s="23" t="s">
        <v>83</v>
      </c>
      <c r="C57" s="12">
        <v>220</v>
      </c>
      <c r="D57" s="18"/>
      <c r="E57" s="35"/>
      <c r="F57" s="35"/>
      <c r="G57" s="35"/>
    </row>
    <row r="58" spans="2:7" x14ac:dyDescent="0.25">
      <c r="B58" s="23" t="s">
        <v>83</v>
      </c>
      <c r="C58" s="12">
        <v>221</v>
      </c>
      <c r="D58" s="18"/>
      <c r="E58" s="35"/>
      <c r="F58" s="35"/>
      <c r="G58" s="35"/>
    </row>
    <row r="59" spans="2:7" x14ac:dyDescent="0.25">
      <c r="B59" s="23" t="s">
        <v>83</v>
      </c>
      <c r="C59" s="12">
        <v>222</v>
      </c>
      <c r="D59" s="18"/>
      <c r="E59" s="35"/>
      <c r="F59" s="35"/>
      <c r="G59" s="35"/>
    </row>
    <row r="60" spans="2:7" x14ac:dyDescent="0.25">
      <c r="B60" s="23" t="s">
        <v>83</v>
      </c>
      <c r="C60" s="12">
        <v>223</v>
      </c>
      <c r="D60" s="18"/>
      <c r="E60" s="35"/>
      <c r="F60" s="35"/>
      <c r="G60" s="35"/>
    </row>
    <row r="61" spans="2:7" x14ac:dyDescent="0.25">
      <c r="B61" s="23" t="s">
        <v>83</v>
      </c>
      <c r="C61" s="12">
        <v>224</v>
      </c>
      <c r="D61" s="18"/>
      <c r="E61" s="35"/>
      <c r="F61" s="35"/>
      <c r="G61" s="35"/>
    </row>
    <row r="62" spans="2:7" x14ac:dyDescent="0.25">
      <c r="B62" s="23" t="s">
        <v>83</v>
      </c>
      <c r="C62" s="12">
        <v>225</v>
      </c>
      <c r="D62" s="19"/>
      <c r="E62" s="38"/>
      <c r="F62" s="38"/>
      <c r="G62" s="38"/>
    </row>
    <row r="63" spans="2:7" x14ac:dyDescent="0.25">
      <c r="B63" s="24"/>
      <c r="C63" s="21"/>
      <c r="D63" s="17"/>
      <c r="E63" s="37"/>
      <c r="F63" s="37"/>
      <c r="G63" s="37"/>
    </row>
    <row r="64" spans="2:7" x14ac:dyDescent="0.25">
      <c r="B64" s="33" t="s">
        <v>85</v>
      </c>
      <c r="D64" s="18"/>
      <c r="E64" s="35"/>
      <c r="F64" s="35"/>
      <c r="G64" s="35"/>
    </row>
    <row r="65" spans="2:7" x14ac:dyDescent="0.25">
      <c r="B65" s="23" t="s">
        <v>83</v>
      </c>
      <c r="C65" s="12">
        <v>301</v>
      </c>
      <c r="D65" s="18"/>
      <c r="E65" s="35"/>
      <c r="F65" s="35"/>
      <c r="G65" s="35"/>
    </row>
    <row r="66" spans="2:7" x14ac:dyDescent="0.25">
      <c r="B66" s="23" t="s">
        <v>83</v>
      </c>
      <c r="C66" s="12">
        <v>302</v>
      </c>
      <c r="D66" s="18"/>
      <c r="E66" s="35"/>
      <c r="F66" s="35"/>
      <c r="G66" s="35"/>
    </row>
    <row r="67" spans="2:7" x14ac:dyDescent="0.25">
      <c r="B67" s="23" t="s">
        <v>83</v>
      </c>
      <c r="C67" s="12">
        <v>303</v>
      </c>
      <c r="D67" s="18"/>
      <c r="E67" s="35"/>
      <c r="F67" s="35"/>
      <c r="G67" s="35"/>
    </row>
    <row r="68" spans="2:7" x14ac:dyDescent="0.25">
      <c r="B68" s="23" t="s">
        <v>83</v>
      </c>
      <c r="C68" s="12">
        <v>304</v>
      </c>
      <c r="D68" s="18"/>
      <c r="E68" s="35"/>
      <c r="F68" s="35"/>
      <c r="G68" s="35"/>
    </row>
    <row r="69" spans="2:7" x14ac:dyDescent="0.25">
      <c r="B69" s="23" t="s">
        <v>83</v>
      </c>
      <c r="C69" s="12">
        <v>305</v>
      </c>
      <c r="D69" s="18"/>
      <c r="E69" s="35"/>
      <c r="F69" s="35"/>
      <c r="G69" s="35"/>
    </row>
    <row r="70" spans="2:7" x14ac:dyDescent="0.25">
      <c r="B70" s="23" t="s">
        <v>83</v>
      </c>
      <c r="C70" s="12">
        <v>306</v>
      </c>
      <c r="D70" s="18"/>
      <c r="E70" s="35"/>
      <c r="F70" s="35"/>
      <c r="G70" s="35"/>
    </row>
    <row r="71" spans="2:7" x14ac:dyDescent="0.25">
      <c r="B71" s="23" t="s">
        <v>83</v>
      </c>
      <c r="C71" s="12">
        <v>307</v>
      </c>
      <c r="D71" s="18"/>
      <c r="E71" s="35"/>
      <c r="F71" s="35"/>
      <c r="G71" s="35"/>
    </row>
    <row r="72" spans="2:7" x14ac:dyDescent="0.25">
      <c r="B72" s="23" t="s">
        <v>83</v>
      </c>
      <c r="C72" s="12">
        <v>308</v>
      </c>
      <c r="D72" s="18"/>
      <c r="E72" s="35"/>
      <c r="F72" s="35"/>
      <c r="G72" s="35"/>
    </row>
    <row r="73" spans="2:7" x14ac:dyDescent="0.25">
      <c r="B73" s="23" t="s">
        <v>83</v>
      </c>
      <c r="C73" s="12">
        <v>309</v>
      </c>
      <c r="D73" s="18"/>
      <c r="E73" s="35"/>
      <c r="F73" s="35"/>
      <c r="G73" s="35"/>
    </row>
    <row r="74" spans="2:7" x14ac:dyDescent="0.25">
      <c r="B74" s="23" t="s">
        <v>83</v>
      </c>
      <c r="C74" s="12">
        <v>310</v>
      </c>
      <c r="D74" s="18"/>
      <c r="E74" s="35"/>
      <c r="F74" s="35"/>
      <c r="G74" s="35"/>
    </row>
    <row r="75" spans="2:7" x14ac:dyDescent="0.25">
      <c r="B75" s="23" t="s">
        <v>83</v>
      </c>
      <c r="C75" s="12">
        <v>311</v>
      </c>
      <c r="D75" s="18"/>
      <c r="E75" s="35"/>
      <c r="F75" s="35"/>
      <c r="G75" s="35"/>
    </row>
    <row r="76" spans="2:7" x14ac:dyDescent="0.25">
      <c r="B76" s="23" t="s">
        <v>83</v>
      </c>
      <c r="C76" s="12">
        <v>312</v>
      </c>
      <c r="D76" s="18"/>
      <c r="E76" s="35"/>
      <c r="F76" s="35"/>
      <c r="G76" s="35"/>
    </row>
    <row r="77" spans="2:7" x14ac:dyDescent="0.25">
      <c r="B77" s="23" t="s">
        <v>83</v>
      </c>
      <c r="C77" s="12">
        <v>313</v>
      </c>
      <c r="D77" s="18"/>
      <c r="E77" s="35"/>
      <c r="F77" s="35"/>
      <c r="G77" s="35"/>
    </row>
    <row r="78" spans="2:7" x14ac:dyDescent="0.25">
      <c r="B78" s="23" t="s">
        <v>83</v>
      </c>
      <c r="C78" s="12">
        <v>314</v>
      </c>
      <c r="D78" s="18"/>
      <c r="E78" s="35"/>
      <c r="F78" s="35"/>
      <c r="G78" s="35"/>
    </row>
    <row r="79" spans="2:7" x14ac:dyDescent="0.25">
      <c r="B79" s="23" t="s">
        <v>83</v>
      </c>
      <c r="C79" s="12">
        <v>315</v>
      </c>
      <c r="D79" s="18"/>
      <c r="E79" s="35"/>
      <c r="F79" s="35"/>
      <c r="G79" s="35"/>
    </row>
    <row r="80" spans="2:7" x14ac:dyDescent="0.25">
      <c r="B80" s="23" t="s">
        <v>83</v>
      </c>
      <c r="C80" s="12">
        <v>316</v>
      </c>
      <c r="D80" s="18"/>
      <c r="E80" s="35"/>
      <c r="F80" s="35"/>
      <c r="G80" s="35"/>
    </row>
    <row r="81" spans="2:7" x14ac:dyDescent="0.25">
      <c r="B81" s="23" t="s">
        <v>83</v>
      </c>
      <c r="C81" s="12">
        <v>317</v>
      </c>
      <c r="D81" s="18"/>
      <c r="E81" s="35"/>
      <c r="F81" s="35"/>
      <c r="G81" s="35"/>
    </row>
    <row r="82" spans="2:7" x14ac:dyDescent="0.25">
      <c r="B82" s="23" t="s">
        <v>83</v>
      </c>
      <c r="C82" s="12">
        <v>318</v>
      </c>
      <c r="D82" s="18"/>
      <c r="E82" s="35"/>
      <c r="F82" s="35"/>
      <c r="G82" s="35"/>
    </row>
    <row r="83" spans="2:7" x14ac:dyDescent="0.25">
      <c r="B83" s="23" t="s">
        <v>83</v>
      </c>
      <c r="C83" s="12">
        <v>319</v>
      </c>
      <c r="D83" s="18"/>
      <c r="E83" s="35"/>
      <c r="F83" s="35"/>
      <c r="G83" s="35"/>
    </row>
    <row r="84" spans="2:7" x14ac:dyDescent="0.25">
      <c r="B84" s="23" t="s">
        <v>83</v>
      </c>
      <c r="C84" s="12">
        <v>320</v>
      </c>
      <c r="D84" s="18"/>
      <c r="E84" s="35"/>
      <c r="F84" s="35"/>
      <c r="G84" s="35"/>
    </row>
    <row r="85" spans="2:7" x14ac:dyDescent="0.25">
      <c r="B85" s="23" t="s">
        <v>83</v>
      </c>
      <c r="C85" s="12">
        <v>321</v>
      </c>
      <c r="D85" s="18"/>
      <c r="E85" s="35"/>
      <c r="F85" s="35"/>
      <c r="G85" s="35"/>
    </row>
    <row r="86" spans="2:7" x14ac:dyDescent="0.25">
      <c r="B86" s="23" t="s">
        <v>83</v>
      </c>
      <c r="C86" s="12">
        <v>322</v>
      </c>
      <c r="D86" s="18"/>
      <c r="E86" s="35"/>
      <c r="F86" s="35"/>
      <c r="G86" s="35"/>
    </row>
    <row r="87" spans="2:7" x14ac:dyDescent="0.25">
      <c r="B87" s="23" t="s">
        <v>83</v>
      </c>
      <c r="C87" s="12">
        <v>323</v>
      </c>
      <c r="D87" s="18"/>
      <c r="E87" s="35"/>
      <c r="F87" s="35"/>
      <c r="G87" s="35"/>
    </row>
    <row r="88" spans="2:7" x14ac:dyDescent="0.25">
      <c r="B88" s="23" t="s">
        <v>83</v>
      </c>
      <c r="C88" s="12">
        <v>324</v>
      </c>
      <c r="D88" s="18"/>
      <c r="E88" s="35"/>
      <c r="F88" s="35"/>
      <c r="G88" s="35"/>
    </row>
    <row r="89" spans="2:7" x14ac:dyDescent="0.25">
      <c r="B89" s="23" t="s">
        <v>83</v>
      </c>
      <c r="C89" s="12">
        <v>325</v>
      </c>
      <c r="D89" s="19"/>
      <c r="E89" s="38"/>
      <c r="F89" s="38"/>
      <c r="G89" s="38"/>
    </row>
    <row r="90" spans="2:7" x14ac:dyDescent="0.25">
      <c r="B90" s="24"/>
      <c r="C90" s="21"/>
      <c r="D90" s="17"/>
      <c r="E90" s="37"/>
      <c r="F90" s="37"/>
      <c r="G90" s="37"/>
    </row>
    <row r="91" spans="2:7" x14ac:dyDescent="0.25">
      <c r="B91" s="33" t="s">
        <v>86</v>
      </c>
      <c r="D91" s="18"/>
      <c r="E91" s="35"/>
      <c r="F91" s="35"/>
      <c r="G91" s="35"/>
    </row>
    <row r="92" spans="2:7" x14ac:dyDescent="0.25">
      <c r="B92" s="23" t="s">
        <v>83</v>
      </c>
      <c r="C92" s="12">
        <v>401</v>
      </c>
      <c r="D92" s="18"/>
      <c r="E92" s="35"/>
      <c r="F92" s="35"/>
      <c r="G92" s="35"/>
    </row>
    <row r="93" spans="2:7" x14ac:dyDescent="0.25">
      <c r="B93" s="23" t="s">
        <v>83</v>
      </c>
      <c r="C93" s="12">
        <v>402</v>
      </c>
      <c r="D93" s="18"/>
      <c r="E93" s="35"/>
      <c r="F93" s="35"/>
      <c r="G93" s="35"/>
    </row>
    <row r="94" spans="2:7" x14ac:dyDescent="0.25">
      <c r="B94" s="23" t="s">
        <v>83</v>
      </c>
      <c r="C94" s="12">
        <v>403</v>
      </c>
      <c r="D94" s="18"/>
      <c r="E94" s="35"/>
      <c r="F94" s="35"/>
      <c r="G94" s="35"/>
    </row>
    <row r="95" spans="2:7" x14ac:dyDescent="0.25">
      <c r="B95" s="23" t="s">
        <v>83</v>
      </c>
      <c r="C95" s="12">
        <v>404</v>
      </c>
      <c r="D95" s="18"/>
      <c r="E95" s="35"/>
      <c r="F95" s="35"/>
      <c r="G95" s="35"/>
    </row>
    <row r="96" spans="2:7" x14ac:dyDescent="0.25">
      <c r="B96" s="23" t="s">
        <v>83</v>
      </c>
      <c r="C96" s="12">
        <v>405</v>
      </c>
      <c r="D96" s="18"/>
      <c r="E96" s="35"/>
      <c r="F96" s="35"/>
      <c r="G96" s="35"/>
    </row>
    <row r="97" spans="2:7" x14ac:dyDescent="0.25">
      <c r="B97" s="23" t="s">
        <v>83</v>
      </c>
      <c r="C97" s="12">
        <v>406</v>
      </c>
      <c r="D97" s="18"/>
      <c r="E97" s="35"/>
      <c r="F97" s="35"/>
      <c r="G97" s="35"/>
    </row>
    <row r="98" spans="2:7" x14ac:dyDescent="0.25">
      <c r="B98" s="23" t="s">
        <v>83</v>
      </c>
      <c r="C98" s="12">
        <v>407</v>
      </c>
      <c r="D98" s="18"/>
      <c r="E98" s="35"/>
      <c r="F98" s="35"/>
      <c r="G98" s="35"/>
    </row>
    <row r="99" spans="2:7" x14ac:dyDescent="0.25">
      <c r="B99" s="23" t="s">
        <v>83</v>
      </c>
      <c r="C99" s="12">
        <v>408</v>
      </c>
      <c r="D99" s="18"/>
      <c r="E99" s="35"/>
      <c r="F99" s="35"/>
      <c r="G99" s="35"/>
    </row>
    <row r="100" spans="2:7" x14ac:dyDescent="0.25">
      <c r="B100" s="23" t="s">
        <v>83</v>
      </c>
      <c r="C100" s="12">
        <v>409</v>
      </c>
      <c r="D100" s="18"/>
      <c r="E100" s="35"/>
      <c r="F100" s="35"/>
      <c r="G100" s="35"/>
    </row>
    <row r="101" spans="2:7" x14ac:dyDescent="0.25">
      <c r="B101" s="23" t="s">
        <v>83</v>
      </c>
      <c r="C101" s="12">
        <v>410</v>
      </c>
      <c r="D101" s="18"/>
      <c r="E101" s="35"/>
      <c r="F101" s="35"/>
      <c r="G101" s="35"/>
    </row>
    <row r="102" spans="2:7" x14ac:dyDescent="0.25">
      <c r="B102" s="23" t="s">
        <v>83</v>
      </c>
      <c r="C102" s="12">
        <v>411</v>
      </c>
      <c r="D102" s="18"/>
      <c r="E102" s="35"/>
      <c r="F102" s="35"/>
      <c r="G102" s="35"/>
    </row>
    <row r="103" spans="2:7" x14ac:dyDescent="0.25">
      <c r="B103" s="23" t="s">
        <v>83</v>
      </c>
      <c r="C103" s="12">
        <v>412</v>
      </c>
      <c r="D103" s="18"/>
      <c r="E103" s="35"/>
      <c r="F103" s="35"/>
      <c r="G103" s="35"/>
    </row>
    <row r="104" spans="2:7" x14ac:dyDescent="0.25">
      <c r="B104" s="23" t="s">
        <v>83</v>
      </c>
      <c r="C104" s="12">
        <v>413</v>
      </c>
      <c r="D104" s="18"/>
      <c r="E104" s="35"/>
      <c r="F104" s="35"/>
      <c r="G104" s="35"/>
    </row>
    <row r="105" spans="2:7" x14ac:dyDescent="0.25">
      <c r="B105" s="23" t="s">
        <v>83</v>
      </c>
      <c r="C105" s="12">
        <v>414</v>
      </c>
      <c r="D105" s="18"/>
      <c r="E105" s="35"/>
      <c r="F105" s="35"/>
      <c r="G105" s="35"/>
    </row>
    <row r="106" spans="2:7" x14ac:dyDescent="0.25">
      <c r="B106" s="23" t="s">
        <v>83</v>
      </c>
      <c r="C106" s="12">
        <v>415</v>
      </c>
      <c r="D106" s="18"/>
      <c r="E106" s="35"/>
      <c r="F106" s="35"/>
      <c r="G106" s="35"/>
    </row>
    <row r="107" spans="2:7" x14ac:dyDescent="0.25">
      <c r="B107" s="23" t="s">
        <v>83</v>
      </c>
      <c r="C107" s="12">
        <v>416</v>
      </c>
      <c r="D107" s="18"/>
      <c r="E107" s="35"/>
      <c r="F107" s="35"/>
      <c r="G107" s="35"/>
    </row>
    <row r="108" spans="2:7" x14ac:dyDescent="0.25">
      <c r="B108" s="23" t="s">
        <v>83</v>
      </c>
      <c r="C108" s="12">
        <v>417</v>
      </c>
      <c r="D108" s="18"/>
      <c r="E108" s="35"/>
      <c r="F108" s="35"/>
      <c r="G108" s="35"/>
    </row>
    <row r="109" spans="2:7" x14ac:dyDescent="0.25">
      <c r="B109" s="23" t="s">
        <v>83</v>
      </c>
      <c r="C109" s="12">
        <v>418</v>
      </c>
      <c r="D109" s="18"/>
      <c r="E109" s="35"/>
      <c r="F109" s="35"/>
      <c r="G109" s="35"/>
    </row>
    <row r="110" spans="2:7" x14ac:dyDescent="0.25">
      <c r="B110" s="23" t="s">
        <v>83</v>
      </c>
      <c r="C110" s="12">
        <v>419</v>
      </c>
      <c r="D110" s="18"/>
      <c r="E110" s="35"/>
      <c r="F110" s="35"/>
      <c r="G110" s="35"/>
    </row>
    <row r="111" spans="2:7" x14ac:dyDescent="0.25">
      <c r="B111" s="23" t="s">
        <v>83</v>
      </c>
      <c r="C111" s="12">
        <v>420</v>
      </c>
      <c r="D111" s="18"/>
      <c r="E111" s="35"/>
      <c r="F111" s="35"/>
      <c r="G111" s="35"/>
    </row>
    <row r="112" spans="2:7" x14ac:dyDescent="0.25">
      <c r="B112" s="23" t="s">
        <v>83</v>
      </c>
      <c r="C112" s="12">
        <v>421</v>
      </c>
      <c r="D112" s="18"/>
      <c r="E112" s="35"/>
      <c r="F112" s="35"/>
      <c r="G112" s="35"/>
    </row>
    <row r="113" spans="2:7" x14ac:dyDescent="0.25">
      <c r="B113" s="23" t="s">
        <v>83</v>
      </c>
      <c r="C113" s="12">
        <v>422</v>
      </c>
      <c r="D113" s="18"/>
      <c r="E113" s="35"/>
      <c r="F113" s="35"/>
      <c r="G113" s="35"/>
    </row>
    <row r="114" spans="2:7" x14ac:dyDescent="0.25">
      <c r="B114" s="23" t="s">
        <v>83</v>
      </c>
      <c r="C114" s="12">
        <v>423</v>
      </c>
      <c r="D114" s="18"/>
      <c r="E114" s="35"/>
      <c r="F114" s="35"/>
      <c r="G114" s="35"/>
    </row>
    <row r="115" spans="2:7" x14ac:dyDescent="0.25">
      <c r="B115" s="23" t="s">
        <v>83</v>
      </c>
      <c r="C115" s="12">
        <v>424</v>
      </c>
      <c r="D115" s="18"/>
      <c r="E115" s="35"/>
      <c r="F115" s="35"/>
      <c r="G115" s="35"/>
    </row>
    <row r="116" spans="2:7" x14ac:dyDescent="0.25">
      <c r="B116" s="23" t="s">
        <v>83</v>
      </c>
      <c r="C116" s="12">
        <v>425</v>
      </c>
      <c r="D116" s="19"/>
      <c r="E116" s="38"/>
      <c r="F116" s="38"/>
      <c r="G116" s="38"/>
    </row>
    <row r="117" spans="2:7" x14ac:dyDescent="0.25">
      <c r="B117" s="24"/>
      <c r="C117" s="21"/>
      <c r="D117" s="17"/>
      <c r="E117" s="37"/>
      <c r="F117" s="37"/>
      <c r="G117" s="37"/>
    </row>
    <row r="118" spans="2:7" x14ac:dyDescent="0.25">
      <c r="B118" s="33" t="s">
        <v>87</v>
      </c>
      <c r="D118" s="18"/>
      <c r="E118" s="35"/>
      <c r="F118" s="35"/>
      <c r="G118" s="35"/>
    </row>
    <row r="119" spans="2:7" x14ac:dyDescent="0.25">
      <c r="B119" s="23" t="s">
        <v>83</v>
      </c>
      <c r="C119" s="12">
        <v>501</v>
      </c>
      <c r="D119" s="18"/>
      <c r="E119" s="35"/>
      <c r="F119" s="35"/>
      <c r="G119" s="35"/>
    </row>
    <row r="120" spans="2:7" x14ac:dyDescent="0.25">
      <c r="B120" s="23" t="s">
        <v>83</v>
      </c>
      <c r="C120" s="12">
        <v>502</v>
      </c>
      <c r="D120" s="18"/>
      <c r="E120" s="35"/>
      <c r="F120" s="35"/>
      <c r="G120" s="35"/>
    </row>
    <row r="121" spans="2:7" x14ac:dyDescent="0.25">
      <c r="B121" s="23" t="s">
        <v>83</v>
      </c>
      <c r="C121" s="12">
        <v>503</v>
      </c>
      <c r="D121" s="18"/>
      <c r="E121" s="35"/>
      <c r="F121" s="35"/>
      <c r="G121" s="35"/>
    </row>
    <row r="122" spans="2:7" x14ac:dyDescent="0.25">
      <c r="B122" s="23" t="s">
        <v>83</v>
      </c>
      <c r="C122" s="12">
        <v>504</v>
      </c>
      <c r="D122" s="18"/>
      <c r="E122" s="35"/>
      <c r="F122" s="35"/>
      <c r="G122" s="35"/>
    </row>
    <row r="123" spans="2:7" x14ac:dyDescent="0.25">
      <c r="B123" s="23" t="s">
        <v>83</v>
      </c>
      <c r="C123" s="12">
        <v>505</v>
      </c>
      <c r="D123" s="18"/>
      <c r="E123" s="35"/>
      <c r="F123" s="35"/>
      <c r="G123" s="35"/>
    </row>
    <row r="124" spans="2:7" x14ac:dyDescent="0.25">
      <c r="B124" s="23" t="s">
        <v>83</v>
      </c>
      <c r="C124" s="12">
        <v>506</v>
      </c>
      <c r="D124" s="18"/>
      <c r="E124" s="35"/>
      <c r="F124" s="35"/>
      <c r="G124" s="35"/>
    </row>
    <row r="125" spans="2:7" x14ac:dyDescent="0.25">
      <c r="B125" s="23" t="s">
        <v>83</v>
      </c>
      <c r="C125" s="12">
        <v>507</v>
      </c>
      <c r="D125" s="18"/>
      <c r="E125" s="35"/>
      <c r="F125" s="35"/>
      <c r="G125" s="35"/>
    </row>
    <row r="126" spans="2:7" x14ac:dyDescent="0.25">
      <c r="B126" s="23" t="s">
        <v>83</v>
      </c>
      <c r="C126" s="12">
        <v>508</v>
      </c>
      <c r="D126" s="18"/>
      <c r="E126" s="35"/>
      <c r="F126" s="35"/>
      <c r="G126" s="35"/>
    </row>
    <row r="127" spans="2:7" x14ac:dyDescent="0.25">
      <c r="B127" s="23" t="s">
        <v>83</v>
      </c>
      <c r="C127" s="12">
        <v>509</v>
      </c>
      <c r="D127" s="18"/>
      <c r="E127" s="35"/>
      <c r="F127" s="35"/>
      <c r="G127" s="35"/>
    </row>
    <row r="128" spans="2:7" x14ac:dyDescent="0.25">
      <c r="B128" s="23" t="s">
        <v>83</v>
      </c>
      <c r="C128" s="12">
        <v>510</v>
      </c>
      <c r="D128" s="18"/>
      <c r="E128" s="35"/>
      <c r="F128" s="35"/>
      <c r="G128" s="35"/>
    </row>
    <row r="129" spans="2:7" x14ac:dyDescent="0.25">
      <c r="B129" s="23" t="s">
        <v>83</v>
      </c>
      <c r="C129" s="12">
        <v>511</v>
      </c>
      <c r="D129" s="18"/>
      <c r="E129" s="35"/>
      <c r="F129" s="35"/>
      <c r="G129" s="35"/>
    </row>
    <row r="130" spans="2:7" x14ac:dyDescent="0.25">
      <c r="B130" s="23" t="s">
        <v>83</v>
      </c>
      <c r="C130" s="12">
        <v>512</v>
      </c>
      <c r="D130" s="18"/>
      <c r="E130" s="35"/>
      <c r="F130" s="35"/>
      <c r="G130" s="35"/>
    </row>
    <row r="131" spans="2:7" x14ac:dyDescent="0.25">
      <c r="B131" s="23" t="s">
        <v>83</v>
      </c>
      <c r="C131" s="12">
        <v>513</v>
      </c>
      <c r="D131" s="18"/>
      <c r="E131" s="35"/>
      <c r="F131" s="35"/>
      <c r="G131" s="35"/>
    </row>
    <row r="132" spans="2:7" x14ac:dyDescent="0.25">
      <c r="B132" s="23" t="s">
        <v>83</v>
      </c>
      <c r="C132" s="12">
        <v>514</v>
      </c>
      <c r="D132" s="18"/>
      <c r="E132" s="35"/>
      <c r="F132" s="35"/>
      <c r="G132" s="35"/>
    </row>
    <row r="133" spans="2:7" x14ac:dyDescent="0.25">
      <c r="B133" s="23" t="s">
        <v>83</v>
      </c>
      <c r="C133" s="12">
        <v>515</v>
      </c>
      <c r="D133" s="18"/>
      <c r="E133" s="35"/>
      <c r="F133" s="35"/>
      <c r="G133" s="35"/>
    </row>
    <row r="134" spans="2:7" x14ac:dyDescent="0.25">
      <c r="B134" s="23" t="s">
        <v>83</v>
      </c>
      <c r="C134" s="12">
        <v>516</v>
      </c>
      <c r="D134" s="18"/>
      <c r="E134" s="35"/>
      <c r="F134" s="35"/>
      <c r="G134" s="35"/>
    </row>
    <row r="135" spans="2:7" x14ac:dyDescent="0.25">
      <c r="B135" s="23" t="s">
        <v>83</v>
      </c>
      <c r="C135" s="12">
        <v>517</v>
      </c>
      <c r="D135" s="18"/>
      <c r="E135" s="35"/>
      <c r="F135" s="35"/>
      <c r="G135" s="35"/>
    </row>
    <row r="136" spans="2:7" x14ac:dyDescent="0.25">
      <c r="B136" s="23" t="s">
        <v>83</v>
      </c>
      <c r="C136" s="12">
        <v>518</v>
      </c>
      <c r="D136" s="18"/>
      <c r="E136" s="35"/>
      <c r="F136" s="35"/>
      <c r="G136" s="35"/>
    </row>
    <row r="137" spans="2:7" x14ac:dyDescent="0.25">
      <c r="B137" s="23" t="s">
        <v>83</v>
      </c>
      <c r="C137" s="12">
        <v>519</v>
      </c>
      <c r="D137" s="18"/>
      <c r="E137" s="35"/>
      <c r="F137" s="35"/>
      <c r="G137" s="35"/>
    </row>
    <row r="138" spans="2:7" x14ac:dyDescent="0.25">
      <c r="B138" s="23" t="s">
        <v>83</v>
      </c>
      <c r="C138" s="12">
        <v>520</v>
      </c>
      <c r="D138" s="18"/>
      <c r="E138" s="35"/>
      <c r="F138" s="35"/>
      <c r="G138" s="35"/>
    </row>
    <row r="139" spans="2:7" x14ac:dyDescent="0.25">
      <c r="B139" s="23" t="s">
        <v>83</v>
      </c>
      <c r="C139" s="12">
        <v>521</v>
      </c>
      <c r="D139" s="18"/>
      <c r="E139" s="35"/>
      <c r="F139" s="35"/>
      <c r="G139" s="35"/>
    </row>
    <row r="140" spans="2:7" x14ac:dyDescent="0.25">
      <c r="B140" s="23" t="s">
        <v>83</v>
      </c>
      <c r="C140" s="12">
        <v>522</v>
      </c>
      <c r="D140" s="18"/>
      <c r="E140" s="35"/>
      <c r="F140" s="35"/>
      <c r="G140" s="35"/>
    </row>
    <row r="141" spans="2:7" x14ac:dyDescent="0.25">
      <c r="B141" s="23" t="s">
        <v>83</v>
      </c>
      <c r="C141" s="12">
        <v>523</v>
      </c>
      <c r="D141" s="18"/>
      <c r="E141" s="35"/>
      <c r="F141" s="35"/>
      <c r="G141" s="35"/>
    </row>
    <row r="142" spans="2:7" x14ac:dyDescent="0.25">
      <c r="B142" s="23" t="s">
        <v>83</v>
      </c>
      <c r="C142" s="12">
        <v>524</v>
      </c>
      <c r="D142" s="18"/>
      <c r="E142" s="35"/>
      <c r="F142" s="35"/>
      <c r="G142" s="35"/>
    </row>
    <row r="143" spans="2:7" x14ac:dyDescent="0.25">
      <c r="B143" s="23" t="s">
        <v>83</v>
      </c>
      <c r="C143" s="12">
        <v>525</v>
      </c>
      <c r="D143" s="19"/>
      <c r="E143" s="38"/>
      <c r="F143" s="38"/>
      <c r="G143" s="38"/>
    </row>
    <row r="144" spans="2:7" x14ac:dyDescent="0.25">
      <c r="B144" s="24"/>
      <c r="C144" s="21"/>
      <c r="D144" s="17"/>
      <c r="E144" s="37"/>
      <c r="F144" s="37"/>
      <c r="G144" s="37"/>
    </row>
    <row r="145" spans="2:7" x14ac:dyDescent="0.25">
      <c r="B145" s="33" t="s">
        <v>88</v>
      </c>
      <c r="D145" s="18"/>
      <c r="E145" s="35"/>
      <c r="F145" s="35"/>
      <c r="G145" s="35"/>
    </row>
    <row r="146" spans="2:7" x14ac:dyDescent="0.25">
      <c r="B146" s="23" t="s">
        <v>83</v>
      </c>
      <c r="C146" s="12">
        <v>601</v>
      </c>
      <c r="D146" s="18"/>
      <c r="E146" s="35"/>
      <c r="F146" s="35"/>
      <c r="G146" s="35"/>
    </row>
    <row r="147" spans="2:7" x14ac:dyDescent="0.25">
      <c r="B147" s="23" t="s">
        <v>83</v>
      </c>
      <c r="C147" s="12">
        <v>602</v>
      </c>
      <c r="D147" s="18"/>
      <c r="E147" s="35"/>
      <c r="F147" s="35"/>
      <c r="G147" s="35"/>
    </row>
    <row r="148" spans="2:7" x14ac:dyDescent="0.25">
      <c r="B148" s="23" t="s">
        <v>83</v>
      </c>
      <c r="C148" s="12">
        <v>603</v>
      </c>
      <c r="D148" s="18"/>
      <c r="E148" s="35"/>
      <c r="F148" s="35"/>
      <c r="G148" s="35"/>
    </row>
    <row r="149" spans="2:7" x14ac:dyDescent="0.25">
      <c r="B149" s="23" t="s">
        <v>83</v>
      </c>
      <c r="C149" s="12">
        <v>604</v>
      </c>
      <c r="D149" s="18"/>
      <c r="E149" s="35"/>
      <c r="F149" s="35"/>
      <c r="G149" s="35"/>
    </row>
    <row r="150" spans="2:7" x14ac:dyDescent="0.25">
      <c r="B150" s="23" t="s">
        <v>83</v>
      </c>
      <c r="C150" s="12">
        <v>605</v>
      </c>
      <c r="D150" s="18"/>
      <c r="E150" s="35"/>
      <c r="F150" s="35"/>
      <c r="G150" s="35"/>
    </row>
    <row r="151" spans="2:7" x14ac:dyDescent="0.25">
      <c r="B151" s="23" t="s">
        <v>83</v>
      </c>
      <c r="C151" s="12">
        <v>606</v>
      </c>
      <c r="D151" s="18"/>
      <c r="E151" s="35"/>
      <c r="F151" s="35"/>
      <c r="G151" s="35"/>
    </row>
    <row r="152" spans="2:7" x14ac:dyDescent="0.25">
      <c r="B152" s="23" t="s">
        <v>83</v>
      </c>
      <c r="C152" s="12">
        <v>607</v>
      </c>
      <c r="D152" s="18"/>
      <c r="E152" s="35"/>
      <c r="F152" s="35"/>
      <c r="G152" s="35"/>
    </row>
    <row r="153" spans="2:7" x14ac:dyDescent="0.25">
      <c r="B153" s="23" t="s">
        <v>83</v>
      </c>
      <c r="C153" s="12">
        <v>608</v>
      </c>
      <c r="D153" s="18"/>
      <c r="E153" s="35"/>
      <c r="F153" s="35"/>
      <c r="G153" s="35"/>
    </row>
    <row r="154" spans="2:7" x14ac:dyDescent="0.25">
      <c r="B154" s="23" t="s">
        <v>83</v>
      </c>
      <c r="C154" s="12">
        <v>609</v>
      </c>
      <c r="D154" s="18"/>
      <c r="E154" s="35"/>
      <c r="F154" s="35"/>
      <c r="G154" s="35"/>
    </row>
    <row r="155" spans="2:7" x14ac:dyDescent="0.25">
      <c r="B155" s="23" t="s">
        <v>83</v>
      </c>
      <c r="C155" s="12">
        <v>610</v>
      </c>
      <c r="D155" s="18"/>
      <c r="E155" s="35"/>
      <c r="F155" s="35"/>
      <c r="G155" s="35"/>
    </row>
    <row r="156" spans="2:7" x14ac:dyDescent="0.25">
      <c r="B156" s="23" t="s">
        <v>83</v>
      </c>
      <c r="C156" s="12">
        <v>611</v>
      </c>
      <c r="D156" s="18"/>
      <c r="E156" s="35"/>
      <c r="F156" s="35"/>
      <c r="G156" s="35"/>
    </row>
    <row r="157" spans="2:7" x14ac:dyDescent="0.25">
      <c r="B157" s="23" t="s">
        <v>83</v>
      </c>
      <c r="C157" s="12">
        <v>612</v>
      </c>
      <c r="D157" s="18"/>
      <c r="E157" s="35"/>
      <c r="F157" s="35"/>
      <c r="G157" s="35"/>
    </row>
    <row r="158" spans="2:7" x14ac:dyDescent="0.25">
      <c r="B158" s="23" t="s">
        <v>83</v>
      </c>
      <c r="C158" s="12">
        <v>613</v>
      </c>
      <c r="D158" s="18"/>
      <c r="E158" s="35"/>
      <c r="F158" s="35"/>
      <c r="G158" s="35"/>
    </row>
    <row r="159" spans="2:7" x14ac:dyDescent="0.25">
      <c r="B159" s="23" t="s">
        <v>83</v>
      </c>
      <c r="C159" s="12">
        <v>614</v>
      </c>
      <c r="D159" s="18"/>
      <c r="E159" s="35"/>
      <c r="F159" s="35"/>
      <c r="G159" s="35"/>
    </row>
    <row r="160" spans="2:7" x14ac:dyDescent="0.25">
      <c r="B160" s="23" t="s">
        <v>83</v>
      </c>
      <c r="C160" s="12">
        <v>615</v>
      </c>
      <c r="D160" s="18"/>
      <c r="E160" s="35"/>
      <c r="F160" s="35"/>
      <c r="G160" s="35"/>
    </row>
    <row r="161" spans="2:7" x14ac:dyDescent="0.25">
      <c r="B161" s="23" t="s">
        <v>83</v>
      </c>
      <c r="C161" s="12">
        <v>616</v>
      </c>
      <c r="D161" s="18"/>
      <c r="E161" s="35"/>
      <c r="F161" s="35"/>
      <c r="G161" s="35"/>
    </row>
    <row r="162" spans="2:7" x14ac:dyDescent="0.25">
      <c r="B162" s="23" t="s">
        <v>83</v>
      </c>
      <c r="C162" s="12">
        <v>617</v>
      </c>
      <c r="D162" s="18"/>
      <c r="E162" s="35"/>
      <c r="F162" s="35"/>
      <c r="G162" s="35"/>
    </row>
    <row r="163" spans="2:7" x14ac:dyDescent="0.25">
      <c r="B163" s="23" t="s">
        <v>83</v>
      </c>
      <c r="C163" s="12">
        <v>618</v>
      </c>
      <c r="D163" s="18"/>
      <c r="E163" s="35"/>
      <c r="F163" s="35"/>
      <c r="G163" s="35"/>
    </row>
    <row r="164" spans="2:7" x14ac:dyDescent="0.25">
      <c r="B164" s="23" t="s">
        <v>83</v>
      </c>
      <c r="C164" s="12">
        <v>619</v>
      </c>
      <c r="D164" s="18"/>
      <c r="E164" s="35"/>
      <c r="F164" s="35"/>
      <c r="G164" s="35"/>
    </row>
    <row r="165" spans="2:7" x14ac:dyDescent="0.25">
      <c r="B165" s="23" t="s">
        <v>83</v>
      </c>
      <c r="C165" s="12">
        <v>620</v>
      </c>
      <c r="D165" s="18"/>
      <c r="E165" s="35"/>
      <c r="F165" s="35"/>
      <c r="G165" s="35"/>
    </row>
    <row r="166" spans="2:7" x14ac:dyDescent="0.25">
      <c r="B166" s="23" t="s">
        <v>83</v>
      </c>
      <c r="C166" s="12">
        <v>621</v>
      </c>
      <c r="D166" s="18"/>
      <c r="E166" s="35"/>
      <c r="F166" s="35"/>
      <c r="G166" s="35"/>
    </row>
    <row r="167" spans="2:7" x14ac:dyDescent="0.25">
      <c r="B167" s="23" t="s">
        <v>83</v>
      </c>
      <c r="C167" s="12">
        <v>622</v>
      </c>
      <c r="D167" s="18"/>
      <c r="E167" s="35"/>
      <c r="F167" s="35"/>
      <c r="G167" s="35"/>
    </row>
    <row r="168" spans="2:7" x14ac:dyDescent="0.25">
      <c r="B168" s="23" t="s">
        <v>83</v>
      </c>
      <c r="C168" s="12">
        <v>623</v>
      </c>
      <c r="D168" s="18"/>
      <c r="E168" s="35"/>
      <c r="F168" s="35"/>
      <c r="G168" s="35"/>
    </row>
    <row r="169" spans="2:7" x14ac:dyDescent="0.25">
      <c r="B169" s="23" t="s">
        <v>83</v>
      </c>
      <c r="C169" s="12">
        <v>624</v>
      </c>
      <c r="D169" s="18"/>
      <c r="E169" s="35"/>
      <c r="F169" s="35"/>
      <c r="G169" s="35"/>
    </row>
    <row r="170" spans="2:7" x14ac:dyDescent="0.25">
      <c r="B170" s="23" t="s">
        <v>83</v>
      </c>
      <c r="C170" s="12">
        <v>625</v>
      </c>
      <c r="D170" s="19"/>
      <c r="E170" s="38"/>
      <c r="F170" s="38"/>
      <c r="G170" s="38"/>
    </row>
    <row r="171" spans="2:7" x14ac:dyDescent="0.25">
      <c r="B171" s="24"/>
      <c r="C171" s="21"/>
      <c r="D171" s="17"/>
      <c r="E171" s="37"/>
      <c r="F171" s="37"/>
      <c r="G171" s="37"/>
    </row>
    <row r="172" spans="2:7" x14ac:dyDescent="0.25">
      <c r="B172" s="33" t="s">
        <v>89</v>
      </c>
      <c r="D172" s="18"/>
      <c r="E172" s="35"/>
      <c r="F172" s="35"/>
      <c r="G172" s="35"/>
    </row>
    <row r="173" spans="2:7" x14ac:dyDescent="0.25">
      <c r="B173" s="23" t="s">
        <v>83</v>
      </c>
      <c r="C173" s="12">
        <v>701</v>
      </c>
      <c r="D173" s="18"/>
      <c r="E173" s="35"/>
      <c r="F173" s="35"/>
      <c r="G173" s="35"/>
    </row>
    <row r="174" spans="2:7" x14ac:dyDescent="0.25">
      <c r="B174" s="23" t="s">
        <v>83</v>
      </c>
      <c r="C174" s="12">
        <v>702</v>
      </c>
      <c r="D174" s="18"/>
      <c r="E174" s="35"/>
      <c r="F174" s="35"/>
      <c r="G174" s="35"/>
    </row>
    <row r="175" spans="2:7" x14ac:dyDescent="0.25">
      <c r="B175" s="23" t="s">
        <v>83</v>
      </c>
      <c r="C175" s="12">
        <v>703</v>
      </c>
      <c r="D175" s="18"/>
      <c r="E175" s="35"/>
      <c r="F175" s="35"/>
      <c r="G175" s="35"/>
    </row>
    <row r="176" spans="2:7" x14ac:dyDescent="0.25">
      <c r="B176" s="23" t="s">
        <v>83</v>
      </c>
      <c r="C176" s="12">
        <v>704</v>
      </c>
      <c r="D176" s="18"/>
      <c r="E176" s="35"/>
      <c r="F176" s="35"/>
      <c r="G176" s="35"/>
    </row>
    <row r="177" spans="2:7" x14ac:dyDescent="0.25">
      <c r="B177" s="23" t="s">
        <v>83</v>
      </c>
      <c r="C177" s="12">
        <v>705</v>
      </c>
      <c r="D177" s="18"/>
      <c r="E177" s="35"/>
      <c r="F177" s="35"/>
      <c r="G177" s="35"/>
    </row>
    <row r="178" spans="2:7" x14ac:dyDescent="0.25">
      <c r="B178" s="23" t="s">
        <v>83</v>
      </c>
      <c r="C178" s="12">
        <v>706</v>
      </c>
      <c r="D178" s="18"/>
      <c r="E178" s="35"/>
      <c r="F178" s="35"/>
      <c r="G178" s="35"/>
    </row>
    <row r="179" spans="2:7" x14ac:dyDescent="0.25">
      <c r="B179" s="23" t="s">
        <v>83</v>
      </c>
      <c r="C179" s="12">
        <v>707</v>
      </c>
      <c r="D179" s="18"/>
      <c r="E179" s="35"/>
      <c r="F179" s="35"/>
      <c r="G179" s="35"/>
    </row>
    <row r="180" spans="2:7" x14ac:dyDescent="0.25">
      <c r="B180" s="23" t="s">
        <v>83</v>
      </c>
      <c r="C180" s="12">
        <v>708</v>
      </c>
      <c r="D180" s="18"/>
      <c r="E180" s="35"/>
      <c r="F180" s="35"/>
      <c r="G180" s="35"/>
    </row>
    <row r="181" spans="2:7" x14ac:dyDescent="0.25">
      <c r="B181" s="23" t="s">
        <v>83</v>
      </c>
      <c r="C181" s="12">
        <v>709</v>
      </c>
      <c r="D181" s="18"/>
      <c r="E181" s="35"/>
      <c r="F181" s="35"/>
      <c r="G181" s="35"/>
    </row>
    <row r="182" spans="2:7" x14ac:dyDescent="0.25">
      <c r="B182" s="23" t="s">
        <v>83</v>
      </c>
      <c r="C182" s="12">
        <v>710</v>
      </c>
      <c r="D182" s="18"/>
      <c r="E182" s="35"/>
      <c r="F182" s="35"/>
      <c r="G182" s="35"/>
    </row>
    <row r="183" spans="2:7" x14ac:dyDescent="0.25">
      <c r="B183" s="23" t="s">
        <v>83</v>
      </c>
      <c r="C183" s="12">
        <v>711</v>
      </c>
      <c r="D183" s="18"/>
      <c r="E183" s="35"/>
      <c r="F183" s="35"/>
      <c r="G183" s="35"/>
    </row>
    <row r="184" spans="2:7" x14ac:dyDescent="0.25">
      <c r="B184" s="23" t="s">
        <v>83</v>
      </c>
      <c r="C184" s="12">
        <v>712</v>
      </c>
      <c r="D184" s="18"/>
      <c r="E184" s="35"/>
      <c r="F184" s="35"/>
      <c r="G184" s="35"/>
    </row>
    <row r="185" spans="2:7" x14ac:dyDescent="0.25">
      <c r="B185" s="23" t="s">
        <v>83</v>
      </c>
      <c r="C185" s="12">
        <v>713</v>
      </c>
      <c r="D185" s="18"/>
      <c r="E185" s="35"/>
      <c r="F185" s="35"/>
      <c r="G185" s="35"/>
    </row>
    <row r="186" spans="2:7" x14ac:dyDescent="0.25">
      <c r="B186" s="23" t="s">
        <v>83</v>
      </c>
      <c r="C186" s="12">
        <v>714</v>
      </c>
      <c r="D186" s="18"/>
      <c r="E186" s="35"/>
      <c r="F186" s="35"/>
      <c r="G186" s="35"/>
    </row>
    <row r="187" spans="2:7" x14ac:dyDescent="0.25">
      <c r="B187" s="23" t="s">
        <v>83</v>
      </c>
      <c r="C187" s="12">
        <v>715</v>
      </c>
      <c r="D187" s="18"/>
      <c r="E187" s="35"/>
      <c r="F187" s="35"/>
      <c r="G187" s="35"/>
    </row>
    <row r="188" spans="2:7" x14ac:dyDescent="0.25">
      <c r="B188" s="23" t="s">
        <v>83</v>
      </c>
      <c r="C188" s="12">
        <v>716</v>
      </c>
      <c r="D188" s="18"/>
      <c r="E188" s="35"/>
      <c r="F188" s="35"/>
      <c r="G188" s="35"/>
    </row>
    <row r="189" spans="2:7" x14ac:dyDescent="0.25">
      <c r="B189" s="23" t="s">
        <v>83</v>
      </c>
      <c r="C189" s="12">
        <v>717</v>
      </c>
      <c r="D189" s="18"/>
      <c r="E189" s="35"/>
      <c r="F189" s="35"/>
      <c r="G189" s="35"/>
    </row>
    <row r="190" spans="2:7" x14ac:dyDescent="0.25">
      <c r="B190" s="23" t="s">
        <v>83</v>
      </c>
      <c r="C190" s="12">
        <v>718</v>
      </c>
      <c r="D190" s="18"/>
      <c r="E190" s="35"/>
      <c r="F190" s="35"/>
      <c r="G190" s="35"/>
    </row>
    <row r="191" spans="2:7" x14ac:dyDescent="0.25">
      <c r="B191" s="23" t="s">
        <v>83</v>
      </c>
      <c r="C191" s="12">
        <v>719</v>
      </c>
      <c r="D191" s="18"/>
      <c r="E191" s="35"/>
      <c r="F191" s="35"/>
      <c r="G191" s="35"/>
    </row>
    <row r="192" spans="2:7" x14ac:dyDescent="0.25">
      <c r="B192" s="23" t="s">
        <v>83</v>
      </c>
      <c r="C192" s="12">
        <v>720</v>
      </c>
      <c r="D192" s="18"/>
      <c r="E192" s="35"/>
      <c r="F192" s="35"/>
      <c r="G192" s="35"/>
    </row>
    <row r="193" spans="2:7" x14ac:dyDescent="0.25">
      <c r="B193" s="23" t="s">
        <v>83</v>
      </c>
      <c r="C193" s="12">
        <v>721</v>
      </c>
      <c r="D193" s="18"/>
      <c r="E193" s="35"/>
      <c r="F193" s="35"/>
      <c r="G193" s="35"/>
    </row>
    <row r="194" spans="2:7" x14ac:dyDescent="0.25">
      <c r="B194" s="23" t="s">
        <v>83</v>
      </c>
      <c r="C194" s="12">
        <v>722</v>
      </c>
      <c r="D194" s="18"/>
      <c r="E194" s="35"/>
      <c r="F194" s="35"/>
      <c r="G194" s="35"/>
    </row>
    <row r="195" spans="2:7" x14ac:dyDescent="0.25">
      <c r="B195" s="23" t="s">
        <v>83</v>
      </c>
      <c r="C195" s="12">
        <v>723</v>
      </c>
      <c r="D195" s="18"/>
      <c r="E195" s="35"/>
      <c r="F195" s="35"/>
      <c r="G195" s="35"/>
    </row>
    <row r="196" spans="2:7" x14ac:dyDescent="0.25">
      <c r="B196" s="23" t="s">
        <v>83</v>
      </c>
      <c r="C196" s="12">
        <v>724</v>
      </c>
      <c r="D196" s="18"/>
      <c r="E196" s="35"/>
      <c r="F196" s="35"/>
      <c r="G196" s="35"/>
    </row>
    <row r="197" spans="2:7" x14ac:dyDescent="0.25">
      <c r="B197" s="23" t="s">
        <v>83</v>
      </c>
      <c r="C197" s="12">
        <v>725</v>
      </c>
      <c r="D197" s="18"/>
      <c r="E197" s="35"/>
      <c r="F197" s="35"/>
      <c r="G197" s="35"/>
    </row>
    <row r="198" spans="2:7" x14ac:dyDescent="0.25">
      <c r="B198" s="24"/>
      <c r="C198" s="21"/>
      <c r="D198" s="17"/>
      <c r="E198" s="37"/>
      <c r="F198" s="37"/>
      <c r="G198" s="37"/>
    </row>
    <row r="199" spans="2:7" x14ac:dyDescent="0.25">
      <c r="B199" s="33" t="s">
        <v>90</v>
      </c>
      <c r="D199" s="18"/>
      <c r="E199" s="35"/>
      <c r="F199" s="35"/>
      <c r="G199" s="35"/>
    </row>
    <row r="200" spans="2:7" x14ac:dyDescent="0.25">
      <c r="B200" s="23" t="s">
        <v>83</v>
      </c>
      <c r="C200" s="12">
        <v>801</v>
      </c>
      <c r="D200" s="18"/>
      <c r="E200" s="35"/>
      <c r="F200" s="35"/>
      <c r="G200" s="35"/>
    </row>
    <row r="201" spans="2:7" x14ac:dyDescent="0.25">
      <c r="B201" s="23" t="s">
        <v>83</v>
      </c>
      <c r="C201" s="12">
        <v>802</v>
      </c>
      <c r="D201" s="18"/>
      <c r="E201" s="35"/>
      <c r="F201" s="35"/>
      <c r="G201" s="35"/>
    </row>
    <row r="202" spans="2:7" x14ac:dyDescent="0.25">
      <c r="B202" s="23" t="s">
        <v>83</v>
      </c>
      <c r="C202" s="12">
        <v>803</v>
      </c>
      <c r="D202" s="18"/>
      <c r="E202" s="35"/>
      <c r="F202" s="35"/>
      <c r="G202" s="35"/>
    </row>
    <row r="203" spans="2:7" x14ac:dyDescent="0.25">
      <c r="B203" s="23" t="s">
        <v>83</v>
      </c>
      <c r="C203" s="12">
        <v>804</v>
      </c>
      <c r="D203" s="18"/>
      <c r="E203" s="35"/>
      <c r="F203" s="35"/>
      <c r="G203" s="35"/>
    </row>
    <row r="204" spans="2:7" x14ac:dyDescent="0.25">
      <c r="B204" s="23" t="s">
        <v>83</v>
      </c>
      <c r="C204" s="12">
        <v>805</v>
      </c>
      <c r="D204" s="18"/>
      <c r="E204" s="35"/>
      <c r="F204" s="35"/>
      <c r="G204" s="35"/>
    </row>
    <row r="205" spans="2:7" x14ac:dyDescent="0.25">
      <c r="B205" s="23" t="s">
        <v>83</v>
      </c>
      <c r="C205" s="12">
        <v>806</v>
      </c>
      <c r="D205" s="18"/>
      <c r="E205" s="35"/>
      <c r="F205" s="35"/>
      <c r="G205" s="35"/>
    </row>
    <row r="206" spans="2:7" x14ac:dyDescent="0.25">
      <c r="B206" s="23" t="s">
        <v>83</v>
      </c>
      <c r="C206" s="12">
        <v>807</v>
      </c>
      <c r="D206" s="18"/>
      <c r="E206" s="35"/>
      <c r="F206" s="35"/>
      <c r="G206" s="35"/>
    </row>
    <row r="207" spans="2:7" x14ac:dyDescent="0.25">
      <c r="B207" s="23" t="s">
        <v>83</v>
      </c>
      <c r="C207" s="12">
        <v>808</v>
      </c>
      <c r="D207" s="18"/>
      <c r="E207" s="35"/>
      <c r="F207" s="35"/>
      <c r="G207" s="35"/>
    </row>
    <row r="208" spans="2:7" x14ac:dyDescent="0.25">
      <c r="B208" s="23" t="s">
        <v>83</v>
      </c>
      <c r="C208" s="12">
        <v>809</v>
      </c>
      <c r="D208" s="18"/>
      <c r="E208" s="35"/>
      <c r="F208" s="35"/>
      <c r="G208" s="35"/>
    </row>
    <row r="209" spans="2:7" x14ac:dyDescent="0.25">
      <c r="B209" s="23" t="s">
        <v>83</v>
      </c>
      <c r="C209" s="12">
        <v>810</v>
      </c>
      <c r="D209" s="18"/>
      <c r="E209" s="35"/>
      <c r="F209" s="35"/>
      <c r="G209" s="35"/>
    </row>
    <row r="210" spans="2:7" x14ac:dyDescent="0.25">
      <c r="B210" s="23" t="s">
        <v>83</v>
      </c>
      <c r="C210" s="12">
        <v>811</v>
      </c>
      <c r="D210" s="18"/>
      <c r="E210" s="35"/>
      <c r="F210" s="35"/>
      <c r="G210" s="35"/>
    </row>
    <row r="211" spans="2:7" x14ac:dyDescent="0.25">
      <c r="B211" s="23" t="s">
        <v>83</v>
      </c>
      <c r="C211" s="12">
        <v>812</v>
      </c>
      <c r="D211" s="18"/>
      <c r="E211" s="35"/>
      <c r="F211" s="35"/>
      <c r="G211" s="35"/>
    </row>
    <row r="212" spans="2:7" x14ac:dyDescent="0.25">
      <c r="B212" s="23" t="s">
        <v>83</v>
      </c>
      <c r="C212" s="12">
        <v>813</v>
      </c>
      <c r="D212" s="18"/>
      <c r="E212" s="35"/>
      <c r="F212" s="35"/>
      <c r="G212" s="35"/>
    </row>
    <row r="213" spans="2:7" x14ac:dyDescent="0.25">
      <c r="B213" s="23" t="s">
        <v>83</v>
      </c>
      <c r="C213" s="12">
        <v>814</v>
      </c>
      <c r="D213" s="18"/>
      <c r="E213" s="35"/>
      <c r="F213" s="35"/>
      <c r="G213" s="35"/>
    </row>
    <row r="214" spans="2:7" x14ac:dyDescent="0.25">
      <c r="B214" s="23" t="s">
        <v>83</v>
      </c>
      <c r="C214" s="12">
        <v>815</v>
      </c>
      <c r="D214" s="18"/>
      <c r="E214" s="35"/>
      <c r="F214" s="35"/>
      <c r="G214" s="35"/>
    </row>
    <row r="215" spans="2:7" x14ac:dyDescent="0.25">
      <c r="B215" s="23" t="s">
        <v>83</v>
      </c>
      <c r="C215" s="12">
        <v>816</v>
      </c>
      <c r="D215" s="18"/>
      <c r="E215" s="35"/>
      <c r="F215" s="35"/>
      <c r="G215" s="35"/>
    </row>
    <row r="216" spans="2:7" x14ac:dyDescent="0.25">
      <c r="B216" s="23" t="s">
        <v>83</v>
      </c>
      <c r="C216" s="12">
        <v>817</v>
      </c>
      <c r="D216" s="18"/>
      <c r="E216" s="35"/>
      <c r="F216" s="35"/>
      <c r="G216" s="35"/>
    </row>
    <row r="217" spans="2:7" x14ac:dyDescent="0.25">
      <c r="B217" s="23" t="s">
        <v>83</v>
      </c>
      <c r="C217" s="12">
        <v>818</v>
      </c>
      <c r="D217" s="18"/>
      <c r="E217" s="35"/>
      <c r="F217" s="35"/>
      <c r="G217" s="35"/>
    </row>
    <row r="218" spans="2:7" x14ac:dyDescent="0.25">
      <c r="B218" s="23" t="s">
        <v>83</v>
      </c>
      <c r="C218" s="12">
        <v>819</v>
      </c>
      <c r="D218" s="18"/>
      <c r="E218" s="35"/>
      <c r="F218" s="35"/>
      <c r="G218" s="35"/>
    </row>
    <row r="219" spans="2:7" x14ac:dyDescent="0.25">
      <c r="B219" s="23" t="s">
        <v>83</v>
      </c>
      <c r="C219" s="12">
        <v>820</v>
      </c>
      <c r="D219" s="18"/>
      <c r="E219" s="35"/>
      <c r="F219" s="35"/>
      <c r="G219" s="35"/>
    </row>
    <row r="220" spans="2:7" x14ac:dyDescent="0.25">
      <c r="B220" s="23" t="s">
        <v>83</v>
      </c>
      <c r="C220" s="12">
        <v>821</v>
      </c>
      <c r="D220" s="18"/>
      <c r="E220" s="35"/>
      <c r="F220" s="35"/>
      <c r="G220" s="35"/>
    </row>
    <row r="221" spans="2:7" x14ac:dyDescent="0.25">
      <c r="B221" s="23" t="s">
        <v>83</v>
      </c>
      <c r="C221" s="12">
        <v>822</v>
      </c>
      <c r="D221" s="18"/>
      <c r="E221" s="35"/>
      <c r="F221" s="35"/>
      <c r="G221" s="35"/>
    </row>
    <row r="222" spans="2:7" x14ac:dyDescent="0.25">
      <c r="B222" s="23" t="s">
        <v>83</v>
      </c>
      <c r="C222" s="12">
        <v>823</v>
      </c>
      <c r="D222" s="18"/>
      <c r="E222" s="35"/>
      <c r="F222" s="35"/>
      <c r="G222" s="35"/>
    </row>
    <row r="223" spans="2:7" x14ac:dyDescent="0.25">
      <c r="B223" s="23" t="s">
        <v>83</v>
      </c>
      <c r="C223" s="12">
        <v>824</v>
      </c>
      <c r="D223" s="18"/>
      <c r="E223" s="35"/>
      <c r="F223" s="35"/>
      <c r="G223" s="35"/>
    </row>
    <row r="224" spans="2:7" x14ac:dyDescent="0.25">
      <c r="B224" s="23" t="s">
        <v>83</v>
      </c>
      <c r="C224" s="12">
        <v>825</v>
      </c>
      <c r="D224" s="19"/>
      <c r="E224" s="38"/>
      <c r="F224" s="38"/>
      <c r="G224" s="38"/>
    </row>
  </sheetData>
  <sheetProtection algorithmName="SHA-512" hashValue="TTv5yfdWySkGc2mkwvhytOO75003ofsttOzm9+tI4J2VXBQI1ePjgFxjzJgCQJuVKV6uECJQgJtWtgkAh+1Lgw==" saltValue="GXo2cETfICqgwwmmPOOeXg=="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8"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05"/>
  <dimension ref="A1:I96"/>
  <sheetViews>
    <sheetView showGridLines="0" zoomScale="85" zoomScaleNormal="85" workbookViewId="0">
      <selection activeCell="A4" sqref="A4"/>
    </sheetView>
  </sheetViews>
  <sheetFormatPr defaultColWidth="10" defaultRowHeight="13.2" x14ac:dyDescent="0.25"/>
  <cols>
    <col min="1" max="1" width="31.88671875" style="27" customWidth="1"/>
    <col min="2" max="2" width="22.88671875" style="27" customWidth="1"/>
    <col min="3" max="3" width="28.1093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Pension Credit - x-315</v>
      </c>
      <c r="B3" s="42"/>
      <c r="C3" s="42"/>
      <c r="D3" s="42"/>
      <c r="E3" s="42"/>
      <c r="F3" s="42"/>
      <c r="G3" s="42"/>
      <c r="H3" s="42"/>
      <c r="I3" s="42"/>
    </row>
    <row r="4" spans="1:9" x14ac:dyDescent="0.25">
      <c r="A4" s="44"/>
    </row>
    <row r="6" spans="1:9" x14ac:dyDescent="0.25">
      <c r="A6" s="85" t="s">
        <v>484</v>
      </c>
      <c r="B6" s="163" t="s">
        <v>485</v>
      </c>
      <c r="C6" s="163"/>
    </row>
    <row r="7" spans="1:9" x14ac:dyDescent="0.25">
      <c r="A7" s="165" t="s">
        <v>486</v>
      </c>
      <c r="B7" s="163" t="s">
        <v>81</v>
      </c>
      <c r="C7" s="163"/>
    </row>
    <row r="8" spans="1:9" x14ac:dyDescent="0.25">
      <c r="A8" s="165" t="s">
        <v>282</v>
      </c>
      <c r="B8" s="163">
        <v>2006</v>
      </c>
      <c r="C8" s="163"/>
    </row>
    <row r="9" spans="1:9" x14ac:dyDescent="0.25">
      <c r="A9" s="165" t="s">
        <v>283</v>
      </c>
      <c r="B9" s="163" t="s">
        <v>332</v>
      </c>
      <c r="C9" s="163"/>
    </row>
    <row r="10" spans="1:9" x14ac:dyDescent="0.25">
      <c r="A10" s="165" t="s">
        <v>6</v>
      </c>
      <c r="B10" s="163" t="s">
        <v>338</v>
      </c>
      <c r="C10" s="163"/>
    </row>
    <row r="11" spans="1:9" x14ac:dyDescent="0.25">
      <c r="A11" s="165" t="s">
        <v>284</v>
      </c>
      <c r="B11" s="163" t="s">
        <v>334</v>
      </c>
      <c r="C11" s="163"/>
    </row>
    <row r="12" spans="1:9" x14ac:dyDescent="0.25">
      <c r="A12" s="165" t="s">
        <v>285</v>
      </c>
      <c r="B12" s="163" t="s">
        <v>295</v>
      </c>
      <c r="C12" s="163"/>
    </row>
    <row r="13" spans="1:9" hidden="1" x14ac:dyDescent="0.25">
      <c r="A13" s="165" t="s">
        <v>493</v>
      </c>
      <c r="B13" s="163">
        <v>1</v>
      </c>
      <c r="C13" s="163"/>
    </row>
    <row r="14" spans="1:9" hidden="1" x14ac:dyDescent="0.25">
      <c r="A14" s="165" t="s">
        <v>287</v>
      </c>
      <c r="B14" s="163">
        <v>315</v>
      </c>
      <c r="C14" s="163"/>
    </row>
    <row r="15" spans="1:9" x14ac:dyDescent="0.25">
      <c r="A15" s="165" t="s">
        <v>496</v>
      </c>
      <c r="B15" s="163" t="s">
        <v>339</v>
      </c>
      <c r="C15" s="163"/>
    </row>
    <row r="16" spans="1:9" x14ac:dyDescent="0.25">
      <c r="A16" s="165" t="s">
        <v>288</v>
      </c>
      <c r="B16" s="163" t="s">
        <v>340</v>
      </c>
      <c r="C16" s="163"/>
    </row>
    <row r="17" spans="1:3" x14ac:dyDescent="0.25">
      <c r="A17" s="165" t="s">
        <v>568</v>
      </c>
      <c r="B17" s="163"/>
      <c r="C17" s="163"/>
    </row>
    <row r="18" spans="1:3" x14ac:dyDescent="0.25">
      <c r="A18" s="165" t="s">
        <v>500</v>
      </c>
      <c r="B18" s="166">
        <v>45070</v>
      </c>
      <c r="C18" s="163"/>
    </row>
    <row r="19" spans="1:3" x14ac:dyDescent="0.25">
      <c r="A19" s="165" t="s">
        <v>290</v>
      </c>
      <c r="B19" s="166">
        <v>45014</v>
      </c>
      <c r="C19" s="163"/>
    </row>
    <row r="20" spans="1:3" x14ac:dyDescent="0.25">
      <c r="A20" s="165" t="s">
        <v>291</v>
      </c>
      <c r="B20" s="163" t="s">
        <v>298</v>
      </c>
      <c r="C20" s="163"/>
    </row>
    <row r="21" spans="1:3" x14ac:dyDescent="0.25">
      <c r="A21" s="150" t="s">
        <v>569</v>
      </c>
      <c r="B21" s="163" t="s">
        <v>297</v>
      </c>
      <c r="C21" s="163"/>
    </row>
    <row r="23" spans="1:3" x14ac:dyDescent="0.25">
      <c r="B23" s="91" t="str">
        <f>HYPERLINK("#'Factor List'!A1","Back to Factor List")</f>
        <v>Back to Factor List</v>
      </c>
    </row>
    <row r="24" spans="1:3" x14ac:dyDescent="0.25">
      <c r="B24" s="91" t="str">
        <f>HYPERLINK("#'Assumptions'!A1","Assumptions")</f>
        <v>Assumptions</v>
      </c>
    </row>
    <row r="26" spans="1:3" ht="26.4" x14ac:dyDescent="0.25">
      <c r="A26" s="87" t="s">
        <v>570</v>
      </c>
      <c r="B26" s="87" t="s">
        <v>605</v>
      </c>
      <c r="C26" s="87" t="s">
        <v>606</v>
      </c>
    </row>
    <row r="27" spans="1:3" x14ac:dyDescent="0.25">
      <c r="A27" s="88">
        <v>16</v>
      </c>
      <c r="B27" s="89">
        <v>10.74</v>
      </c>
      <c r="C27" s="89">
        <v>10.74</v>
      </c>
    </row>
    <row r="28" spans="1:3" x14ac:dyDescent="0.25">
      <c r="A28" s="88">
        <v>17</v>
      </c>
      <c r="B28" s="89">
        <v>10.89</v>
      </c>
      <c r="C28" s="89">
        <v>10.89</v>
      </c>
    </row>
    <row r="29" spans="1:3" x14ac:dyDescent="0.25">
      <c r="A29" s="88">
        <v>18</v>
      </c>
      <c r="B29" s="89">
        <v>11.05</v>
      </c>
      <c r="C29" s="89">
        <v>11.05</v>
      </c>
    </row>
    <row r="30" spans="1:3" x14ac:dyDescent="0.25">
      <c r="A30" s="88">
        <v>19</v>
      </c>
      <c r="B30" s="89">
        <v>11.21</v>
      </c>
      <c r="C30" s="89">
        <v>11.21</v>
      </c>
    </row>
    <row r="31" spans="1:3" x14ac:dyDescent="0.25">
      <c r="A31" s="88">
        <v>20</v>
      </c>
      <c r="B31" s="89">
        <v>11.37</v>
      </c>
      <c r="C31" s="89">
        <v>11.37</v>
      </c>
    </row>
    <row r="32" spans="1:3" x14ac:dyDescent="0.25">
      <c r="A32" s="88">
        <v>21</v>
      </c>
      <c r="B32" s="89">
        <v>11.53</v>
      </c>
      <c r="C32" s="89">
        <v>11.53</v>
      </c>
    </row>
    <row r="33" spans="1:3" x14ac:dyDescent="0.25">
      <c r="A33" s="88">
        <v>22</v>
      </c>
      <c r="B33" s="89">
        <v>11.7</v>
      </c>
      <c r="C33" s="89">
        <v>11.7</v>
      </c>
    </row>
    <row r="34" spans="1:3" x14ac:dyDescent="0.25">
      <c r="A34" s="88">
        <v>23</v>
      </c>
      <c r="B34" s="89">
        <v>11.86</v>
      </c>
      <c r="C34" s="89">
        <v>11.86</v>
      </c>
    </row>
    <row r="35" spans="1:3" x14ac:dyDescent="0.25">
      <c r="A35" s="88">
        <v>24</v>
      </c>
      <c r="B35" s="89">
        <v>12.03</v>
      </c>
      <c r="C35" s="89">
        <v>12.03</v>
      </c>
    </row>
    <row r="36" spans="1:3" x14ac:dyDescent="0.25">
      <c r="A36" s="88">
        <v>25</v>
      </c>
      <c r="B36" s="89">
        <v>12.21</v>
      </c>
      <c r="C36" s="89">
        <v>12.21</v>
      </c>
    </row>
    <row r="37" spans="1:3" x14ac:dyDescent="0.25">
      <c r="A37" s="88">
        <v>26</v>
      </c>
      <c r="B37" s="89">
        <v>12.38</v>
      </c>
      <c r="C37" s="89">
        <v>12.38</v>
      </c>
    </row>
    <row r="38" spans="1:3" x14ac:dyDescent="0.25">
      <c r="A38" s="88">
        <v>27</v>
      </c>
      <c r="B38" s="89">
        <v>12.56</v>
      </c>
      <c r="C38" s="89">
        <v>12.56</v>
      </c>
    </row>
    <row r="39" spans="1:3" x14ac:dyDescent="0.25">
      <c r="A39" s="88">
        <v>28</v>
      </c>
      <c r="B39" s="89">
        <v>12.74</v>
      </c>
      <c r="C39" s="89">
        <v>12.74</v>
      </c>
    </row>
    <row r="40" spans="1:3" x14ac:dyDescent="0.25">
      <c r="A40" s="88">
        <v>29</v>
      </c>
      <c r="B40" s="89">
        <v>12.92</v>
      </c>
      <c r="C40" s="89">
        <v>12.92</v>
      </c>
    </row>
    <row r="41" spans="1:3" x14ac:dyDescent="0.25">
      <c r="A41" s="88">
        <v>30</v>
      </c>
      <c r="B41" s="89">
        <v>13.11</v>
      </c>
      <c r="C41" s="89">
        <v>13.11</v>
      </c>
    </row>
    <row r="42" spans="1:3" x14ac:dyDescent="0.25">
      <c r="A42" s="88">
        <v>31</v>
      </c>
      <c r="B42" s="89">
        <v>13.3</v>
      </c>
      <c r="C42" s="89">
        <v>13.3</v>
      </c>
    </row>
    <row r="43" spans="1:3" x14ac:dyDescent="0.25">
      <c r="A43" s="88">
        <v>32</v>
      </c>
      <c r="B43" s="89">
        <v>13.49</v>
      </c>
      <c r="C43" s="89">
        <v>13.49</v>
      </c>
    </row>
    <row r="44" spans="1:3" x14ac:dyDescent="0.25">
      <c r="A44" s="88">
        <v>33</v>
      </c>
      <c r="B44" s="89">
        <v>13.69</v>
      </c>
      <c r="C44" s="89">
        <v>13.69</v>
      </c>
    </row>
    <row r="45" spans="1:3" x14ac:dyDescent="0.25">
      <c r="A45" s="88">
        <v>34</v>
      </c>
      <c r="B45" s="89">
        <v>13.89</v>
      </c>
      <c r="C45" s="89">
        <v>13.89</v>
      </c>
    </row>
    <row r="46" spans="1:3" x14ac:dyDescent="0.25">
      <c r="A46" s="88">
        <v>35</v>
      </c>
      <c r="B46" s="89">
        <v>14.09</v>
      </c>
      <c r="C46" s="89">
        <v>14.09</v>
      </c>
    </row>
    <row r="47" spans="1:3" x14ac:dyDescent="0.25">
      <c r="A47" s="88">
        <v>36</v>
      </c>
      <c r="B47" s="89">
        <v>14.3</v>
      </c>
      <c r="C47" s="89">
        <v>14.3</v>
      </c>
    </row>
    <row r="48" spans="1:3" x14ac:dyDescent="0.25">
      <c r="A48" s="88">
        <v>37</v>
      </c>
      <c r="B48" s="89">
        <v>14.51</v>
      </c>
      <c r="C48" s="89">
        <v>14.51</v>
      </c>
    </row>
    <row r="49" spans="1:3" x14ac:dyDescent="0.25">
      <c r="A49" s="88">
        <v>38</v>
      </c>
      <c r="B49" s="89">
        <v>14.72</v>
      </c>
      <c r="C49" s="89">
        <v>14.72</v>
      </c>
    </row>
    <row r="50" spans="1:3" x14ac:dyDescent="0.25">
      <c r="A50" s="88">
        <v>39</v>
      </c>
      <c r="B50" s="89">
        <v>14.94</v>
      </c>
      <c r="C50" s="89">
        <v>14.94</v>
      </c>
    </row>
    <row r="51" spans="1:3" x14ac:dyDescent="0.25">
      <c r="A51" s="88">
        <v>40</v>
      </c>
      <c r="B51" s="89">
        <v>15.17</v>
      </c>
      <c r="C51" s="89">
        <v>15.17</v>
      </c>
    </row>
    <row r="52" spans="1:3" x14ac:dyDescent="0.25">
      <c r="A52" s="88">
        <v>41</v>
      </c>
      <c r="B52" s="89">
        <v>15.4</v>
      </c>
      <c r="C52" s="89">
        <v>15.4</v>
      </c>
    </row>
    <row r="53" spans="1:3" x14ac:dyDescent="0.25">
      <c r="A53" s="88">
        <v>42</v>
      </c>
      <c r="B53" s="89">
        <v>15.63</v>
      </c>
      <c r="C53" s="89">
        <v>15.63</v>
      </c>
    </row>
    <row r="54" spans="1:3" x14ac:dyDescent="0.25">
      <c r="A54" s="88">
        <v>43</v>
      </c>
      <c r="B54" s="89">
        <v>15.87</v>
      </c>
      <c r="C54" s="89">
        <v>15.87</v>
      </c>
    </row>
    <row r="55" spans="1:3" x14ac:dyDescent="0.25">
      <c r="A55" s="88">
        <v>44</v>
      </c>
      <c r="B55" s="89">
        <v>16.12</v>
      </c>
      <c r="C55" s="89">
        <v>16.12</v>
      </c>
    </row>
    <row r="56" spans="1:3" x14ac:dyDescent="0.25">
      <c r="A56" s="88">
        <v>45</v>
      </c>
      <c r="B56" s="89">
        <v>16.37</v>
      </c>
      <c r="C56" s="89">
        <v>16.37</v>
      </c>
    </row>
    <row r="57" spans="1:3" x14ac:dyDescent="0.25">
      <c r="A57" s="88">
        <v>46</v>
      </c>
      <c r="B57" s="89">
        <v>16.63</v>
      </c>
      <c r="C57" s="89">
        <v>16.63</v>
      </c>
    </row>
    <row r="58" spans="1:3" x14ac:dyDescent="0.25">
      <c r="A58" s="88">
        <v>47</v>
      </c>
      <c r="B58" s="89">
        <v>16.899999999999999</v>
      </c>
      <c r="C58" s="89">
        <v>16.899999999999999</v>
      </c>
    </row>
    <row r="59" spans="1:3" x14ac:dyDescent="0.25">
      <c r="A59" s="88">
        <v>48</v>
      </c>
      <c r="B59" s="89">
        <v>17.18</v>
      </c>
      <c r="C59" s="89">
        <v>17.18</v>
      </c>
    </row>
    <row r="60" spans="1:3" x14ac:dyDescent="0.25">
      <c r="A60" s="88">
        <v>49</v>
      </c>
      <c r="B60" s="89">
        <v>17.46</v>
      </c>
      <c r="C60" s="89">
        <v>17.46</v>
      </c>
    </row>
    <row r="61" spans="1:3" x14ac:dyDescent="0.25">
      <c r="A61" s="88">
        <v>50</v>
      </c>
      <c r="B61" s="89">
        <v>17.760000000000002</v>
      </c>
      <c r="C61" s="89">
        <v>17.760000000000002</v>
      </c>
    </row>
    <row r="62" spans="1:3" x14ac:dyDescent="0.25">
      <c r="A62" s="88">
        <v>51</v>
      </c>
      <c r="B62" s="89">
        <v>18.059999999999999</v>
      </c>
      <c r="C62" s="89">
        <v>18.059999999999999</v>
      </c>
    </row>
    <row r="63" spans="1:3" x14ac:dyDescent="0.25">
      <c r="A63" s="88">
        <v>52</v>
      </c>
      <c r="B63" s="89">
        <v>18.37</v>
      </c>
      <c r="C63" s="89">
        <v>18.37</v>
      </c>
    </row>
    <row r="64" spans="1:3" x14ac:dyDescent="0.25">
      <c r="A64" s="88">
        <v>53</v>
      </c>
      <c r="B64" s="89">
        <v>18.690000000000001</v>
      </c>
      <c r="C64" s="89">
        <v>18.690000000000001</v>
      </c>
    </row>
    <row r="65" spans="1:3" x14ac:dyDescent="0.25">
      <c r="A65" s="88">
        <v>54</v>
      </c>
      <c r="B65" s="89">
        <v>19.03</v>
      </c>
      <c r="C65" s="89">
        <v>19.03</v>
      </c>
    </row>
    <row r="66" spans="1:3" x14ac:dyDescent="0.25">
      <c r="A66" s="88">
        <v>55</v>
      </c>
      <c r="B66" s="89">
        <v>19.37</v>
      </c>
      <c r="C66" s="89">
        <v>19.37</v>
      </c>
    </row>
    <row r="67" spans="1:3" x14ac:dyDescent="0.25">
      <c r="A67" s="88">
        <v>56</v>
      </c>
      <c r="B67" s="89">
        <v>19.73</v>
      </c>
      <c r="C67" s="89">
        <v>19.73</v>
      </c>
    </row>
    <row r="68" spans="1:3" x14ac:dyDescent="0.25">
      <c r="A68" s="88">
        <v>57</v>
      </c>
      <c r="B68" s="89">
        <v>20.09</v>
      </c>
      <c r="C68" s="89">
        <v>20.09</v>
      </c>
    </row>
    <row r="69" spans="1:3" x14ac:dyDescent="0.25">
      <c r="A69" s="88">
        <v>58</v>
      </c>
      <c r="B69" s="89">
        <v>20.48</v>
      </c>
      <c r="C69" s="89">
        <v>20.48</v>
      </c>
    </row>
    <row r="70" spans="1:3" x14ac:dyDescent="0.25">
      <c r="A70" s="88">
        <v>59</v>
      </c>
      <c r="B70" s="89">
        <v>20.88</v>
      </c>
      <c r="C70" s="89">
        <v>20.88</v>
      </c>
    </row>
    <row r="71" spans="1:3" x14ac:dyDescent="0.25">
      <c r="A71" s="88">
        <v>60</v>
      </c>
      <c r="B71" s="89">
        <v>20.77</v>
      </c>
      <c r="C71" s="89">
        <v>20.77</v>
      </c>
    </row>
    <row r="72" spans="1:3" x14ac:dyDescent="0.25">
      <c r="A72" s="88">
        <v>61</v>
      </c>
      <c r="B72" s="89">
        <v>20.16</v>
      </c>
      <c r="C72" s="89">
        <v>20.16</v>
      </c>
    </row>
    <row r="73" spans="1:3" x14ac:dyDescent="0.25">
      <c r="A73" s="88">
        <v>62</v>
      </c>
      <c r="B73" s="89">
        <v>19.55</v>
      </c>
      <c r="C73" s="89">
        <v>19.55</v>
      </c>
    </row>
    <row r="74" spans="1:3" x14ac:dyDescent="0.25">
      <c r="A74" s="88">
        <v>63</v>
      </c>
      <c r="B74" s="89">
        <v>18.93</v>
      </c>
      <c r="C74" s="89">
        <v>18.93</v>
      </c>
    </row>
    <row r="75" spans="1:3" x14ac:dyDescent="0.25">
      <c r="A75" s="88">
        <v>64</v>
      </c>
      <c r="B75" s="89">
        <v>18.32</v>
      </c>
      <c r="C75" s="89">
        <v>18.32</v>
      </c>
    </row>
    <row r="76" spans="1:3" x14ac:dyDescent="0.25">
      <c r="A76" s="88">
        <v>65</v>
      </c>
      <c r="B76" s="89">
        <v>17.71</v>
      </c>
      <c r="C76" s="89">
        <v>17.71</v>
      </c>
    </row>
    <row r="77" spans="1:3" x14ac:dyDescent="0.25">
      <c r="A77" s="88">
        <v>66</v>
      </c>
      <c r="B77" s="89">
        <v>17.100000000000001</v>
      </c>
      <c r="C77" s="89">
        <v>17.100000000000001</v>
      </c>
    </row>
    <row r="78" spans="1:3" x14ac:dyDescent="0.25">
      <c r="A78" s="88">
        <v>67</v>
      </c>
      <c r="B78" s="89">
        <v>16.489999999999998</v>
      </c>
      <c r="C78" s="89">
        <v>16.489999999999998</v>
      </c>
    </row>
    <row r="79" spans="1:3" x14ac:dyDescent="0.25">
      <c r="A79" s="88">
        <v>68</v>
      </c>
      <c r="B79" s="89">
        <v>15.88</v>
      </c>
      <c r="C79" s="89">
        <v>15.88</v>
      </c>
    </row>
    <row r="80" spans="1:3" x14ac:dyDescent="0.25">
      <c r="A80" s="88">
        <v>69</v>
      </c>
      <c r="B80" s="89">
        <v>15.26</v>
      </c>
      <c r="C80" s="89">
        <v>15.26</v>
      </c>
    </row>
    <row r="81" spans="1:3" x14ac:dyDescent="0.25">
      <c r="A81" s="88">
        <v>70</v>
      </c>
      <c r="B81" s="89">
        <v>14.64</v>
      </c>
      <c r="C81" s="89">
        <v>14.64</v>
      </c>
    </row>
    <row r="82" spans="1:3" x14ac:dyDescent="0.25">
      <c r="A82" s="88">
        <v>71</v>
      </c>
      <c r="B82" s="89">
        <v>14.02</v>
      </c>
      <c r="C82" s="89">
        <v>14.02</v>
      </c>
    </row>
    <row r="83" spans="1:3" x14ac:dyDescent="0.25">
      <c r="A83" s="88">
        <v>72</v>
      </c>
      <c r="B83" s="89">
        <v>13.4</v>
      </c>
      <c r="C83" s="89">
        <v>13.4</v>
      </c>
    </row>
    <row r="84" spans="1:3" x14ac:dyDescent="0.25">
      <c r="A84" s="88">
        <v>73</v>
      </c>
      <c r="B84" s="89">
        <v>12.78</v>
      </c>
      <c r="C84" s="89">
        <v>12.78</v>
      </c>
    </row>
    <row r="85" spans="1:3" x14ac:dyDescent="0.25">
      <c r="A85" s="88">
        <v>74</v>
      </c>
      <c r="B85" s="89">
        <v>12.17</v>
      </c>
      <c r="C85" s="89">
        <v>12.17</v>
      </c>
    </row>
    <row r="86" spans="1:3" x14ac:dyDescent="0.25">
      <c r="A86" s="88">
        <v>75</v>
      </c>
      <c r="B86" s="89">
        <v>11.56</v>
      </c>
      <c r="C86" s="89">
        <v>11.56</v>
      </c>
    </row>
    <row r="87" spans="1:3" x14ac:dyDescent="0.25">
      <c r="A87" s="88">
        <v>76</v>
      </c>
      <c r="B87" s="89">
        <v>10.96</v>
      </c>
      <c r="C87" s="89">
        <v>10.96</v>
      </c>
    </row>
    <row r="88" spans="1:3" x14ac:dyDescent="0.25">
      <c r="A88" s="88">
        <v>77</v>
      </c>
      <c r="B88" s="89">
        <v>10.36</v>
      </c>
      <c r="C88" s="89">
        <v>10.36</v>
      </c>
    </row>
    <row r="89" spans="1:3" x14ac:dyDescent="0.25">
      <c r="A89" s="88">
        <v>78</v>
      </c>
      <c r="B89" s="89">
        <v>9.77</v>
      </c>
      <c r="C89" s="89">
        <v>9.77</v>
      </c>
    </row>
    <row r="90" spans="1:3" x14ac:dyDescent="0.25">
      <c r="A90" s="88">
        <v>79</v>
      </c>
      <c r="B90" s="89">
        <v>9.1999999999999993</v>
      </c>
      <c r="C90" s="89">
        <v>9.1999999999999993</v>
      </c>
    </row>
    <row r="91" spans="1:3" x14ac:dyDescent="0.25">
      <c r="A91" s="88">
        <v>80</v>
      </c>
      <c r="B91" s="89">
        <v>8.6300000000000008</v>
      </c>
      <c r="C91" s="89">
        <v>8.6300000000000008</v>
      </c>
    </row>
    <row r="92" spans="1:3" x14ac:dyDescent="0.25">
      <c r="A92" s="88">
        <v>81</v>
      </c>
      <c r="B92" s="89">
        <v>8.08</v>
      </c>
      <c r="C92" s="89">
        <v>8.08</v>
      </c>
    </row>
    <row r="93" spans="1:3" x14ac:dyDescent="0.25">
      <c r="A93" s="88">
        <v>82</v>
      </c>
      <c r="B93" s="89">
        <v>7.54</v>
      </c>
      <c r="C93" s="89">
        <v>7.54</v>
      </c>
    </row>
    <row r="94" spans="1:3" x14ac:dyDescent="0.25">
      <c r="A94" s="88">
        <v>83</v>
      </c>
      <c r="B94" s="89">
        <v>7.02</v>
      </c>
      <c r="C94" s="89">
        <v>7.02</v>
      </c>
    </row>
    <row r="95" spans="1:3" x14ac:dyDescent="0.25">
      <c r="A95" s="88">
        <v>84</v>
      </c>
      <c r="B95" s="89">
        <v>6.52</v>
      </c>
      <c r="C95" s="89">
        <v>6.52</v>
      </c>
    </row>
    <row r="96" spans="1:3" x14ac:dyDescent="0.25">
      <c r="A96" s="88">
        <v>85</v>
      </c>
      <c r="B96" s="89">
        <v>6.03</v>
      </c>
      <c r="C96" s="89">
        <v>6.03</v>
      </c>
    </row>
  </sheetData>
  <sheetProtection algorithmName="SHA-512" hashValue="ueIWZvnpN/q3p8spt2ykCe1TFU6BKdSMLx8imbkaHMxETMstU/zDn8Jy4TnmBAEdAXFA68fkM15XM/0Il9lNzQ==" saltValue="cnSa6xh0epnIhSayFZo3Gg==" spinCount="100000" sheet="1" objects="1" scenarios="1"/>
  <conditionalFormatting sqref="A6:A21">
    <cfRule type="expression" dxfId="463" priority="3" stopIfTrue="1">
      <formula>MOD(ROW(),2)=0</formula>
    </cfRule>
    <cfRule type="expression" dxfId="462" priority="4" stopIfTrue="1">
      <formula>MOD(ROW(),2)&lt;&gt;0</formula>
    </cfRule>
  </conditionalFormatting>
  <conditionalFormatting sqref="A26:A96">
    <cfRule type="expression" dxfId="461" priority="9" stopIfTrue="1">
      <formula>MOD(ROW(),2)=0</formula>
    </cfRule>
    <cfRule type="expression" dxfId="460" priority="10" stopIfTrue="1">
      <formula>MOD(ROW(),2)&lt;&gt;0</formula>
    </cfRule>
  </conditionalFormatting>
  <conditionalFormatting sqref="B17:B21">
    <cfRule type="expression" dxfId="459" priority="7" stopIfTrue="1">
      <formula>MOD(ROW(),2)=0</formula>
    </cfRule>
    <cfRule type="expression" dxfId="458" priority="8" stopIfTrue="1">
      <formula>MOD(ROW(),2)&lt;&gt;0</formula>
    </cfRule>
  </conditionalFormatting>
  <conditionalFormatting sqref="B6:C21">
    <cfRule type="expression" dxfId="457" priority="23" stopIfTrue="1">
      <formula>MOD(ROW(),2)=0</formula>
    </cfRule>
    <cfRule type="expression" dxfId="456" priority="24" stopIfTrue="1">
      <formula>MOD(ROW(),2)&lt;&gt;0</formula>
    </cfRule>
  </conditionalFormatting>
  <conditionalFormatting sqref="B26:C96">
    <cfRule type="expression" dxfId="455" priority="11" stopIfTrue="1">
      <formula>MOD(ROW(),2)=0</formula>
    </cfRule>
    <cfRule type="expression" dxfId="454"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06"/>
  <dimension ref="A1:I94"/>
  <sheetViews>
    <sheetView showGridLines="0" zoomScale="85" zoomScaleNormal="85" workbookViewId="0">
      <selection activeCell="A4" sqref="A4"/>
    </sheetView>
  </sheetViews>
  <sheetFormatPr defaultColWidth="10" defaultRowHeight="13.2" x14ac:dyDescent="0.25"/>
  <cols>
    <col min="1" max="1" width="31.88671875" style="27" customWidth="1"/>
    <col min="2" max="5" width="22.88671875" style="27" customWidth="1"/>
    <col min="6"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Pension Credit - x-316</v>
      </c>
      <c r="B3" s="42"/>
      <c r="C3" s="42"/>
      <c r="D3" s="42"/>
      <c r="E3" s="42"/>
      <c r="F3" s="42"/>
      <c r="G3" s="42"/>
      <c r="H3" s="42"/>
      <c r="I3" s="42"/>
    </row>
    <row r="4" spans="1:9" x14ac:dyDescent="0.25">
      <c r="A4" s="44"/>
    </row>
    <row r="6" spans="1:9" x14ac:dyDescent="0.25">
      <c r="A6" s="85" t="s">
        <v>484</v>
      </c>
      <c r="B6" s="163" t="s">
        <v>485</v>
      </c>
      <c r="C6" s="163"/>
      <c r="D6" s="163"/>
      <c r="E6" s="163"/>
    </row>
    <row r="7" spans="1:9" x14ac:dyDescent="0.25">
      <c r="A7" s="165" t="s">
        <v>486</v>
      </c>
      <c r="B7" s="163" t="s">
        <v>81</v>
      </c>
      <c r="C7" s="163"/>
      <c r="D7" s="163"/>
      <c r="E7" s="163"/>
    </row>
    <row r="8" spans="1:9" x14ac:dyDescent="0.25">
      <c r="A8" s="165" t="s">
        <v>282</v>
      </c>
      <c r="B8" s="163">
        <v>2015</v>
      </c>
      <c r="C8" s="163"/>
      <c r="D8" s="163"/>
      <c r="E8" s="163"/>
    </row>
    <row r="9" spans="1:9" x14ac:dyDescent="0.25">
      <c r="A9" s="165" t="s">
        <v>283</v>
      </c>
      <c r="B9" s="163" t="s">
        <v>332</v>
      </c>
      <c r="C9" s="163"/>
      <c r="D9" s="163"/>
      <c r="E9" s="163"/>
    </row>
    <row r="10" spans="1:9" x14ac:dyDescent="0.25">
      <c r="A10" s="165" t="s">
        <v>6</v>
      </c>
      <c r="B10" s="163" t="s">
        <v>341</v>
      </c>
      <c r="C10" s="163"/>
      <c r="D10" s="163"/>
      <c r="E10" s="163"/>
    </row>
    <row r="11" spans="1:9" x14ac:dyDescent="0.25">
      <c r="A11" s="165" t="s">
        <v>284</v>
      </c>
      <c r="B11" s="163" t="s">
        <v>299</v>
      </c>
      <c r="C11" s="163"/>
      <c r="D11" s="163"/>
      <c r="E11" s="163"/>
    </row>
    <row r="12" spans="1:9" x14ac:dyDescent="0.25">
      <c r="A12" s="165" t="s">
        <v>285</v>
      </c>
      <c r="B12" s="163" t="s">
        <v>295</v>
      </c>
      <c r="C12" s="163"/>
      <c r="D12" s="163"/>
      <c r="E12" s="163"/>
    </row>
    <row r="13" spans="1:9" hidden="1" x14ac:dyDescent="0.25">
      <c r="A13" s="165" t="s">
        <v>493</v>
      </c>
      <c r="B13" s="163">
        <v>0</v>
      </c>
      <c r="C13" s="163"/>
      <c r="D13" s="163"/>
      <c r="E13" s="163"/>
    </row>
    <row r="14" spans="1:9" hidden="1" x14ac:dyDescent="0.25">
      <c r="A14" s="165" t="s">
        <v>287</v>
      </c>
      <c r="B14" s="163">
        <v>316</v>
      </c>
      <c r="C14" s="163"/>
      <c r="D14" s="163"/>
      <c r="E14" s="163"/>
    </row>
    <row r="15" spans="1:9" x14ac:dyDescent="0.25">
      <c r="A15" s="165" t="s">
        <v>496</v>
      </c>
      <c r="B15" s="163" t="s">
        <v>342</v>
      </c>
      <c r="C15" s="163"/>
      <c r="D15" s="163"/>
      <c r="E15" s="163"/>
    </row>
    <row r="16" spans="1:9" x14ac:dyDescent="0.25">
      <c r="A16" s="165" t="s">
        <v>288</v>
      </c>
      <c r="B16" s="163" t="s">
        <v>343</v>
      </c>
      <c r="C16" s="163"/>
      <c r="D16" s="163"/>
      <c r="E16" s="163"/>
    </row>
    <row r="17" spans="1:5" x14ac:dyDescent="0.25">
      <c r="A17" s="165" t="s">
        <v>568</v>
      </c>
      <c r="B17" s="163"/>
      <c r="C17" s="163"/>
      <c r="D17" s="163"/>
      <c r="E17" s="163"/>
    </row>
    <row r="18" spans="1:5" x14ac:dyDescent="0.25">
      <c r="A18" s="165" t="s">
        <v>500</v>
      </c>
      <c r="B18" s="166">
        <v>45070</v>
      </c>
      <c r="C18" s="163"/>
      <c r="D18" s="163"/>
      <c r="E18" s="163"/>
    </row>
    <row r="19" spans="1:5" x14ac:dyDescent="0.25">
      <c r="A19" s="165" t="s">
        <v>290</v>
      </c>
      <c r="B19" s="166">
        <v>45014</v>
      </c>
      <c r="C19" s="163"/>
      <c r="D19" s="163"/>
      <c r="E19" s="163"/>
    </row>
    <row r="20" spans="1:5" x14ac:dyDescent="0.25">
      <c r="A20" s="165" t="s">
        <v>291</v>
      </c>
      <c r="B20" s="163" t="s">
        <v>298</v>
      </c>
      <c r="C20" s="163"/>
      <c r="D20" s="163"/>
      <c r="E20" s="163"/>
    </row>
    <row r="21" spans="1:5" x14ac:dyDescent="0.25">
      <c r="A21" s="150" t="s">
        <v>569</v>
      </c>
      <c r="B21" s="163" t="s">
        <v>297</v>
      </c>
      <c r="C21" s="163"/>
      <c r="D21" s="163"/>
      <c r="E21" s="163"/>
    </row>
    <row r="23" spans="1:5" x14ac:dyDescent="0.25">
      <c r="B23" s="91" t="str">
        <f>HYPERLINK("#'Factor List'!A1","Back to Factor List")</f>
        <v>Back to Factor List</v>
      </c>
    </row>
    <row r="24" spans="1:5" x14ac:dyDescent="0.25">
      <c r="B24" s="91" t="str">
        <f>HYPERLINK("#'Assumptions'!A1","Assumptions")</f>
        <v>Assumptions</v>
      </c>
    </row>
    <row r="26" spans="1:5" x14ac:dyDescent="0.25">
      <c r="A26" s="87" t="s">
        <v>570</v>
      </c>
      <c r="B26" s="87" t="s">
        <v>607</v>
      </c>
      <c r="C26" s="87" t="s">
        <v>608</v>
      </c>
      <c r="D26" s="87" t="s">
        <v>609</v>
      </c>
      <c r="E26" s="87" t="s">
        <v>610</v>
      </c>
    </row>
    <row r="27" spans="1:5" x14ac:dyDescent="0.25">
      <c r="A27" s="88">
        <v>18</v>
      </c>
      <c r="B27" s="89">
        <v>8.8000000000000007</v>
      </c>
      <c r="C27" s="89">
        <v>8.3800000000000008</v>
      </c>
      <c r="D27" s="89">
        <v>7.97</v>
      </c>
      <c r="E27" s="89">
        <v>7.57</v>
      </c>
    </row>
    <row r="28" spans="1:5" x14ac:dyDescent="0.25">
      <c r="A28" s="88">
        <v>19</v>
      </c>
      <c r="B28" s="89">
        <v>8.92</v>
      </c>
      <c r="C28" s="89">
        <v>8.5</v>
      </c>
      <c r="D28" s="89">
        <v>8.08</v>
      </c>
      <c r="E28" s="89">
        <v>7.67</v>
      </c>
    </row>
    <row r="29" spans="1:5" x14ac:dyDescent="0.25">
      <c r="A29" s="88">
        <v>20</v>
      </c>
      <c r="B29" s="89">
        <v>9.0500000000000007</v>
      </c>
      <c r="C29" s="89">
        <v>8.61</v>
      </c>
      <c r="D29" s="89">
        <v>8.19</v>
      </c>
      <c r="E29" s="89">
        <v>7.77</v>
      </c>
    </row>
    <row r="30" spans="1:5" x14ac:dyDescent="0.25">
      <c r="A30" s="88">
        <v>21</v>
      </c>
      <c r="B30" s="89">
        <v>9.17</v>
      </c>
      <c r="C30" s="89">
        <v>8.73</v>
      </c>
      <c r="D30" s="89">
        <v>8.3000000000000007</v>
      </c>
      <c r="E30" s="89">
        <v>7.88</v>
      </c>
    </row>
    <row r="31" spans="1:5" x14ac:dyDescent="0.25">
      <c r="A31" s="88">
        <v>22</v>
      </c>
      <c r="B31" s="89">
        <v>9.3000000000000007</v>
      </c>
      <c r="C31" s="89">
        <v>8.85</v>
      </c>
      <c r="D31" s="89">
        <v>8.41</v>
      </c>
      <c r="E31" s="89">
        <v>7.98</v>
      </c>
    </row>
    <row r="32" spans="1:5" x14ac:dyDescent="0.25">
      <c r="A32" s="88">
        <v>23</v>
      </c>
      <c r="B32" s="89">
        <v>9.43</v>
      </c>
      <c r="C32" s="89">
        <v>8.9700000000000006</v>
      </c>
      <c r="D32" s="89">
        <v>8.5299999999999994</v>
      </c>
      <c r="E32" s="89">
        <v>8.09</v>
      </c>
    </row>
    <row r="33" spans="1:5" x14ac:dyDescent="0.25">
      <c r="A33" s="88">
        <v>24</v>
      </c>
      <c r="B33" s="89">
        <v>9.56</v>
      </c>
      <c r="C33" s="89">
        <v>9.09</v>
      </c>
      <c r="D33" s="89">
        <v>8.64</v>
      </c>
      <c r="E33" s="89">
        <v>8.1999999999999993</v>
      </c>
    </row>
    <row r="34" spans="1:5" x14ac:dyDescent="0.25">
      <c r="A34" s="88">
        <v>25</v>
      </c>
      <c r="B34" s="89">
        <v>9.69</v>
      </c>
      <c r="C34" s="89">
        <v>9.2200000000000006</v>
      </c>
      <c r="D34" s="89">
        <v>8.76</v>
      </c>
      <c r="E34" s="89">
        <v>8.31</v>
      </c>
    </row>
    <row r="35" spans="1:5" x14ac:dyDescent="0.25">
      <c r="A35" s="88">
        <v>26</v>
      </c>
      <c r="B35" s="89">
        <v>9.82</v>
      </c>
      <c r="C35" s="89">
        <v>9.34</v>
      </c>
      <c r="D35" s="89">
        <v>8.8800000000000008</v>
      </c>
      <c r="E35" s="89">
        <v>8.42</v>
      </c>
    </row>
    <row r="36" spans="1:5" x14ac:dyDescent="0.25">
      <c r="A36" s="88">
        <v>27</v>
      </c>
      <c r="B36" s="89">
        <v>9.9600000000000009</v>
      </c>
      <c r="C36" s="89">
        <v>9.4700000000000006</v>
      </c>
      <c r="D36" s="89">
        <v>9</v>
      </c>
      <c r="E36" s="89">
        <v>8.5299999999999994</v>
      </c>
    </row>
    <row r="37" spans="1:5" x14ac:dyDescent="0.25">
      <c r="A37" s="88">
        <v>28</v>
      </c>
      <c r="B37" s="89">
        <v>10.1</v>
      </c>
      <c r="C37" s="89">
        <v>9.6</v>
      </c>
      <c r="D37" s="89">
        <v>9.1199999999999992</v>
      </c>
      <c r="E37" s="89">
        <v>8.65</v>
      </c>
    </row>
    <row r="38" spans="1:5" x14ac:dyDescent="0.25">
      <c r="A38" s="88">
        <v>29</v>
      </c>
      <c r="B38" s="89">
        <v>10.24</v>
      </c>
      <c r="C38" s="89">
        <v>9.73</v>
      </c>
      <c r="D38" s="89">
        <v>9.24</v>
      </c>
      <c r="E38" s="89">
        <v>8.76</v>
      </c>
    </row>
    <row r="39" spans="1:5" x14ac:dyDescent="0.25">
      <c r="A39" s="88">
        <v>30</v>
      </c>
      <c r="B39" s="89">
        <v>10.38</v>
      </c>
      <c r="C39" s="89">
        <v>9.8699999999999992</v>
      </c>
      <c r="D39" s="89">
        <v>9.3699999999999992</v>
      </c>
      <c r="E39" s="89">
        <v>8.8800000000000008</v>
      </c>
    </row>
    <row r="40" spans="1:5" x14ac:dyDescent="0.25">
      <c r="A40" s="88">
        <v>31</v>
      </c>
      <c r="B40" s="89">
        <v>10.52</v>
      </c>
      <c r="C40" s="89">
        <v>10</v>
      </c>
      <c r="D40" s="89">
        <v>9.49</v>
      </c>
      <c r="E40" s="89">
        <v>9</v>
      </c>
    </row>
    <row r="41" spans="1:5" x14ac:dyDescent="0.25">
      <c r="A41" s="88">
        <v>32</v>
      </c>
      <c r="B41" s="89">
        <v>10.67</v>
      </c>
      <c r="C41" s="89">
        <v>10.14</v>
      </c>
      <c r="D41" s="89">
        <v>9.6199999999999992</v>
      </c>
      <c r="E41" s="89">
        <v>9.1199999999999992</v>
      </c>
    </row>
    <row r="42" spans="1:5" x14ac:dyDescent="0.25">
      <c r="A42" s="88">
        <v>33</v>
      </c>
      <c r="B42" s="89">
        <v>10.82</v>
      </c>
      <c r="C42" s="89">
        <v>10.28</v>
      </c>
      <c r="D42" s="89">
        <v>9.75</v>
      </c>
      <c r="E42" s="89">
        <v>9.24</v>
      </c>
    </row>
    <row r="43" spans="1:5" x14ac:dyDescent="0.25">
      <c r="A43" s="88">
        <v>34</v>
      </c>
      <c r="B43" s="89">
        <v>10.97</v>
      </c>
      <c r="C43" s="89">
        <v>10.42</v>
      </c>
      <c r="D43" s="89">
        <v>9.89</v>
      </c>
      <c r="E43" s="89">
        <v>9.3699999999999992</v>
      </c>
    </row>
    <row r="44" spans="1:5" x14ac:dyDescent="0.25">
      <c r="A44" s="88">
        <v>35</v>
      </c>
      <c r="B44" s="89">
        <v>11.12</v>
      </c>
      <c r="C44" s="89">
        <v>10.57</v>
      </c>
      <c r="D44" s="89">
        <v>10.02</v>
      </c>
      <c r="E44" s="89">
        <v>9.49</v>
      </c>
    </row>
    <row r="45" spans="1:5" x14ac:dyDescent="0.25">
      <c r="A45" s="88">
        <v>36</v>
      </c>
      <c r="B45" s="89">
        <v>11.28</v>
      </c>
      <c r="C45" s="89">
        <v>10.71</v>
      </c>
      <c r="D45" s="89">
        <v>10.16</v>
      </c>
      <c r="E45" s="89">
        <v>9.6199999999999992</v>
      </c>
    </row>
    <row r="46" spans="1:5" x14ac:dyDescent="0.25">
      <c r="A46" s="88">
        <v>37</v>
      </c>
      <c r="B46" s="89">
        <v>11.44</v>
      </c>
      <c r="C46" s="89">
        <v>10.86</v>
      </c>
      <c r="D46" s="89">
        <v>10.3</v>
      </c>
      <c r="E46" s="89">
        <v>9.76</v>
      </c>
    </row>
    <row r="47" spans="1:5" x14ac:dyDescent="0.25">
      <c r="A47" s="88">
        <v>38</v>
      </c>
      <c r="B47" s="89">
        <v>11.6</v>
      </c>
      <c r="C47" s="89">
        <v>11.02</v>
      </c>
      <c r="D47" s="89">
        <v>10.45</v>
      </c>
      <c r="E47" s="89">
        <v>9.89</v>
      </c>
    </row>
    <row r="48" spans="1:5" x14ac:dyDescent="0.25">
      <c r="A48" s="88">
        <v>39</v>
      </c>
      <c r="B48" s="89">
        <v>11.77</v>
      </c>
      <c r="C48" s="89">
        <v>11.17</v>
      </c>
      <c r="D48" s="89">
        <v>10.59</v>
      </c>
      <c r="E48" s="89">
        <v>10.029999999999999</v>
      </c>
    </row>
    <row r="49" spans="1:5" x14ac:dyDescent="0.25">
      <c r="A49" s="88">
        <v>40</v>
      </c>
      <c r="B49" s="89">
        <v>11.93</v>
      </c>
      <c r="C49" s="89">
        <v>11.33</v>
      </c>
      <c r="D49" s="89">
        <v>10.74</v>
      </c>
      <c r="E49" s="89">
        <v>10.17</v>
      </c>
    </row>
    <row r="50" spans="1:5" x14ac:dyDescent="0.25">
      <c r="A50" s="88">
        <v>41</v>
      </c>
      <c r="B50" s="89">
        <v>12.11</v>
      </c>
      <c r="C50" s="89">
        <v>11.49</v>
      </c>
      <c r="D50" s="89">
        <v>10.89</v>
      </c>
      <c r="E50" s="89">
        <v>10.31</v>
      </c>
    </row>
    <row r="51" spans="1:5" x14ac:dyDescent="0.25">
      <c r="A51" s="88">
        <v>42</v>
      </c>
      <c r="B51" s="89">
        <v>12.28</v>
      </c>
      <c r="C51" s="89">
        <v>11.66</v>
      </c>
      <c r="D51" s="89">
        <v>11.05</v>
      </c>
      <c r="E51" s="89">
        <v>10.45</v>
      </c>
    </row>
    <row r="52" spans="1:5" x14ac:dyDescent="0.25">
      <c r="A52" s="88">
        <v>43</v>
      </c>
      <c r="B52" s="89">
        <v>12.46</v>
      </c>
      <c r="C52" s="89">
        <v>11.83</v>
      </c>
      <c r="D52" s="89">
        <v>11.21</v>
      </c>
      <c r="E52" s="89">
        <v>10.6</v>
      </c>
    </row>
    <row r="53" spans="1:5" x14ac:dyDescent="0.25">
      <c r="A53" s="88">
        <v>44</v>
      </c>
      <c r="B53" s="89">
        <v>12.65</v>
      </c>
      <c r="C53" s="89">
        <v>12</v>
      </c>
      <c r="D53" s="89">
        <v>11.37</v>
      </c>
      <c r="E53" s="89">
        <v>10.75</v>
      </c>
    </row>
    <row r="54" spans="1:5" x14ac:dyDescent="0.25">
      <c r="A54" s="88">
        <v>45</v>
      </c>
      <c r="B54" s="89">
        <v>12.84</v>
      </c>
      <c r="C54" s="89">
        <v>12.18</v>
      </c>
      <c r="D54" s="89">
        <v>11.54</v>
      </c>
      <c r="E54" s="89">
        <v>10.91</v>
      </c>
    </row>
    <row r="55" spans="1:5" x14ac:dyDescent="0.25">
      <c r="A55" s="88">
        <v>46</v>
      </c>
      <c r="B55" s="89">
        <v>13.04</v>
      </c>
      <c r="C55" s="89">
        <v>12.37</v>
      </c>
      <c r="D55" s="89">
        <v>11.71</v>
      </c>
      <c r="E55" s="89">
        <v>11.07</v>
      </c>
    </row>
    <row r="56" spans="1:5" x14ac:dyDescent="0.25">
      <c r="A56" s="88">
        <v>47</v>
      </c>
      <c r="B56" s="89">
        <v>13.24</v>
      </c>
      <c r="C56" s="89">
        <v>12.56</v>
      </c>
      <c r="D56" s="89">
        <v>11.89</v>
      </c>
      <c r="E56" s="89">
        <v>11.24</v>
      </c>
    </row>
    <row r="57" spans="1:5" x14ac:dyDescent="0.25">
      <c r="A57" s="88">
        <v>48</v>
      </c>
      <c r="B57" s="89">
        <v>13.45</v>
      </c>
      <c r="C57" s="89">
        <v>12.75</v>
      </c>
      <c r="D57" s="89">
        <v>12.07</v>
      </c>
      <c r="E57" s="89">
        <v>11.41</v>
      </c>
    </row>
    <row r="58" spans="1:5" x14ac:dyDescent="0.25">
      <c r="A58" s="88">
        <v>49</v>
      </c>
      <c r="B58" s="89">
        <v>13.66</v>
      </c>
      <c r="C58" s="89">
        <v>12.95</v>
      </c>
      <c r="D58" s="89">
        <v>12.26</v>
      </c>
      <c r="E58" s="89">
        <v>11.59</v>
      </c>
    </row>
    <row r="59" spans="1:5" x14ac:dyDescent="0.25">
      <c r="A59" s="88">
        <v>50</v>
      </c>
      <c r="B59" s="89">
        <v>13.88</v>
      </c>
      <c r="C59" s="89">
        <v>13.16</v>
      </c>
      <c r="D59" s="89">
        <v>12.45</v>
      </c>
      <c r="E59" s="89">
        <v>11.77</v>
      </c>
    </row>
    <row r="60" spans="1:5" x14ac:dyDescent="0.25">
      <c r="A60" s="88">
        <v>51</v>
      </c>
      <c r="B60" s="89">
        <v>14.11</v>
      </c>
      <c r="C60" s="89">
        <v>13.37</v>
      </c>
      <c r="D60" s="89">
        <v>12.65</v>
      </c>
      <c r="E60" s="89">
        <v>11.95</v>
      </c>
    </row>
    <row r="61" spans="1:5" x14ac:dyDescent="0.25">
      <c r="A61" s="88">
        <v>52</v>
      </c>
      <c r="B61" s="89">
        <v>14.34</v>
      </c>
      <c r="C61" s="89">
        <v>13.59</v>
      </c>
      <c r="D61" s="89">
        <v>12.86</v>
      </c>
      <c r="E61" s="89">
        <v>12.15</v>
      </c>
    </row>
    <row r="62" spans="1:5" x14ac:dyDescent="0.25">
      <c r="A62" s="88">
        <v>53</v>
      </c>
      <c r="B62" s="89">
        <v>14.58</v>
      </c>
      <c r="C62" s="89">
        <v>13.82</v>
      </c>
      <c r="D62" s="89">
        <v>13.07</v>
      </c>
      <c r="E62" s="89">
        <v>12.34</v>
      </c>
    </row>
    <row r="63" spans="1:5" x14ac:dyDescent="0.25">
      <c r="A63" s="88">
        <v>54</v>
      </c>
      <c r="B63" s="89">
        <v>14.83</v>
      </c>
      <c r="C63" s="89">
        <v>14.05</v>
      </c>
      <c r="D63" s="89">
        <v>13.29</v>
      </c>
      <c r="E63" s="89">
        <v>12.55</v>
      </c>
    </row>
    <row r="64" spans="1:5" x14ac:dyDescent="0.25">
      <c r="A64" s="88">
        <v>55</v>
      </c>
      <c r="B64" s="89">
        <v>15.09</v>
      </c>
      <c r="C64" s="89">
        <v>14.29</v>
      </c>
      <c r="D64" s="89">
        <v>13.52</v>
      </c>
      <c r="E64" s="89">
        <v>12.76</v>
      </c>
    </row>
    <row r="65" spans="1:5" x14ac:dyDescent="0.25">
      <c r="A65" s="88">
        <v>56</v>
      </c>
      <c r="B65" s="89">
        <v>15.36</v>
      </c>
      <c r="C65" s="89">
        <v>14.54</v>
      </c>
      <c r="D65" s="89">
        <v>13.75</v>
      </c>
      <c r="E65" s="89">
        <v>12.98</v>
      </c>
    </row>
    <row r="66" spans="1:5" x14ac:dyDescent="0.25">
      <c r="A66" s="88">
        <v>57</v>
      </c>
      <c r="B66" s="89">
        <v>15.63</v>
      </c>
      <c r="C66" s="89">
        <v>14.8</v>
      </c>
      <c r="D66" s="89">
        <v>13.99</v>
      </c>
      <c r="E66" s="89">
        <v>13.21</v>
      </c>
    </row>
    <row r="67" spans="1:5" x14ac:dyDescent="0.25">
      <c r="A67" s="88">
        <v>58</v>
      </c>
      <c r="B67" s="89">
        <v>15.92</v>
      </c>
      <c r="C67" s="89">
        <v>15.07</v>
      </c>
      <c r="D67" s="89">
        <v>14.25</v>
      </c>
      <c r="E67" s="89">
        <v>13.44</v>
      </c>
    </row>
    <row r="68" spans="1:5" x14ac:dyDescent="0.25">
      <c r="A68" s="88">
        <v>59</v>
      </c>
      <c r="B68" s="89">
        <v>16.22</v>
      </c>
      <c r="C68" s="89">
        <v>15.35</v>
      </c>
      <c r="D68" s="89">
        <v>14.51</v>
      </c>
      <c r="E68" s="89">
        <v>13.69</v>
      </c>
    </row>
    <row r="69" spans="1:5" x14ac:dyDescent="0.25">
      <c r="A69" s="88">
        <v>60</v>
      </c>
      <c r="B69" s="89">
        <v>16.53</v>
      </c>
      <c r="C69" s="89">
        <v>15.65</v>
      </c>
      <c r="D69" s="89">
        <v>14.78</v>
      </c>
      <c r="E69" s="89">
        <v>13.94</v>
      </c>
    </row>
    <row r="70" spans="1:5" x14ac:dyDescent="0.25">
      <c r="A70" s="88">
        <v>61</v>
      </c>
      <c r="B70" s="89">
        <v>16.86</v>
      </c>
      <c r="C70" s="89">
        <v>15.95</v>
      </c>
      <c r="D70" s="89">
        <v>15.07</v>
      </c>
      <c r="E70" s="89">
        <v>14.21</v>
      </c>
    </row>
    <row r="71" spans="1:5" x14ac:dyDescent="0.25">
      <c r="A71" s="88">
        <v>62</v>
      </c>
      <c r="B71" s="89">
        <v>17.2</v>
      </c>
      <c r="C71" s="89">
        <v>16.27</v>
      </c>
      <c r="D71" s="89">
        <v>15.37</v>
      </c>
      <c r="E71" s="89">
        <v>14.49</v>
      </c>
    </row>
    <row r="72" spans="1:5" x14ac:dyDescent="0.25">
      <c r="A72" s="88">
        <v>63</v>
      </c>
      <c r="B72" s="89">
        <v>17.55</v>
      </c>
      <c r="C72" s="89">
        <v>16.61</v>
      </c>
      <c r="D72" s="89">
        <v>15.68</v>
      </c>
      <c r="E72" s="89">
        <v>14.78</v>
      </c>
    </row>
    <row r="73" spans="1:5" x14ac:dyDescent="0.25">
      <c r="A73" s="88">
        <v>64</v>
      </c>
      <c r="B73" s="89">
        <v>17.93</v>
      </c>
      <c r="C73" s="89">
        <v>16.96</v>
      </c>
      <c r="D73" s="89">
        <v>16.010000000000002</v>
      </c>
      <c r="E73" s="89">
        <v>15.09</v>
      </c>
    </row>
    <row r="74" spans="1:5" x14ac:dyDescent="0.25">
      <c r="A74" s="88">
        <v>65</v>
      </c>
      <c r="B74" s="89">
        <v>17.8</v>
      </c>
      <c r="C74" s="89">
        <v>17.329999999999998</v>
      </c>
      <c r="D74" s="89">
        <v>16.36</v>
      </c>
      <c r="E74" s="89">
        <v>15.42</v>
      </c>
    </row>
    <row r="75" spans="1:5" x14ac:dyDescent="0.25">
      <c r="A75" s="88">
        <v>66</v>
      </c>
      <c r="B75" s="89">
        <v>17.16</v>
      </c>
      <c r="C75" s="89">
        <v>17.2</v>
      </c>
      <c r="D75" s="89">
        <v>16.73</v>
      </c>
      <c r="E75" s="89">
        <v>15.76</v>
      </c>
    </row>
    <row r="76" spans="1:5" x14ac:dyDescent="0.25">
      <c r="A76" s="88">
        <v>67</v>
      </c>
      <c r="B76" s="89">
        <v>16.52</v>
      </c>
      <c r="C76" s="89">
        <v>16.55</v>
      </c>
      <c r="D76" s="89">
        <v>16.59</v>
      </c>
      <c r="E76" s="89">
        <v>16.13</v>
      </c>
    </row>
    <row r="77" spans="1:5" x14ac:dyDescent="0.25">
      <c r="A77" s="88">
        <v>68</v>
      </c>
      <c r="B77" s="89">
        <v>15.89</v>
      </c>
      <c r="C77" s="89">
        <v>15.91</v>
      </c>
      <c r="D77" s="89">
        <v>15.94</v>
      </c>
      <c r="E77" s="89">
        <v>15.99</v>
      </c>
    </row>
    <row r="78" spans="1:5" x14ac:dyDescent="0.25">
      <c r="A78" s="88">
        <v>69</v>
      </c>
      <c r="B78" s="89">
        <v>15.26</v>
      </c>
      <c r="C78" s="89">
        <v>15.27</v>
      </c>
      <c r="D78" s="89">
        <v>15.3</v>
      </c>
      <c r="E78" s="89">
        <v>15.33</v>
      </c>
    </row>
    <row r="79" spans="1:5" x14ac:dyDescent="0.25">
      <c r="A79" s="88">
        <v>70</v>
      </c>
      <c r="B79" s="89">
        <v>14.64</v>
      </c>
      <c r="C79" s="89">
        <v>14.64</v>
      </c>
      <c r="D79" s="89">
        <v>14.65</v>
      </c>
      <c r="E79" s="89">
        <v>14.68</v>
      </c>
    </row>
    <row r="80" spans="1:5" x14ac:dyDescent="0.25">
      <c r="A80" s="88">
        <v>71</v>
      </c>
      <c r="B80" s="89">
        <v>14.02</v>
      </c>
      <c r="C80" s="89">
        <v>14.02</v>
      </c>
      <c r="D80" s="89">
        <v>14.02</v>
      </c>
      <c r="E80" s="89">
        <v>14.03</v>
      </c>
    </row>
    <row r="81" spans="1:5" x14ac:dyDescent="0.25">
      <c r="A81" s="88">
        <v>72</v>
      </c>
      <c r="B81" s="89">
        <v>13.4</v>
      </c>
      <c r="C81" s="89">
        <v>13.4</v>
      </c>
      <c r="D81" s="89">
        <v>13.4</v>
      </c>
      <c r="E81" s="89">
        <v>13.4</v>
      </c>
    </row>
    <row r="82" spans="1:5" x14ac:dyDescent="0.25">
      <c r="A82" s="88">
        <v>73</v>
      </c>
      <c r="B82" s="89">
        <v>12.78</v>
      </c>
      <c r="C82" s="89">
        <v>12.78</v>
      </c>
      <c r="D82" s="89">
        <v>12.78</v>
      </c>
      <c r="E82" s="89">
        <v>12.78</v>
      </c>
    </row>
    <row r="83" spans="1:5" x14ac:dyDescent="0.25">
      <c r="A83" s="88">
        <v>74</v>
      </c>
      <c r="B83" s="89">
        <v>12.17</v>
      </c>
      <c r="C83" s="89">
        <v>12.17</v>
      </c>
      <c r="D83" s="89">
        <v>12.17</v>
      </c>
      <c r="E83" s="89">
        <v>12.17</v>
      </c>
    </row>
    <row r="84" spans="1:5" x14ac:dyDescent="0.25">
      <c r="A84" s="88">
        <v>75</v>
      </c>
      <c r="B84" s="89">
        <v>11.56</v>
      </c>
      <c r="C84" s="89">
        <v>11.56</v>
      </c>
      <c r="D84" s="89">
        <v>11.56</v>
      </c>
      <c r="E84" s="89">
        <v>11.56</v>
      </c>
    </row>
    <row r="85" spans="1:5" x14ac:dyDescent="0.25">
      <c r="A85" s="88">
        <v>76</v>
      </c>
      <c r="B85" s="89">
        <v>10.96</v>
      </c>
      <c r="C85" s="89">
        <v>10.96</v>
      </c>
      <c r="D85" s="89">
        <v>10.96</v>
      </c>
      <c r="E85" s="89">
        <v>10.96</v>
      </c>
    </row>
    <row r="86" spans="1:5" x14ac:dyDescent="0.25">
      <c r="A86" s="88">
        <v>77</v>
      </c>
      <c r="B86" s="89">
        <v>10.36</v>
      </c>
      <c r="C86" s="89">
        <v>10.36</v>
      </c>
      <c r="D86" s="89">
        <v>10.36</v>
      </c>
      <c r="E86" s="89">
        <v>10.36</v>
      </c>
    </row>
    <row r="87" spans="1:5" x14ac:dyDescent="0.25">
      <c r="A87" s="88">
        <v>78</v>
      </c>
      <c r="B87" s="89">
        <v>9.77</v>
      </c>
      <c r="C87" s="89">
        <v>9.77</v>
      </c>
      <c r="D87" s="89">
        <v>9.77</v>
      </c>
      <c r="E87" s="89">
        <v>9.77</v>
      </c>
    </row>
    <row r="88" spans="1:5" x14ac:dyDescent="0.25">
      <c r="A88" s="88">
        <v>79</v>
      </c>
      <c r="B88" s="89">
        <v>9.1999999999999993</v>
      </c>
      <c r="C88" s="89">
        <v>9.1999999999999993</v>
      </c>
      <c r="D88" s="89">
        <v>9.1999999999999993</v>
      </c>
      <c r="E88" s="89">
        <v>9.1999999999999993</v>
      </c>
    </row>
    <row r="89" spans="1:5" x14ac:dyDescent="0.25">
      <c r="A89" s="88">
        <v>80</v>
      </c>
      <c r="B89" s="89">
        <v>8.6300000000000008</v>
      </c>
      <c r="C89" s="89">
        <v>8.6300000000000008</v>
      </c>
      <c r="D89" s="89">
        <v>8.6300000000000008</v>
      </c>
      <c r="E89" s="89">
        <v>8.6300000000000008</v>
      </c>
    </row>
    <row r="90" spans="1:5" x14ac:dyDescent="0.25">
      <c r="A90" s="88">
        <v>81</v>
      </c>
      <c r="B90" s="89">
        <v>8.08</v>
      </c>
      <c r="C90" s="89">
        <v>8.08</v>
      </c>
      <c r="D90" s="89">
        <v>8.08</v>
      </c>
      <c r="E90" s="89">
        <v>8.08</v>
      </c>
    </row>
    <row r="91" spans="1:5" x14ac:dyDescent="0.25">
      <c r="A91" s="88">
        <v>82</v>
      </c>
      <c r="B91" s="89">
        <v>7.54</v>
      </c>
      <c r="C91" s="89">
        <v>7.54</v>
      </c>
      <c r="D91" s="89">
        <v>7.54</v>
      </c>
      <c r="E91" s="89">
        <v>7.54</v>
      </c>
    </row>
    <row r="92" spans="1:5" x14ac:dyDescent="0.25">
      <c r="A92" s="88">
        <v>83</v>
      </c>
      <c r="B92" s="89">
        <v>7.02</v>
      </c>
      <c r="C92" s="89">
        <v>7.02</v>
      </c>
      <c r="D92" s="89">
        <v>7.02</v>
      </c>
      <c r="E92" s="89">
        <v>7.02</v>
      </c>
    </row>
    <row r="93" spans="1:5" x14ac:dyDescent="0.25">
      <c r="A93" s="88">
        <v>84</v>
      </c>
      <c r="B93" s="89">
        <v>6.52</v>
      </c>
      <c r="C93" s="89">
        <v>6.52</v>
      </c>
      <c r="D93" s="89">
        <v>6.52</v>
      </c>
      <c r="E93" s="89">
        <v>6.52</v>
      </c>
    </row>
    <row r="94" spans="1:5" x14ac:dyDescent="0.25">
      <c r="A94" s="88">
        <v>85</v>
      </c>
      <c r="B94" s="89">
        <v>6.03</v>
      </c>
      <c r="C94" s="89">
        <v>6.03</v>
      </c>
      <c r="D94" s="89">
        <v>6.03</v>
      </c>
      <c r="E94" s="89">
        <v>6.03</v>
      </c>
    </row>
  </sheetData>
  <sheetProtection algorithmName="SHA-512" hashValue="BnVJmk+bCCUwdsnir5jsaNT+/TXClpyNNPUE4FJ0cY3Ldfo7tTk7PL1QL3Rd/r3Br+LA3lgjRYhml1+FEm4W5Q==" saltValue="U5QISwePy3pNKpRNb8xqoA==" spinCount="100000" sheet="1" objects="1" scenarios="1"/>
  <conditionalFormatting sqref="A6:A21">
    <cfRule type="expression" dxfId="453" priority="3" stopIfTrue="1">
      <formula>MOD(ROW(),2)=0</formula>
    </cfRule>
    <cfRule type="expression" dxfId="452" priority="4" stopIfTrue="1">
      <formula>MOD(ROW(),2)&lt;&gt;0</formula>
    </cfRule>
  </conditionalFormatting>
  <conditionalFormatting sqref="A26:A94">
    <cfRule type="expression" dxfId="451" priority="9" stopIfTrue="1">
      <formula>MOD(ROW(),2)=0</formula>
    </cfRule>
    <cfRule type="expression" dxfId="450" priority="10" stopIfTrue="1">
      <formula>MOD(ROW(),2)&lt;&gt;0</formula>
    </cfRule>
  </conditionalFormatting>
  <conditionalFormatting sqref="B17:B21">
    <cfRule type="expression" dxfId="449" priority="7" stopIfTrue="1">
      <formula>MOD(ROW(),2)=0</formula>
    </cfRule>
    <cfRule type="expression" dxfId="448" priority="8" stopIfTrue="1">
      <formula>MOD(ROW(),2)&lt;&gt;0</formula>
    </cfRule>
  </conditionalFormatting>
  <conditionalFormatting sqref="B6:E21 B26:E94">
    <cfRule type="expression" dxfId="447" priority="23" stopIfTrue="1">
      <formula>MOD(ROW(),2)=0</formula>
    </cfRule>
    <cfRule type="expression" dxfId="446" priority="2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08"/>
  <dimension ref="A1:K65"/>
  <sheetViews>
    <sheetView showGridLines="0" zoomScale="85" zoomScaleNormal="85" workbookViewId="0">
      <selection activeCell="A4" sqref="A4"/>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39" t="s">
        <v>0</v>
      </c>
      <c r="B1" s="40"/>
      <c r="C1" s="40"/>
      <c r="D1" s="40"/>
      <c r="E1" s="40"/>
      <c r="F1" s="40"/>
      <c r="G1" s="40"/>
      <c r="H1" s="40"/>
      <c r="I1" s="40"/>
    </row>
    <row r="2" spans="1:11" ht="15.6" x14ac:dyDescent="0.3">
      <c r="A2" s="41" t="str">
        <f>IF(title="&gt; Enter workbook title here","Enter workbook title in Cover sheet",title)</f>
        <v>Fire_S - Consolidated Factor Spreadsheet</v>
      </c>
      <c r="B2" s="42"/>
      <c r="C2" s="42"/>
      <c r="D2" s="42"/>
      <c r="E2" s="42"/>
      <c r="F2" s="42"/>
      <c r="G2" s="42"/>
      <c r="H2" s="42"/>
      <c r="I2" s="42"/>
    </row>
    <row r="3" spans="1:11" ht="15.6" x14ac:dyDescent="0.3">
      <c r="A3" s="43" t="str">
        <f>TABLE_FACTOR_TYPE_1&amp;" - x-"&amp;TABLE_SERIES_NUMBER_1</f>
        <v>Pension Debit - x-321</v>
      </c>
      <c r="B3" s="42"/>
      <c r="C3" s="42"/>
      <c r="D3" s="42"/>
      <c r="E3" s="42"/>
      <c r="F3" s="42"/>
      <c r="G3" s="42"/>
      <c r="H3" s="42"/>
      <c r="I3" s="42"/>
    </row>
    <row r="4" spans="1:11" x14ac:dyDescent="0.25">
      <c r="A4" s="44"/>
    </row>
    <row r="6" spans="1:11" x14ac:dyDescent="0.25">
      <c r="A6" s="75" t="s">
        <v>484</v>
      </c>
      <c r="B6" s="162" t="s">
        <v>485</v>
      </c>
      <c r="C6" s="162"/>
      <c r="D6" s="162"/>
      <c r="E6" s="162"/>
      <c r="F6" s="162"/>
      <c r="G6" s="162"/>
      <c r="H6" s="162"/>
      <c r="I6" s="162"/>
      <c r="J6" s="162"/>
      <c r="K6" s="162"/>
    </row>
    <row r="7" spans="1:11" x14ac:dyDescent="0.25">
      <c r="A7" s="76" t="s">
        <v>486</v>
      </c>
      <c r="B7" s="162" t="s">
        <v>81</v>
      </c>
      <c r="C7" s="162"/>
      <c r="D7" s="162"/>
      <c r="E7" s="162"/>
      <c r="F7" s="162"/>
      <c r="G7" s="162"/>
      <c r="H7" s="162"/>
      <c r="I7" s="162"/>
      <c r="J7" s="162"/>
      <c r="K7" s="162"/>
    </row>
    <row r="8" spans="1:11" x14ac:dyDescent="0.25">
      <c r="A8" s="76" t="s">
        <v>282</v>
      </c>
      <c r="B8" s="162">
        <v>1992</v>
      </c>
      <c r="C8" s="162"/>
      <c r="D8" s="162"/>
      <c r="E8" s="162"/>
      <c r="F8" s="162"/>
      <c r="G8" s="162"/>
      <c r="H8" s="162"/>
      <c r="I8" s="162"/>
      <c r="J8" s="162"/>
      <c r="K8" s="162"/>
    </row>
    <row r="9" spans="1:11" x14ac:dyDescent="0.25">
      <c r="A9" s="76" t="s">
        <v>283</v>
      </c>
      <c r="B9" s="162" t="s">
        <v>347</v>
      </c>
      <c r="C9" s="162"/>
      <c r="D9" s="162"/>
      <c r="E9" s="162"/>
      <c r="F9" s="162"/>
      <c r="G9" s="162"/>
      <c r="H9" s="162"/>
      <c r="I9" s="162"/>
      <c r="J9" s="162"/>
      <c r="K9" s="162"/>
    </row>
    <row r="10" spans="1:11" x14ac:dyDescent="0.25">
      <c r="A10" s="76" t="s">
        <v>6</v>
      </c>
      <c r="B10" s="162" t="s">
        <v>348</v>
      </c>
      <c r="C10" s="162"/>
      <c r="D10" s="162"/>
      <c r="E10" s="162"/>
      <c r="F10" s="162"/>
      <c r="G10" s="162"/>
      <c r="H10" s="162"/>
      <c r="I10" s="162"/>
      <c r="J10" s="162"/>
      <c r="K10" s="162"/>
    </row>
    <row r="11" spans="1:11" x14ac:dyDescent="0.25">
      <c r="A11" s="76" t="s">
        <v>284</v>
      </c>
      <c r="B11" s="162" t="s">
        <v>349</v>
      </c>
      <c r="C11" s="162"/>
      <c r="D11" s="162"/>
      <c r="E11" s="162"/>
      <c r="F11" s="162"/>
      <c r="G11" s="162"/>
      <c r="H11" s="162"/>
      <c r="I11" s="162"/>
      <c r="J11" s="162"/>
      <c r="K11" s="162"/>
    </row>
    <row r="12" spans="1:11" x14ac:dyDescent="0.25">
      <c r="A12" s="76" t="s">
        <v>285</v>
      </c>
      <c r="B12" s="162" t="s">
        <v>350</v>
      </c>
      <c r="C12" s="162"/>
      <c r="D12" s="162"/>
      <c r="E12" s="162"/>
      <c r="F12" s="162"/>
      <c r="G12" s="162"/>
      <c r="H12" s="162"/>
      <c r="I12" s="162"/>
      <c r="J12" s="162"/>
      <c r="K12" s="162"/>
    </row>
    <row r="13" spans="1:11" hidden="1" x14ac:dyDescent="0.25">
      <c r="A13" s="76" t="s">
        <v>493</v>
      </c>
      <c r="B13" s="162">
        <v>2</v>
      </c>
      <c r="C13" s="162"/>
      <c r="D13" s="162"/>
      <c r="E13" s="162"/>
      <c r="F13" s="162"/>
      <c r="G13" s="162"/>
      <c r="H13" s="162"/>
      <c r="I13" s="162"/>
      <c r="J13" s="162"/>
      <c r="K13" s="162"/>
    </row>
    <row r="14" spans="1:11" hidden="1" x14ac:dyDescent="0.25">
      <c r="A14" s="76" t="s">
        <v>287</v>
      </c>
      <c r="B14" s="162">
        <v>321</v>
      </c>
      <c r="C14" s="162"/>
      <c r="D14" s="162"/>
      <c r="E14" s="162"/>
      <c r="F14" s="162"/>
      <c r="G14" s="162"/>
      <c r="H14" s="162"/>
      <c r="I14" s="162"/>
      <c r="J14" s="162"/>
      <c r="K14" s="162"/>
    </row>
    <row r="15" spans="1:11" x14ac:dyDescent="0.25">
      <c r="A15" s="76" t="s">
        <v>496</v>
      </c>
      <c r="B15" s="162" t="s">
        <v>351</v>
      </c>
      <c r="C15" s="162"/>
      <c r="D15" s="162"/>
      <c r="E15" s="162"/>
      <c r="F15" s="162"/>
      <c r="G15" s="162"/>
      <c r="H15" s="162"/>
      <c r="I15" s="162"/>
      <c r="J15" s="162"/>
      <c r="K15" s="162"/>
    </row>
    <row r="16" spans="1:11" x14ac:dyDescent="0.25">
      <c r="A16" s="76" t="s">
        <v>288</v>
      </c>
      <c r="B16" s="162" t="s">
        <v>352</v>
      </c>
      <c r="C16" s="162"/>
      <c r="D16" s="162"/>
      <c r="E16" s="162"/>
      <c r="F16" s="162"/>
      <c r="G16" s="162"/>
      <c r="H16" s="162"/>
      <c r="I16" s="162"/>
      <c r="J16" s="162"/>
      <c r="K16" s="162"/>
    </row>
    <row r="17" spans="1:11" x14ac:dyDescent="0.25">
      <c r="A17" s="76" t="s">
        <v>568</v>
      </c>
      <c r="B17" s="162"/>
      <c r="C17" s="162"/>
      <c r="D17" s="162"/>
      <c r="E17" s="162"/>
      <c r="F17" s="162"/>
      <c r="G17" s="162"/>
      <c r="H17" s="162"/>
      <c r="I17" s="162"/>
      <c r="J17" s="162"/>
      <c r="K17" s="162"/>
    </row>
    <row r="18" spans="1:11" x14ac:dyDescent="0.25">
      <c r="A18" s="76" t="s">
        <v>500</v>
      </c>
      <c r="B18" s="164">
        <v>45070</v>
      </c>
      <c r="C18" s="162"/>
      <c r="D18" s="162"/>
      <c r="E18" s="162"/>
      <c r="F18" s="162"/>
      <c r="G18" s="162"/>
      <c r="H18" s="162"/>
      <c r="I18" s="162"/>
      <c r="J18" s="162"/>
      <c r="K18" s="162"/>
    </row>
    <row r="19" spans="1:11" x14ac:dyDescent="0.25">
      <c r="A19" s="76" t="s">
        <v>290</v>
      </c>
      <c r="B19" s="164">
        <v>45014</v>
      </c>
      <c r="C19" s="162"/>
      <c r="D19" s="162"/>
      <c r="E19" s="162"/>
      <c r="F19" s="162"/>
      <c r="G19" s="162"/>
      <c r="H19" s="162"/>
      <c r="I19" s="162"/>
      <c r="J19" s="162"/>
      <c r="K19" s="162"/>
    </row>
    <row r="20" spans="1:11" x14ac:dyDescent="0.25">
      <c r="A20" s="76" t="s">
        <v>291</v>
      </c>
      <c r="B20" s="162" t="s">
        <v>298</v>
      </c>
      <c r="C20" s="162"/>
      <c r="D20" s="162"/>
      <c r="E20" s="162"/>
      <c r="F20" s="162"/>
      <c r="G20" s="162"/>
      <c r="H20" s="162"/>
      <c r="I20" s="162"/>
      <c r="J20" s="162"/>
      <c r="K20" s="162"/>
    </row>
    <row r="21" spans="1:11" x14ac:dyDescent="0.25">
      <c r="A21" s="150" t="s">
        <v>569</v>
      </c>
      <c r="B21" s="162" t="s">
        <v>297</v>
      </c>
      <c r="C21" s="162"/>
      <c r="D21" s="162"/>
      <c r="E21" s="162"/>
      <c r="F21" s="162"/>
      <c r="G21" s="162"/>
      <c r="H21" s="162"/>
      <c r="I21" s="162"/>
      <c r="J21" s="162"/>
      <c r="K21" s="162"/>
    </row>
    <row r="23" spans="1:11" x14ac:dyDescent="0.25">
      <c r="B23" s="91" t="str">
        <f>HYPERLINK("#'Factor List'!A1","Back to Factor List")</f>
        <v>Back to Factor List</v>
      </c>
    </row>
    <row r="24" spans="1:11" x14ac:dyDescent="0.25">
      <c r="B24" s="91" t="str">
        <f>HYPERLINK("#'Assumptions'!A1","Assumptions")</f>
        <v>Assumptions</v>
      </c>
    </row>
    <row r="26" spans="1:11" x14ac:dyDescent="0.25">
      <c r="A26" s="87" t="s">
        <v>611</v>
      </c>
      <c r="B26" s="87">
        <v>50</v>
      </c>
      <c r="C26" s="87">
        <v>51</v>
      </c>
      <c r="D26" s="87">
        <v>52</v>
      </c>
      <c r="E26" s="87">
        <v>53</v>
      </c>
      <c r="F26" s="87">
        <v>54</v>
      </c>
      <c r="G26" s="87">
        <v>55</v>
      </c>
      <c r="H26" s="87">
        <v>56</v>
      </c>
      <c r="I26" s="87">
        <v>57</v>
      </c>
      <c r="J26" s="87">
        <v>58</v>
      </c>
      <c r="K26" s="87">
        <v>59</v>
      </c>
    </row>
    <row r="27" spans="1:11" x14ac:dyDescent="0.25">
      <c r="A27" s="88">
        <v>0</v>
      </c>
      <c r="B27" s="90">
        <v>0.65500000000000003</v>
      </c>
      <c r="C27" s="90">
        <v>0.67800000000000005</v>
      </c>
      <c r="D27" s="90">
        <v>0.70399999999999996</v>
      </c>
      <c r="E27" s="90">
        <v>0.73099999999999998</v>
      </c>
      <c r="F27" s="90">
        <v>0.76100000000000001</v>
      </c>
      <c r="G27" s="90">
        <v>0.79400000000000004</v>
      </c>
      <c r="H27" s="90">
        <v>0.82899999999999996</v>
      </c>
      <c r="I27" s="90">
        <v>0.86699999999999999</v>
      </c>
      <c r="J27" s="90">
        <v>0.90800000000000003</v>
      </c>
      <c r="K27" s="90">
        <v>0.95199999999999996</v>
      </c>
    </row>
    <row r="28" spans="1:11" x14ac:dyDescent="0.25">
      <c r="A28" s="88">
        <v>1</v>
      </c>
      <c r="B28" s="90">
        <v>0.65700000000000003</v>
      </c>
      <c r="C28" s="90">
        <v>0.68</v>
      </c>
      <c r="D28" s="90">
        <v>0.70599999999999996</v>
      </c>
      <c r="E28" s="90">
        <v>0.73399999999999999</v>
      </c>
      <c r="F28" s="90">
        <v>0.76400000000000001</v>
      </c>
      <c r="G28" s="90">
        <v>0.79700000000000004</v>
      </c>
      <c r="H28" s="90">
        <v>0.83199999999999996</v>
      </c>
      <c r="I28" s="90">
        <v>0.87</v>
      </c>
      <c r="J28" s="90">
        <v>0.91200000000000003</v>
      </c>
      <c r="K28" s="90">
        <v>0.95599999999999996</v>
      </c>
    </row>
    <row r="29" spans="1:11" x14ac:dyDescent="0.25">
      <c r="A29" s="88">
        <v>2</v>
      </c>
      <c r="B29" s="90">
        <v>0.65900000000000003</v>
      </c>
      <c r="C29" s="90">
        <v>0.68200000000000005</v>
      </c>
      <c r="D29" s="90">
        <v>0.70799999999999996</v>
      </c>
      <c r="E29" s="90">
        <v>0.73599999999999999</v>
      </c>
      <c r="F29" s="90">
        <v>0.76600000000000001</v>
      </c>
      <c r="G29" s="90">
        <v>0.8</v>
      </c>
      <c r="H29" s="90">
        <v>0.83499999999999996</v>
      </c>
      <c r="I29" s="90">
        <v>0.874</v>
      </c>
      <c r="J29" s="90">
        <v>0.91500000000000004</v>
      </c>
      <c r="K29" s="90">
        <v>0.96</v>
      </c>
    </row>
    <row r="30" spans="1:11" x14ac:dyDescent="0.25">
      <c r="A30" s="88">
        <v>3</v>
      </c>
      <c r="B30" s="90">
        <v>0.66100000000000003</v>
      </c>
      <c r="C30" s="90">
        <v>0.68500000000000005</v>
      </c>
      <c r="D30" s="90">
        <v>0.71099999999999997</v>
      </c>
      <c r="E30" s="90">
        <v>0.73899999999999999</v>
      </c>
      <c r="F30" s="90">
        <v>0.76900000000000002</v>
      </c>
      <c r="G30" s="90">
        <v>0.80200000000000005</v>
      </c>
      <c r="H30" s="90">
        <v>0.83799999999999997</v>
      </c>
      <c r="I30" s="90">
        <v>0.877</v>
      </c>
      <c r="J30" s="90">
        <v>0.91900000000000004</v>
      </c>
      <c r="K30" s="90">
        <v>0.96399999999999997</v>
      </c>
    </row>
    <row r="31" spans="1:11" x14ac:dyDescent="0.25">
      <c r="A31" s="88">
        <v>4</v>
      </c>
      <c r="B31" s="90">
        <v>0.66300000000000003</v>
      </c>
      <c r="C31" s="90">
        <v>0.68700000000000006</v>
      </c>
      <c r="D31" s="90">
        <v>0.71299999999999997</v>
      </c>
      <c r="E31" s="90">
        <v>0.74099999999999999</v>
      </c>
      <c r="F31" s="90">
        <v>0.77200000000000002</v>
      </c>
      <c r="G31" s="90">
        <v>0.80500000000000005</v>
      </c>
      <c r="H31" s="90">
        <v>0.84199999999999997</v>
      </c>
      <c r="I31" s="90">
        <v>0.88100000000000001</v>
      </c>
      <c r="J31" s="90">
        <v>0.92300000000000004</v>
      </c>
      <c r="K31" s="90">
        <v>0.96799999999999997</v>
      </c>
    </row>
    <row r="32" spans="1:11" x14ac:dyDescent="0.25">
      <c r="A32" s="88">
        <v>5</v>
      </c>
      <c r="B32" s="90">
        <v>0.66500000000000004</v>
      </c>
      <c r="C32" s="90">
        <v>0.68899999999999995</v>
      </c>
      <c r="D32" s="90">
        <v>0.71499999999999997</v>
      </c>
      <c r="E32" s="90">
        <v>0.74399999999999999</v>
      </c>
      <c r="F32" s="90">
        <v>0.77500000000000002</v>
      </c>
      <c r="G32" s="90">
        <v>0.80800000000000005</v>
      </c>
      <c r="H32" s="90">
        <v>0.84499999999999997</v>
      </c>
      <c r="I32" s="90">
        <v>0.88400000000000001</v>
      </c>
      <c r="J32" s="90">
        <v>0.92600000000000005</v>
      </c>
      <c r="K32" s="90">
        <v>0.97199999999999998</v>
      </c>
    </row>
    <row r="33" spans="1:11" x14ac:dyDescent="0.25">
      <c r="A33" s="88">
        <v>6</v>
      </c>
      <c r="B33" s="90">
        <v>0.66600000000000004</v>
      </c>
      <c r="C33" s="90">
        <v>0.69099999999999995</v>
      </c>
      <c r="D33" s="90">
        <v>0.71699999999999997</v>
      </c>
      <c r="E33" s="90">
        <v>0.746</v>
      </c>
      <c r="F33" s="90">
        <v>0.77700000000000002</v>
      </c>
      <c r="G33" s="90">
        <v>0.81100000000000005</v>
      </c>
      <c r="H33" s="90">
        <v>0.84799999999999998</v>
      </c>
      <c r="I33" s="90">
        <v>0.88700000000000001</v>
      </c>
      <c r="J33" s="90">
        <v>0.93</v>
      </c>
      <c r="K33" s="90">
        <v>0.97599999999999998</v>
      </c>
    </row>
    <row r="34" spans="1:11" x14ac:dyDescent="0.25">
      <c r="A34" s="88">
        <v>7</v>
      </c>
      <c r="B34" s="90">
        <v>0.66800000000000004</v>
      </c>
      <c r="C34" s="90">
        <v>0.69299999999999995</v>
      </c>
      <c r="D34" s="90">
        <v>0.72</v>
      </c>
      <c r="E34" s="90">
        <v>0.749</v>
      </c>
      <c r="F34" s="90">
        <v>0.78</v>
      </c>
      <c r="G34" s="90">
        <v>0.81399999999999995</v>
      </c>
      <c r="H34" s="90">
        <v>0.85099999999999998</v>
      </c>
      <c r="I34" s="90">
        <v>0.89100000000000001</v>
      </c>
      <c r="J34" s="90">
        <v>0.93400000000000005</v>
      </c>
      <c r="K34" s="90">
        <v>0.98</v>
      </c>
    </row>
    <row r="35" spans="1:11" x14ac:dyDescent="0.25">
      <c r="A35" s="88">
        <v>8</v>
      </c>
      <c r="B35" s="90">
        <v>0.67</v>
      </c>
      <c r="C35" s="90">
        <v>0.69499999999999995</v>
      </c>
      <c r="D35" s="90">
        <v>0.72199999999999998</v>
      </c>
      <c r="E35" s="90">
        <v>0.751</v>
      </c>
      <c r="F35" s="90">
        <v>0.78300000000000003</v>
      </c>
      <c r="G35" s="90">
        <v>0.81699999999999995</v>
      </c>
      <c r="H35" s="90">
        <v>0.85399999999999998</v>
      </c>
      <c r="I35" s="90">
        <v>0.89400000000000002</v>
      </c>
      <c r="J35" s="90">
        <v>0.93700000000000006</v>
      </c>
      <c r="K35" s="90">
        <v>0.98399999999999999</v>
      </c>
    </row>
    <row r="36" spans="1:11" x14ac:dyDescent="0.25">
      <c r="A36" s="88">
        <v>9</v>
      </c>
      <c r="B36" s="90">
        <v>0.67200000000000004</v>
      </c>
      <c r="C36" s="90">
        <v>0.69699999999999995</v>
      </c>
      <c r="D36" s="90">
        <v>0.72399999999999998</v>
      </c>
      <c r="E36" s="90">
        <v>0.754</v>
      </c>
      <c r="F36" s="90">
        <v>0.78500000000000003</v>
      </c>
      <c r="G36" s="90">
        <v>0.82</v>
      </c>
      <c r="H36" s="90">
        <v>0.85699999999999998</v>
      </c>
      <c r="I36" s="90">
        <v>0.89800000000000002</v>
      </c>
      <c r="J36" s="90">
        <v>0.94099999999999995</v>
      </c>
      <c r="K36" s="90">
        <v>0.98799999999999999</v>
      </c>
    </row>
    <row r="37" spans="1:11" x14ac:dyDescent="0.25">
      <c r="A37" s="88">
        <v>10</v>
      </c>
      <c r="B37" s="90">
        <v>0.67400000000000004</v>
      </c>
      <c r="C37" s="90">
        <v>0.69899999999999995</v>
      </c>
      <c r="D37" s="90">
        <v>0.72699999999999998</v>
      </c>
      <c r="E37" s="90">
        <v>0.75600000000000001</v>
      </c>
      <c r="F37" s="90">
        <v>0.78800000000000003</v>
      </c>
      <c r="G37" s="90">
        <v>0.82299999999999995</v>
      </c>
      <c r="H37" s="90">
        <v>0.86099999999999999</v>
      </c>
      <c r="I37" s="90">
        <v>0.90100000000000002</v>
      </c>
      <c r="J37" s="90">
        <v>0.94499999999999995</v>
      </c>
      <c r="K37" s="90">
        <v>0.99199999999999999</v>
      </c>
    </row>
    <row r="38" spans="1:11" x14ac:dyDescent="0.25">
      <c r="A38" s="88">
        <v>11</v>
      </c>
      <c r="B38" s="90">
        <v>0.67600000000000005</v>
      </c>
      <c r="C38" s="90">
        <v>0.70199999999999996</v>
      </c>
      <c r="D38" s="90">
        <v>0.72899999999999998</v>
      </c>
      <c r="E38" s="90">
        <v>0.75900000000000001</v>
      </c>
      <c r="F38" s="90">
        <v>0.79100000000000004</v>
      </c>
      <c r="G38" s="90">
        <v>0.82599999999999996</v>
      </c>
      <c r="H38" s="90">
        <v>0.86399999999999999</v>
      </c>
      <c r="I38" s="90">
        <v>0.90400000000000003</v>
      </c>
      <c r="J38" s="90">
        <v>0.94799999999999995</v>
      </c>
      <c r="K38" s="90">
        <v>0.996</v>
      </c>
    </row>
    <row r="39" spans="1:11" x14ac:dyDescent="0.25">
      <c r="A39"/>
      <c r="B39"/>
    </row>
    <row r="40" spans="1:11" x14ac:dyDescent="0.25">
      <c r="A40"/>
      <c r="B40"/>
    </row>
    <row r="41" spans="1:11" x14ac:dyDescent="0.25">
      <c r="A41"/>
      <c r="B41"/>
    </row>
    <row r="42" spans="1:11" x14ac:dyDescent="0.25">
      <c r="A42"/>
      <c r="B42"/>
    </row>
    <row r="43" spans="1:11" x14ac:dyDescent="0.25">
      <c r="A43"/>
      <c r="B43"/>
    </row>
    <row r="44" spans="1:11" ht="39.6" customHeight="1" x14ac:dyDescent="0.25">
      <c r="A44"/>
      <c r="B44"/>
    </row>
    <row r="45" spans="1:11" x14ac:dyDescent="0.25">
      <c r="A45"/>
      <c r="B45"/>
    </row>
    <row r="46" spans="1:11" ht="27.6" customHeight="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hXo37qUQg/QmLI9nidDBKjEuxuxLXYMa7cAWlzCbM7yBLpH0mWHBIsRqiQuXRAkvsl3pWiw96skltPx+g8jMSg==" saltValue="NnbJQXKipLM9buQyyGnqqQ==" spinCount="100000" sheet="1" objects="1" scenarios="1"/>
  <conditionalFormatting sqref="A6:A21">
    <cfRule type="expression" dxfId="445" priority="3" stopIfTrue="1">
      <formula>MOD(ROW(),2)=0</formula>
    </cfRule>
    <cfRule type="expression" dxfId="444" priority="4" stopIfTrue="1">
      <formula>MOD(ROW(),2)&lt;&gt;0</formula>
    </cfRule>
  </conditionalFormatting>
  <conditionalFormatting sqref="A26:A38">
    <cfRule type="expression" dxfId="443" priority="9" stopIfTrue="1">
      <formula>MOD(ROW(),2)=0</formula>
    </cfRule>
    <cfRule type="expression" dxfId="442" priority="10" stopIfTrue="1">
      <formula>MOD(ROW(),2)&lt;&gt;0</formula>
    </cfRule>
  </conditionalFormatting>
  <conditionalFormatting sqref="B17:C21">
    <cfRule type="expression" dxfId="441" priority="7" stopIfTrue="1">
      <formula>MOD(ROW(),2)=0</formula>
    </cfRule>
    <cfRule type="expression" dxfId="440" priority="8" stopIfTrue="1">
      <formula>MOD(ROW(),2)&lt;&gt;0</formula>
    </cfRule>
  </conditionalFormatting>
  <conditionalFormatting sqref="B6:K21 B26:K38">
    <cfRule type="expression" dxfId="439" priority="25" stopIfTrue="1">
      <formula>MOD(ROW(),2)=0</formula>
    </cfRule>
    <cfRule type="expression" dxfId="438" priority="2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07"/>
  <dimension ref="A1:I94"/>
  <sheetViews>
    <sheetView showGridLines="0" zoomScale="85" zoomScaleNormal="85" workbookViewId="0">
      <selection activeCell="A4" sqref="A4"/>
    </sheetView>
  </sheetViews>
  <sheetFormatPr defaultColWidth="10" defaultRowHeight="13.2" x14ac:dyDescent="0.25"/>
  <cols>
    <col min="1" max="1" width="31.88671875" style="27" customWidth="1"/>
    <col min="2" max="5" width="22.88671875" style="27" customWidth="1"/>
    <col min="6"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Pension Credit - x-317</v>
      </c>
      <c r="B3" s="42"/>
      <c r="C3" s="42"/>
      <c r="D3" s="42"/>
      <c r="E3" s="42"/>
      <c r="F3" s="42"/>
      <c r="G3" s="42"/>
      <c r="H3" s="42"/>
      <c r="I3" s="42"/>
    </row>
    <row r="4" spans="1:9" x14ac:dyDescent="0.25">
      <c r="A4" s="44"/>
    </row>
    <row r="6" spans="1:9" x14ac:dyDescent="0.25">
      <c r="A6" s="85" t="s">
        <v>484</v>
      </c>
      <c r="B6" s="163" t="s">
        <v>485</v>
      </c>
      <c r="C6" s="163"/>
      <c r="D6" s="163"/>
      <c r="E6" s="163"/>
    </row>
    <row r="7" spans="1:9" x14ac:dyDescent="0.25">
      <c r="A7" s="165" t="s">
        <v>486</v>
      </c>
      <c r="B7" s="163" t="s">
        <v>81</v>
      </c>
      <c r="C7" s="163"/>
      <c r="D7" s="163"/>
      <c r="E7" s="163"/>
    </row>
    <row r="8" spans="1:9" x14ac:dyDescent="0.25">
      <c r="A8" s="165" t="s">
        <v>282</v>
      </c>
      <c r="B8" s="163">
        <v>2015</v>
      </c>
      <c r="C8" s="163"/>
      <c r="D8" s="163"/>
      <c r="E8" s="163"/>
    </row>
    <row r="9" spans="1:9" x14ac:dyDescent="0.25">
      <c r="A9" s="165" t="s">
        <v>283</v>
      </c>
      <c r="B9" s="163" t="s">
        <v>332</v>
      </c>
      <c r="C9" s="163"/>
      <c r="D9" s="163"/>
      <c r="E9" s="163"/>
    </row>
    <row r="10" spans="1:9" x14ac:dyDescent="0.25">
      <c r="A10" s="165" t="s">
        <v>6</v>
      </c>
      <c r="B10" s="163" t="s">
        <v>344</v>
      </c>
      <c r="C10" s="163"/>
      <c r="D10" s="163"/>
      <c r="E10" s="163"/>
    </row>
    <row r="11" spans="1:9" x14ac:dyDescent="0.25">
      <c r="A11" s="165" t="s">
        <v>284</v>
      </c>
      <c r="B11" s="163" t="s">
        <v>294</v>
      </c>
      <c r="C11" s="163"/>
      <c r="D11" s="163"/>
      <c r="E11" s="163"/>
    </row>
    <row r="12" spans="1:9" x14ac:dyDescent="0.25">
      <c r="A12" s="165" t="s">
        <v>285</v>
      </c>
      <c r="B12" s="163" t="s">
        <v>295</v>
      </c>
      <c r="C12" s="163"/>
      <c r="D12" s="163"/>
      <c r="E12" s="163"/>
    </row>
    <row r="13" spans="1:9" hidden="1" x14ac:dyDescent="0.25">
      <c r="A13" s="165" t="s">
        <v>493</v>
      </c>
      <c r="B13" s="163">
        <v>0</v>
      </c>
      <c r="C13" s="163"/>
      <c r="D13" s="163"/>
      <c r="E13" s="163"/>
    </row>
    <row r="14" spans="1:9" hidden="1" x14ac:dyDescent="0.25">
      <c r="A14" s="165" t="s">
        <v>287</v>
      </c>
      <c r="B14" s="163">
        <v>317</v>
      </c>
      <c r="C14" s="163"/>
      <c r="D14" s="163"/>
      <c r="E14" s="163"/>
    </row>
    <row r="15" spans="1:9" x14ac:dyDescent="0.25">
      <c r="A15" s="165" t="s">
        <v>496</v>
      </c>
      <c r="B15" s="163" t="s">
        <v>345</v>
      </c>
      <c r="C15" s="163"/>
      <c r="D15" s="163"/>
      <c r="E15" s="163"/>
    </row>
    <row r="16" spans="1:9" x14ac:dyDescent="0.25">
      <c r="A16" s="165" t="s">
        <v>288</v>
      </c>
      <c r="B16" s="163" t="s">
        <v>346</v>
      </c>
      <c r="C16" s="163"/>
      <c r="D16" s="163"/>
      <c r="E16" s="163"/>
    </row>
    <row r="17" spans="1:5" x14ac:dyDescent="0.25">
      <c r="A17" s="165" t="s">
        <v>568</v>
      </c>
      <c r="B17" s="163"/>
      <c r="C17" s="163"/>
      <c r="D17" s="163"/>
      <c r="E17" s="163"/>
    </row>
    <row r="18" spans="1:5" x14ac:dyDescent="0.25">
      <c r="A18" s="165" t="s">
        <v>500</v>
      </c>
      <c r="B18" s="166">
        <v>45070</v>
      </c>
      <c r="C18" s="163"/>
      <c r="D18" s="163"/>
      <c r="E18" s="163"/>
    </row>
    <row r="19" spans="1:5" x14ac:dyDescent="0.25">
      <c r="A19" s="165" t="s">
        <v>290</v>
      </c>
      <c r="B19" s="166">
        <v>45014</v>
      </c>
      <c r="C19" s="163"/>
      <c r="D19" s="163"/>
      <c r="E19" s="163"/>
    </row>
    <row r="20" spans="1:5" x14ac:dyDescent="0.25">
      <c r="A20" s="165" t="s">
        <v>291</v>
      </c>
      <c r="B20" s="163" t="s">
        <v>298</v>
      </c>
      <c r="C20" s="163"/>
      <c r="D20" s="163"/>
      <c r="E20" s="163"/>
    </row>
    <row r="21" spans="1:5" x14ac:dyDescent="0.25">
      <c r="A21" s="150" t="s">
        <v>569</v>
      </c>
      <c r="B21" s="163" t="s">
        <v>297</v>
      </c>
      <c r="C21" s="163"/>
      <c r="D21" s="163"/>
      <c r="E21" s="163"/>
    </row>
    <row r="23" spans="1:5" x14ac:dyDescent="0.25">
      <c r="B23" s="91" t="str">
        <f>HYPERLINK("#'Factor List'!A1","Back to Factor List")</f>
        <v>Back to Factor List</v>
      </c>
    </row>
    <row r="24" spans="1:5" x14ac:dyDescent="0.25">
      <c r="B24" s="91" t="str">
        <f>HYPERLINK("#'Assumptions'!A1","Assumptions")</f>
        <v>Assumptions</v>
      </c>
    </row>
    <row r="26" spans="1:5" x14ac:dyDescent="0.25">
      <c r="A26" s="87" t="s">
        <v>570</v>
      </c>
      <c r="B26" s="87" t="s">
        <v>607</v>
      </c>
      <c r="C26" s="87" t="s">
        <v>608</v>
      </c>
      <c r="D26" s="87" t="s">
        <v>609</v>
      </c>
      <c r="E26" s="87" t="s">
        <v>610</v>
      </c>
    </row>
    <row r="27" spans="1:5" x14ac:dyDescent="0.25">
      <c r="A27" s="88">
        <v>18</v>
      </c>
      <c r="B27" s="89">
        <v>8.8000000000000007</v>
      </c>
      <c r="C27" s="89">
        <v>8.3800000000000008</v>
      </c>
      <c r="D27" s="89">
        <v>7.97</v>
      </c>
      <c r="E27" s="89">
        <v>7.57</v>
      </c>
    </row>
    <row r="28" spans="1:5" x14ac:dyDescent="0.25">
      <c r="A28" s="88">
        <v>19</v>
      </c>
      <c r="B28" s="89">
        <v>8.92</v>
      </c>
      <c r="C28" s="89">
        <v>8.5</v>
      </c>
      <c r="D28" s="89">
        <v>8.08</v>
      </c>
      <c r="E28" s="89">
        <v>7.67</v>
      </c>
    </row>
    <row r="29" spans="1:5" x14ac:dyDescent="0.25">
      <c r="A29" s="88">
        <v>20</v>
      </c>
      <c r="B29" s="89">
        <v>9.0500000000000007</v>
      </c>
      <c r="C29" s="89">
        <v>8.61</v>
      </c>
      <c r="D29" s="89">
        <v>8.19</v>
      </c>
      <c r="E29" s="89">
        <v>7.77</v>
      </c>
    </row>
    <row r="30" spans="1:5" x14ac:dyDescent="0.25">
      <c r="A30" s="88">
        <v>21</v>
      </c>
      <c r="B30" s="89">
        <v>9.17</v>
      </c>
      <c r="C30" s="89">
        <v>8.73</v>
      </c>
      <c r="D30" s="89">
        <v>8.3000000000000007</v>
      </c>
      <c r="E30" s="89">
        <v>7.88</v>
      </c>
    </row>
    <row r="31" spans="1:5" x14ac:dyDescent="0.25">
      <c r="A31" s="88">
        <v>22</v>
      </c>
      <c r="B31" s="89">
        <v>9.3000000000000007</v>
      </c>
      <c r="C31" s="89">
        <v>8.85</v>
      </c>
      <c r="D31" s="89">
        <v>8.41</v>
      </c>
      <c r="E31" s="89">
        <v>7.98</v>
      </c>
    </row>
    <row r="32" spans="1:5" x14ac:dyDescent="0.25">
      <c r="A32" s="88">
        <v>23</v>
      </c>
      <c r="B32" s="89">
        <v>9.43</v>
      </c>
      <c r="C32" s="89">
        <v>8.9700000000000006</v>
      </c>
      <c r="D32" s="89">
        <v>8.5299999999999994</v>
      </c>
      <c r="E32" s="89">
        <v>8.09</v>
      </c>
    </row>
    <row r="33" spans="1:5" x14ac:dyDescent="0.25">
      <c r="A33" s="88">
        <v>24</v>
      </c>
      <c r="B33" s="89">
        <v>9.56</v>
      </c>
      <c r="C33" s="89">
        <v>9.09</v>
      </c>
      <c r="D33" s="89">
        <v>8.64</v>
      </c>
      <c r="E33" s="89">
        <v>8.1999999999999993</v>
      </c>
    </row>
    <row r="34" spans="1:5" x14ac:dyDescent="0.25">
      <c r="A34" s="88">
        <v>25</v>
      </c>
      <c r="B34" s="89">
        <v>9.69</v>
      </c>
      <c r="C34" s="89">
        <v>9.2200000000000006</v>
      </c>
      <c r="D34" s="89">
        <v>8.76</v>
      </c>
      <c r="E34" s="89">
        <v>8.31</v>
      </c>
    </row>
    <row r="35" spans="1:5" x14ac:dyDescent="0.25">
      <c r="A35" s="88">
        <v>26</v>
      </c>
      <c r="B35" s="89">
        <v>9.82</v>
      </c>
      <c r="C35" s="89">
        <v>9.34</v>
      </c>
      <c r="D35" s="89">
        <v>8.8800000000000008</v>
      </c>
      <c r="E35" s="89">
        <v>8.42</v>
      </c>
    </row>
    <row r="36" spans="1:5" x14ac:dyDescent="0.25">
      <c r="A36" s="88">
        <v>27</v>
      </c>
      <c r="B36" s="89">
        <v>9.9600000000000009</v>
      </c>
      <c r="C36" s="89">
        <v>9.4700000000000006</v>
      </c>
      <c r="D36" s="89">
        <v>9</v>
      </c>
      <c r="E36" s="89">
        <v>8.5299999999999994</v>
      </c>
    </row>
    <row r="37" spans="1:5" x14ac:dyDescent="0.25">
      <c r="A37" s="88">
        <v>28</v>
      </c>
      <c r="B37" s="89">
        <v>10.1</v>
      </c>
      <c r="C37" s="89">
        <v>9.6</v>
      </c>
      <c r="D37" s="89">
        <v>9.1199999999999992</v>
      </c>
      <c r="E37" s="89">
        <v>8.65</v>
      </c>
    </row>
    <row r="38" spans="1:5" x14ac:dyDescent="0.25">
      <c r="A38" s="88">
        <v>29</v>
      </c>
      <c r="B38" s="89">
        <v>10.24</v>
      </c>
      <c r="C38" s="89">
        <v>9.73</v>
      </c>
      <c r="D38" s="89">
        <v>9.24</v>
      </c>
      <c r="E38" s="89">
        <v>8.76</v>
      </c>
    </row>
    <row r="39" spans="1:5" x14ac:dyDescent="0.25">
      <c r="A39" s="88">
        <v>30</v>
      </c>
      <c r="B39" s="89">
        <v>10.38</v>
      </c>
      <c r="C39" s="89">
        <v>9.8699999999999992</v>
      </c>
      <c r="D39" s="89">
        <v>9.3699999999999992</v>
      </c>
      <c r="E39" s="89">
        <v>8.8800000000000008</v>
      </c>
    </row>
    <row r="40" spans="1:5" x14ac:dyDescent="0.25">
      <c r="A40" s="88">
        <v>31</v>
      </c>
      <c r="B40" s="89">
        <v>10.52</v>
      </c>
      <c r="C40" s="89">
        <v>10</v>
      </c>
      <c r="D40" s="89">
        <v>9.49</v>
      </c>
      <c r="E40" s="89">
        <v>9</v>
      </c>
    </row>
    <row r="41" spans="1:5" x14ac:dyDescent="0.25">
      <c r="A41" s="88">
        <v>32</v>
      </c>
      <c r="B41" s="89">
        <v>10.67</v>
      </c>
      <c r="C41" s="89">
        <v>10.14</v>
      </c>
      <c r="D41" s="89">
        <v>9.6199999999999992</v>
      </c>
      <c r="E41" s="89">
        <v>9.1199999999999992</v>
      </c>
    </row>
    <row r="42" spans="1:5" x14ac:dyDescent="0.25">
      <c r="A42" s="88">
        <v>33</v>
      </c>
      <c r="B42" s="89">
        <v>10.82</v>
      </c>
      <c r="C42" s="89">
        <v>10.28</v>
      </c>
      <c r="D42" s="89">
        <v>9.75</v>
      </c>
      <c r="E42" s="89">
        <v>9.24</v>
      </c>
    </row>
    <row r="43" spans="1:5" x14ac:dyDescent="0.25">
      <c r="A43" s="88">
        <v>34</v>
      </c>
      <c r="B43" s="89">
        <v>10.97</v>
      </c>
      <c r="C43" s="89">
        <v>10.42</v>
      </c>
      <c r="D43" s="89">
        <v>9.89</v>
      </c>
      <c r="E43" s="89">
        <v>9.3699999999999992</v>
      </c>
    </row>
    <row r="44" spans="1:5" x14ac:dyDescent="0.25">
      <c r="A44" s="88">
        <v>35</v>
      </c>
      <c r="B44" s="89">
        <v>11.12</v>
      </c>
      <c r="C44" s="89">
        <v>10.57</v>
      </c>
      <c r="D44" s="89">
        <v>10.02</v>
      </c>
      <c r="E44" s="89">
        <v>9.49</v>
      </c>
    </row>
    <row r="45" spans="1:5" x14ac:dyDescent="0.25">
      <c r="A45" s="88">
        <v>36</v>
      </c>
      <c r="B45" s="89">
        <v>11.28</v>
      </c>
      <c r="C45" s="89">
        <v>10.71</v>
      </c>
      <c r="D45" s="89">
        <v>10.16</v>
      </c>
      <c r="E45" s="89">
        <v>9.6199999999999992</v>
      </c>
    </row>
    <row r="46" spans="1:5" x14ac:dyDescent="0.25">
      <c r="A46" s="88">
        <v>37</v>
      </c>
      <c r="B46" s="89">
        <v>11.44</v>
      </c>
      <c r="C46" s="89">
        <v>10.86</v>
      </c>
      <c r="D46" s="89">
        <v>10.3</v>
      </c>
      <c r="E46" s="89">
        <v>9.76</v>
      </c>
    </row>
    <row r="47" spans="1:5" x14ac:dyDescent="0.25">
      <c r="A47" s="88">
        <v>38</v>
      </c>
      <c r="B47" s="89">
        <v>11.6</v>
      </c>
      <c r="C47" s="89">
        <v>11.02</v>
      </c>
      <c r="D47" s="89">
        <v>10.45</v>
      </c>
      <c r="E47" s="89">
        <v>9.89</v>
      </c>
    </row>
    <row r="48" spans="1:5" x14ac:dyDescent="0.25">
      <c r="A48" s="88">
        <v>39</v>
      </c>
      <c r="B48" s="89">
        <v>11.77</v>
      </c>
      <c r="C48" s="89">
        <v>11.17</v>
      </c>
      <c r="D48" s="89">
        <v>10.59</v>
      </c>
      <c r="E48" s="89">
        <v>10.029999999999999</v>
      </c>
    </row>
    <row r="49" spans="1:5" x14ac:dyDescent="0.25">
      <c r="A49" s="88">
        <v>40</v>
      </c>
      <c r="B49" s="89">
        <v>11.93</v>
      </c>
      <c r="C49" s="89">
        <v>11.33</v>
      </c>
      <c r="D49" s="89">
        <v>10.74</v>
      </c>
      <c r="E49" s="89">
        <v>10.17</v>
      </c>
    </row>
    <row r="50" spans="1:5" x14ac:dyDescent="0.25">
      <c r="A50" s="88">
        <v>41</v>
      </c>
      <c r="B50" s="89">
        <v>12.11</v>
      </c>
      <c r="C50" s="89">
        <v>11.49</v>
      </c>
      <c r="D50" s="89">
        <v>10.89</v>
      </c>
      <c r="E50" s="89">
        <v>10.31</v>
      </c>
    </row>
    <row r="51" spans="1:5" x14ac:dyDescent="0.25">
      <c r="A51" s="88">
        <v>42</v>
      </c>
      <c r="B51" s="89">
        <v>12.28</v>
      </c>
      <c r="C51" s="89">
        <v>11.66</v>
      </c>
      <c r="D51" s="89">
        <v>11.05</v>
      </c>
      <c r="E51" s="89">
        <v>10.45</v>
      </c>
    </row>
    <row r="52" spans="1:5" x14ac:dyDescent="0.25">
      <c r="A52" s="88">
        <v>43</v>
      </c>
      <c r="B52" s="89">
        <v>12.46</v>
      </c>
      <c r="C52" s="89">
        <v>11.83</v>
      </c>
      <c r="D52" s="89">
        <v>11.21</v>
      </c>
      <c r="E52" s="89">
        <v>10.6</v>
      </c>
    </row>
    <row r="53" spans="1:5" x14ac:dyDescent="0.25">
      <c r="A53" s="88">
        <v>44</v>
      </c>
      <c r="B53" s="89">
        <v>12.65</v>
      </c>
      <c r="C53" s="89">
        <v>12</v>
      </c>
      <c r="D53" s="89">
        <v>11.37</v>
      </c>
      <c r="E53" s="89">
        <v>10.75</v>
      </c>
    </row>
    <row r="54" spans="1:5" x14ac:dyDescent="0.25">
      <c r="A54" s="88">
        <v>45</v>
      </c>
      <c r="B54" s="89">
        <v>12.84</v>
      </c>
      <c r="C54" s="89">
        <v>12.18</v>
      </c>
      <c r="D54" s="89">
        <v>11.54</v>
      </c>
      <c r="E54" s="89">
        <v>10.91</v>
      </c>
    </row>
    <row r="55" spans="1:5" x14ac:dyDescent="0.25">
      <c r="A55" s="88">
        <v>46</v>
      </c>
      <c r="B55" s="89">
        <v>13.04</v>
      </c>
      <c r="C55" s="89">
        <v>12.37</v>
      </c>
      <c r="D55" s="89">
        <v>11.71</v>
      </c>
      <c r="E55" s="89">
        <v>11.07</v>
      </c>
    </row>
    <row r="56" spans="1:5" x14ac:dyDescent="0.25">
      <c r="A56" s="88">
        <v>47</v>
      </c>
      <c r="B56" s="89">
        <v>13.24</v>
      </c>
      <c r="C56" s="89">
        <v>12.56</v>
      </c>
      <c r="D56" s="89">
        <v>11.89</v>
      </c>
      <c r="E56" s="89">
        <v>11.24</v>
      </c>
    </row>
    <row r="57" spans="1:5" x14ac:dyDescent="0.25">
      <c r="A57" s="88">
        <v>48</v>
      </c>
      <c r="B57" s="89">
        <v>13.45</v>
      </c>
      <c r="C57" s="89">
        <v>12.75</v>
      </c>
      <c r="D57" s="89">
        <v>12.07</v>
      </c>
      <c r="E57" s="89">
        <v>11.41</v>
      </c>
    </row>
    <row r="58" spans="1:5" x14ac:dyDescent="0.25">
      <c r="A58" s="88">
        <v>49</v>
      </c>
      <c r="B58" s="89">
        <v>13.66</v>
      </c>
      <c r="C58" s="89">
        <v>12.95</v>
      </c>
      <c r="D58" s="89">
        <v>12.26</v>
      </c>
      <c r="E58" s="89">
        <v>11.59</v>
      </c>
    </row>
    <row r="59" spans="1:5" x14ac:dyDescent="0.25">
      <c r="A59" s="88">
        <v>50</v>
      </c>
      <c r="B59" s="89">
        <v>13.88</v>
      </c>
      <c r="C59" s="89">
        <v>13.16</v>
      </c>
      <c r="D59" s="89">
        <v>12.45</v>
      </c>
      <c r="E59" s="89">
        <v>11.77</v>
      </c>
    </row>
    <row r="60" spans="1:5" x14ac:dyDescent="0.25">
      <c r="A60" s="88">
        <v>51</v>
      </c>
      <c r="B60" s="89">
        <v>14.11</v>
      </c>
      <c r="C60" s="89">
        <v>13.37</v>
      </c>
      <c r="D60" s="89">
        <v>12.65</v>
      </c>
      <c r="E60" s="89">
        <v>11.95</v>
      </c>
    </row>
    <row r="61" spans="1:5" x14ac:dyDescent="0.25">
      <c r="A61" s="88">
        <v>52</v>
      </c>
      <c r="B61" s="89">
        <v>14.34</v>
      </c>
      <c r="C61" s="89">
        <v>13.59</v>
      </c>
      <c r="D61" s="89">
        <v>12.86</v>
      </c>
      <c r="E61" s="89">
        <v>12.15</v>
      </c>
    </row>
    <row r="62" spans="1:5" x14ac:dyDescent="0.25">
      <c r="A62" s="88">
        <v>53</v>
      </c>
      <c r="B62" s="89">
        <v>14.58</v>
      </c>
      <c r="C62" s="89">
        <v>13.82</v>
      </c>
      <c r="D62" s="89">
        <v>13.07</v>
      </c>
      <c r="E62" s="89">
        <v>12.34</v>
      </c>
    </row>
    <row r="63" spans="1:5" x14ac:dyDescent="0.25">
      <c r="A63" s="88">
        <v>54</v>
      </c>
      <c r="B63" s="89">
        <v>14.83</v>
      </c>
      <c r="C63" s="89">
        <v>14.05</v>
      </c>
      <c r="D63" s="89">
        <v>13.29</v>
      </c>
      <c r="E63" s="89">
        <v>12.55</v>
      </c>
    </row>
    <row r="64" spans="1:5" x14ac:dyDescent="0.25">
      <c r="A64" s="88">
        <v>55</v>
      </c>
      <c r="B64" s="89">
        <v>15.09</v>
      </c>
      <c r="C64" s="89">
        <v>14.29</v>
      </c>
      <c r="D64" s="89">
        <v>13.52</v>
      </c>
      <c r="E64" s="89">
        <v>12.76</v>
      </c>
    </row>
    <row r="65" spans="1:5" x14ac:dyDescent="0.25">
      <c r="A65" s="88">
        <v>56</v>
      </c>
      <c r="B65" s="89">
        <v>15.36</v>
      </c>
      <c r="C65" s="89">
        <v>14.54</v>
      </c>
      <c r="D65" s="89">
        <v>13.75</v>
      </c>
      <c r="E65" s="89">
        <v>12.98</v>
      </c>
    </row>
    <row r="66" spans="1:5" x14ac:dyDescent="0.25">
      <c r="A66" s="88">
        <v>57</v>
      </c>
      <c r="B66" s="89">
        <v>15.63</v>
      </c>
      <c r="C66" s="89">
        <v>14.8</v>
      </c>
      <c r="D66" s="89">
        <v>13.99</v>
      </c>
      <c r="E66" s="89">
        <v>13.21</v>
      </c>
    </row>
    <row r="67" spans="1:5" x14ac:dyDescent="0.25">
      <c r="A67" s="88">
        <v>58</v>
      </c>
      <c r="B67" s="89">
        <v>15.92</v>
      </c>
      <c r="C67" s="89">
        <v>15.07</v>
      </c>
      <c r="D67" s="89">
        <v>14.25</v>
      </c>
      <c r="E67" s="89">
        <v>13.44</v>
      </c>
    </row>
    <row r="68" spans="1:5" x14ac:dyDescent="0.25">
      <c r="A68" s="88">
        <v>59</v>
      </c>
      <c r="B68" s="89">
        <v>16.22</v>
      </c>
      <c r="C68" s="89">
        <v>15.35</v>
      </c>
      <c r="D68" s="89">
        <v>14.51</v>
      </c>
      <c r="E68" s="89">
        <v>13.69</v>
      </c>
    </row>
    <row r="69" spans="1:5" x14ac:dyDescent="0.25">
      <c r="A69" s="88">
        <v>60</v>
      </c>
      <c r="B69" s="89">
        <v>16.53</v>
      </c>
      <c r="C69" s="89">
        <v>15.65</v>
      </c>
      <c r="D69" s="89">
        <v>14.78</v>
      </c>
      <c r="E69" s="89">
        <v>13.94</v>
      </c>
    </row>
    <row r="70" spans="1:5" x14ac:dyDescent="0.25">
      <c r="A70" s="88">
        <v>61</v>
      </c>
      <c r="B70" s="89">
        <v>16.86</v>
      </c>
      <c r="C70" s="89">
        <v>15.95</v>
      </c>
      <c r="D70" s="89">
        <v>15.07</v>
      </c>
      <c r="E70" s="89">
        <v>14.21</v>
      </c>
    </row>
    <row r="71" spans="1:5" x14ac:dyDescent="0.25">
      <c r="A71" s="88">
        <v>62</v>
      </c>
      <c r="B71" s="89">
        <v>17.2</v>
      </c>
      <c r="C71" s="89">
        <v>16.27</v>
      </c>
      <c r="D71" s="89">
        <v>15.37</v>
      </c>
      <c r="E71" s="89">
        <v>14.49</v>
      </c>
    </row>
    <row r="72" spans="1:5" x14ac:dyDescent="0.25">
      <c r="A72" s="88">
        <v>63</v>
      </c>
      <c r="B72" s="89">
        <v>17.55</v>
      </c>
      <c r="C72" s="89">
        <v>16.61</v>
      </c>
      <c r="D72" s="89">
        <v>15.68</v>
      </c>
      <c r="E72" s="89">
        <v>14.78</v>
      </c>
    </row>
    <row r="73" spans="1:5" x14ac:dyDescent="0.25">
      <c r="A73" s="88">
        <v>64</v>
      </c>
      <c r="B73" s="89">
        <v>17.93</v>
      </c>
      <c r="C73" s="89">
        <v>16.96</v>
      </c>
      <c r="D73" s="89">
        <v>16.010000000000002</v>
      </c>
      <c r="E73" s="89">
        <v>15.09</v>
      </c>
    </row>
    <row r="74" spans="1:5" x14ac:dyDescent="0.25">
      <c r="A74" s="88">
        <v>65</v>
      </c>
      <c r="B74" s="89">
        <v>17.8</v>
      </c>
      <c r="C74" s="89">
        <v>17.329999999999998</v>
      </c>
      <c r="D74" s="89">
        <v>16.36</v>
      </c>
      <c r="E74" s="89">
        <v>15.42</v>
      </c>
    </row>
    <row r="75" spans="1:5" x14ac:dyDescent="0.25">
      <c r="A75" s="88">
        <v>66</v>
      </c>
      <c r="B75" s="89">
        <v>17.16</v>
      </c>
      <c r="C75" s="89">
        <v>17.2</v>
      </c>
      <c r="D75" s="89">
        <v>16.73</v>
      </c>
      <c r="E75" s="89">
        <v>15.76</v>
      </c>
    </row>
    <row r="76" spans="1:5" x14ac:dyDescent="0.25">
      <c r="A76" s="88">
        <v>67</v>
      </c>
      <c r="B76" s="89">
        <v>16.52</v>
      </c>
      <c r="C76" s="89">
        <v>16.55</v>
      </c>
      <c r="D76" s="89">
        <v>16.59</v>
      </c>
      <c r="E76" s="89">
        <v>16.13</v>
      </c>
    </row>
    <row r="77" spans="1:5" x14ac:dyDescent="0.25">
      <c r="A77" s="88">
        <v>68</v>
      </c>
      <c r="B77" s="89">
        <v>15.89</v>
      </c>
      <c r="C77" s="89">
        <v>15.91</v>
      </c>
      <c r="D77" s="89">
        <v>15.94</v>
      </c>
      <c r="E77" s="89">
        <v>15.99</v>
      </c>
    </row>
    <row r="78" spans="1:5" x14ac:dyDescent="0.25">
      <c r="A78" s="88">
        <v>69</v>
      </c>
      <c r="B78" s="89">
        <v>15.26</v>
      </c>
      <c r="C78" s="89">
        <v>15.27</v>
      </c>
      <c r="D78" s="89">
        <v>15.3</v>
      </c>
      <c r="E78" s="89">
        <v>15.33</v>
      </c>
    </row>
    <row r="79" spans="1:5" x14ac:dyDescent="0.25">
      <c r="A79" s="88">
        <v>70</v>
      </c>
      <c r="B79" s="89">
        <v>14.64</v>
      </c>
      <c r="C79" s="89">
        <v>14.64</v>
      </c>
      <c r="D79" s="89">
        <v>14.65</v>
      </c>
      <c r="E79" s="89">
        <v>14.68</v>
      </c>
    </row>
    <row r="80" spans="1:5" x14ac:dyDescent="0.25">
      <c r="A80" s="88">
        <v>71</v>
      </c>
      <c r="B80" s="89">
        <v>14.02</v>
      </c>
      <c r="C80" s="89">
        <v>14.02</v>
      </c>
      <c r="D80" s="89">
        <v>14.02</v>
      </c>
      <c r="E80" s="89">
        <v>14.03</v>
      </c>
    </row>
    <row r="81" spans="1:5" x14ac:dyDescent="0.25">
      <c r="A81" s="88">
        <v>72</v>
      </c>
      <c r="B81" s="89">
        <v>13.4</v>
      </c>
      <c r="C81" s="89">
        <v>13.4</v>
      </c>
      <c r="D81" s="89">
        <v>13.4</v>
      </c>
      <c r="E81" s="89">
        <v>13.4</v>
      </c>
    </row>
    <row r="82" spans="1:5" x14ac:dyDescent="0.25">
      <c r="A82" s="88">
        <v>73</v>
      </c>
      <c r="B82" s="89">
        <v>12.78</v>
      </c>
      <c r="C82" s="89">
        <v>12.78</v>
      </c>
      <c r="D82" s="89">
        <v>12.78</v>
      </c>
      <c r="E82" s="89">
        <v>12.78</v>
      </c>
    </row>
    <row r="83" spans="1:5" x14ac:dyDescent="0.25">
      <c r="A83" s="88">
        <v>74</v>
      </c>
      <c r="B83" s="89">
        <v>12.17</v>
      </c>
      <c r="C83" s="89">
        <v>12.17</v>
      </c>
      <c r="D83" s="89">
        <v>12.17</v>
      </c>
      <c r="E83" s="89">
        <v>12.17</v>
      </c>
    </row>
    <row r="84" spans="1:5" x14ac:dyDescent="0.25">
      <c r="A84" s="88">
        <v>75</v>
      </c>
      <c r="B84" s="89">
        <v>11.56</v>
      </c>
      <c r="C84" s="89">
        <v>11.56</v>
      </c>
      <c r="D84" s="89">
        <v>11.56</v>
      </c>
      <c r="E84" s="89">
        <v>11.56</v>
      </c>
    </row>
    <row r="85" spans="1:5" x14ac:dyDescent="0.25">
      <c r="A85" s="88">
        <v>76</v>
      </c>
      <c r="B85" s="89">
        <v>10.96</v>
      </c>
      <c r="C85" s="89">
        <v>10.96</v>
      </c>
      <c r="D85" s="89">
        <v>10.96</v>
      </c>
      <c r="E85" s="89">
        <v>10.96</v>
      </c>
    </row>
    <row r="86" spans="1:5" x14ac:dyDescent="0.25">
      <c r="A86" s="88">
        <v>77</v>
      </c>
      <c r="B86" s="89">
        <v>10.36</v>
      </c>
      <c r="C86" s="89">
        <v>10.36</v>
      </c>
      <c r="D86" s="89">
        <v>10.36</v>
      </c>
      <c r="E86" s="89">
        <v>10.36</v>
      </c>
    </row>
    <row r="87" spans="1:5" x14ac:dyDescent="0.25">
      <c r="A87" s="88">
        <v>78</v>
      </c>
      <c r="B87" s="89">
        <v>9.77</v>
      </c>
      <c r="C87" s="89">
        <v>9.77</v>
      </c>
      <c r="D87" s="89">
        <v>9.77</v>
      </c>
      <c r="E87" s="89">
        <v>9.77</v>
      </c>
    </row>
    <row r="88" spans="1:5" x14ac:dyDescent="0.25">
      <c r="A88" s="88">
        <v>79</v>
      </c>
      <c r="B88" s="89">
        <v>9.1999999999999993</v>
      </c>
      <c r="C88" s="89">
        <v>9.1999999999999993</v>
      </c>
      <c r="D88" s="89">
        <v>9.1999999999999993</v>
      </c>
      <c r="E88" s="89">
        <v>9.1999999999999993</v>
      </c>
    </row>
    <row r="89" spans="1:5" x14ac:dyDescent="0.25">
      <c r="A89" s="88">
        <v>80</v>
      </c>
      <c r="B89" s="89">
        <v>8.6300000000000008</v>
      </c>
      <c r="C89" s="89">
        <v>8.6300000000000008</v>
      </c>
      <c r="D89" s="89">
        <v>8.6300000000000008</v>
      </c>
      <c r="E89" s="89">
        <v>8.6300000000000008</v>
      </c>
    </row>
    <row r="90" spans="1:5" x14ac:dyDescent="0.25">
      <c r="A90" s="88">
        <v>81</v>
      </c>
      <c r="B90" s="89">
        <v>8.08</v>
      </c>
      <c r="C90" s="89">
        <v>8.08</v>
      </c>
      <c r="D90" s="89">
        <v>8.08</v>
      </c>
      <c r="E90" s="89">
        <v>8.08</v>
      </c>
    </row>
    <row r="91" spans="1:5" x14ac:dyDescent="0.25">
      <c r="A91" s="88">
        <v>82</v>
      </c>
      <c r="B91" s="89">
        <v>7.54</v>
      </c>
      <c r="C91" s="89">
        <v>7.54</v>
      </c>
      <c r="D91" s="89">
        <v>7.54</v>
      </c>
      <c r="E91" s="89">
        <v>7.54</v>
      </c>
    </row>
    <row r="92" spans="1:5" x14ac:dyDescent="0.25">
      <c r="A92" s="88">
        <v>83</v>
      </c>
      <c r="B92" s="89">
        <v>7.02</v>
      </c>
      <c r="C92" s="89">
        <v>7.02</v>
      </c>
      <c r="D92" s="89">
        <v>7.02</v>
      </c>
      <c r="E92" s="89">
        <v>7.02</v>
      </c>
    </row>
    <row r="93" spans="1:5" x14ac:dyDescent="0.25">
      <c r="A93" s="88">
        <v>84</v>
      </c>
      <c r="B93" s="89">
        <v>6.52</v>
      </c>
      <c r="C93" s="89">
        <v>6.52</v>
      </c>
      <c r="D93" s="89">
        <v>6.52</v>
      </c>
      <c r="E93" s="89">
        <v>6.52</v>
      </c>
    </row>
    <row r="94" spans="1:5" x14ac:dyDescent="0.25">
      <c r="A94" s="88">
        <v>85</v>
      </c>
      <c r="B94" s="89">
        <v>6.03</v>
      </c>
      <c r="C94" s="89">
        <v>6.03</v>
      </c>
      <c r="D94" s="89">
        <v>6.03</v>
      </c>
      <c r="E94" s="89">
        <v>6.03</v>
      </c>
    </row>
  </sheetData>
  <sheetProtection algorithmName="SHA-512" hashValue="dKHW4REDstI+o7o69ftLtHiwv/Ay5AFL0Ft9Q3grAaoFH9XvB7qYgMJUhE9QspkSvPZMNb+mcYrXP9o5pi6qow==" saltValue="6R03aK793BiI53nNWSPRpw==" spinCount="100000" sheet="1" objects="1" scenarios="1"/>
  <conditionalFormatting sqref="A6:A21">
    <cfRule type="expression" dxfId="437" priority="3" stopIfTrue="1">
      <formula>MOD(ROW(),2)=0</formula>
    </cfRule>
    <cfRule type="expression" dxfId="436" priority="4" stopIfTrue="1">
      <formula>MOD(ROW(),2)&lt;&gt;0</formula>
    </cfRule>
  </conditionalFormatting>
  <conditionalFormatting sqref="A26:A94">
    <cfRule type="expression" dxfId="435" priority="9" stopIfTrue="1">
      <formula>MOD(ROW(),2)=0</formula>
    </cfRule>
    <cfRule type="expression" dxfId="434" priority="10" stopIfTrue="1">
      <formula>MOD(ROW(),2)&lt;&gt;0</formula>
    </cfRule>
  </conditionalFormatting>
  <conditionalFormatting sqref="B17:B21">
    <cfRule type="expression" dxfId="433" priority="7" stopIfTrue="1">
      <formula>MOD(ROW(),2)=0</formula>
    </cfRule>
    <cfRule type="expression" dxfId="432" priority="8" stopIfTrue="1">
      <formula>MOD(ROW(),2)&lt;&gt;0</formula>
    </cfRule>
  </conditionalFormatting>
  <conditionalFormatting sqref="B6:E21 B26:E94">
    <cfRule type="expression" dxfId="431" priority="23" stopIfTrue="1">
      <formula>MOD(ROW(),2)=0</formula>
    </cfRule>
    <cfRule type="expression" dxfId="430" priority="2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09"/>
  <dimension ref="A1:G65"/>
  <sheetViews>
    <sheetView showGridLines="0" zoomScale="85" zoomScaleNormal="85" workbookViewId="0">
      <selection activeCell="A4" sqref="A4"/>
    </sheetView>
  </sheetViews>
  <sheetFormatPr defaultColWidth="10" defaultRowHeight="13.2" x14ac:dyDescent="0.25"/>
  <cols>
    <col min="1" max="1" width="31.88671875" style="27" customWidth="1"/>
    <col min="2" max="7" width="22.88671875" style="27" customWidth="1"/>
    <col min="8"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Fire_S - Consolidated Factor Spreadsheet</v>
      </c>
      <c r="B2" s="42"/>
      <c r="C2" s="42"/>
      <c r="D2" s="42"/>
      <c r="E2" s="42"/>
      <c r="F2" s="42"/>
      <c r="G2" s="42"/>
    </row>
    <row r="3" spans="1:7" ht="15.6" x14ac:dyDescent="0.3">
      <c r="A3" s="43" t="str">
        <f>TABLE_FACTOR_TYPE_1&amp;" - x-"&amp;TABLE_SERIES_NUMBER_1</f>
        <v>Pension Debit - x-322</v>
      </c>
      <c r="B3" s="42"/>
      <c r="C3" s="42"/>
      <c r="D3" s="42"/>
      <c r="E3" s="42"/>
      <c r="F3" s="42"/>
      <c r="G3" s="42"/>
    </row>
    <row r="4" spans="1:7" x14ac:dyDescent="0.25">
      <c r="A4" s="44"/>
    </row>
    <row r="6" spans="1:7" x14ac:dyDescent="0.25">
      <c r="A6" s="75" t="s">
        <v>484</v>
      </c>
      <c r="B6" s="162" t="s">
        <v>485</v>
      </c>
      <c r="C6" s="162"/>
      <c r="D6" s="162"/>
      <c r="E6" s="162"/>
      <c r="F6" s="162"/>
      <c r="G6" s="162"/>
    </row>
    <row r="7" spans="1:7" x14ac:dyDescent="0.25">
      <c r="A7" s="76" t="s">
        <v>486</v>
      </c>
      <c r="B7" s="162" t="s">
        <v>81</v>
      </c>
      <c r="C7" s="162"/>
      <c r="D7" s="162"/>
      <c r="E7" s="162"/>
      <c r="F7" s="162"/>
      <c r="G7" s="162"/>
    </row>
    <row r="8" spans="1:7" x14ac:dyDescent="0.25">
      <c r="A8" s="76" t="s">
        <v>282</v>
      </c>
      <c r="B8" s="162">
        <v>1992</v>
      </c>
      <c r="C8" s="162"/>
      <c r="D8" s="162"/>
      <c r="E8" s="162"/>
      <c r="F8" s="162"/>
      <c r="G8" s="162"/>
    </row>
    <row r="9" spans="1:7" x14ac:dyDescent="0.25">
      <c r="A9" s="76" t="s">
        <v>283</v>
      </c>
      <c r="B9" s="162" t="s">
        <v>347</v>
      </c>
      <c r="C9" s="162"/>
      <c r="D9" s="162"/>
      <c r="E9" s="162"/>
      <c r="F9" s="162"/>
      <c r="G9" s="162"/>
    </row>
    <row r="10" spans="1:7" x14ac:dyDescent="0.25">
      <c r="A10" s="76" t="s">
        <v>6</v>
      </c>
      <c r="B10" s="162" t="s">
        <v>353</v>
      </c>
      <c r="C10" s="162"/>
      <c r="D10" s="162"/>
      <c r="E10" s="162"/>
      <c r="F10" s="162"/>
      <c r="G10" s="162"/>
    </row>
    <row r="11" spans="1:7" x14ac:dyDescent="0.25">
      <c r="A11" s="76" t="s">
        <v>284</v>
      </c>
      <c r="B11" s="162" t="s">
        <v>349</v>
      </c>
      <c r="C11" s="162"/>
      <c r="D11" s="162"/>
      <c r="E11" s="162"/>
      <c r="F11" s="162"/>
      <c r="G11" s="162"/>
    </row>
    <row r="12" spans="1:7" x14ac:dyDescent="0.25">
      <c r="A12" s="76" t="s">
        <v>285</v>
      </c>
      <c r="B12" s="162" t="s">
        <v>350</v>
      </c>
      <c r="C12" s="162"/>
      <c r="D12" s="162"/>
      <c r="E12" s="162"/>
      <c r="F12" s="162"/>
      <c r="G12" s="162"/>
    </row>
    <row r="13" spans="1:7" hidden="1" x14ac:dyDescent="0.25">
      <c r="A13" s="76" t="s">
        <v>493</v>
      </c>
      <c r="B13" s="162">
        <v>2</v>
      </c>
      <c r="C13" s="162"/>
      <c r="D13" s="162"/>
      <c r="E13" s="162"/>
      <c r="F13" s="162"/>
      <c r="G13" s="162"/>
    </row>
    <row r="14" spans="1:7" hidden="1" x14ac:dyDescent="0.25">
      <c r="A14" s="76" t="s">
        <v>287</v>
      </c>
      <c r="B14" s="162">
        <v>322</v>
      </c>
      <c r="C14" s="162"/>
      <c r="D14" s="162"/>
      <c r="E14" s="162"/>
      <c r="F14" s="162"/>
      <c r="G14" s="162"/>
    </row>
    <row r="15" spans="1:7" x14ac:dyDescent="0.25">
      <c r="A15" s="76" t="s">
        <v>496</v>
      </c>
      <c r="B15" s="162" t="s">
        <v>354</v>
      </c>
      <c r="C15" s="162"/>
      <c r="D15" s="162"/>
      <c r="E15" s="162"/>
      <c r="F15" s="162"/>
      <c r="G15" s="162"/>
    </row>
    <row r="16" spans="1:7" x14ac:dyDescent="0.25">
      <c r="A16" s="76" t="s">
        <v>288</v>
      </c>
      <c r="B16" s="162" t="s">
        <v>355</v>
      </c>
      <c r="C16" s="162"/>
      <c r="D16" s="162"/>
      <c r="E16" s="162"/>
      <c r="F16" s="162"/>
      <c r="G16" s="162"/>
    </row>
    <row r="17" spans="1:7" x14ac:dyDescent="0.25">
      <c r="A17" s="76" t="s">
        <v>568</v>
      </c>
      <c r="B17" s="162"/>
      <c r="C17" s="162"/>
      <c r="D17" s="162"/>
      <c r="E17" s="162"/>
      <c r="F17" s="162"/>
      <c r="G17" s="162"/>
    </row>
    <row r="18" spans="1:7" x14ac:dyDescent="0.25">
      <c r="A18" s="76" t="s">
        <v>500</v>
      </c>
      <c r="B18" s="164">
        <v>45070</v>
      </c>
      <c r="C18" s="162"/>
      <c r="D18" s="162"/>
      <c r="E18" s="162"/>
      <c r="F18" s="162"/>
      <c r="G18" s="162"/>
    </row>
    <row r="19" spans="1:7" x14ac:dyDescent="0.25">
      <c r="A19" s="76" t="s">
        <v>290</v>
      </c>
      <c r="B19" s="164">
        <v>45014</v>
      </c>
      <c r="C19" s="162"/>
      <c r="D19" s="162"/>
      <c r="E19" s="162"/>
      <c r="F19" s="162"/>
      <c r="G19" s="162"/>
    </row>
    <row r="20" spans="1:7" x14ac:dyDescent="0.25">
      <c r="A20" s="76" t="s">
        <v>291</v>
      </c>
      <c r="B20" s="162" t="s">
        <v>298</v>
      </c>
      <c r="C20" s="162"/>
      <c r="D20" s="162"/>
      <c r="E20" s="162"/>
      <c r="F20" s="162"/>
      <c r="G20" s="162"/>
    </row>
    <row r="21" spans="1:7" x14ac:dyDescent="0.25">
      <c r="A21" s="150" t="s">
        <v>569</v>
      </c>
      <c r="B21" s="162" t="s">
        <v>297</v>
      </c>
      <c r="C21" s="162"/>
      <c r="D21" s="162"/>
      <c r="E21" s="162"/>
      <c r="F21" s="162"/>
      <c r="G21" s="162"/>
    </row>
    <row r="23" spans="1:7" x14ac:dyDescent="0.25">
      <c r="B23" s="91" t="str">
        <f>HYPERLINK("#'Factor List'!A1","Back to Factor List")</f>
        <v>Back to Factor List</v>
      </c>
    </row>
    <row r="24" spans="1:7" x14ac:dyDescent="0.25">
      <c r="B24" s="91" t="str">
        <f>HYPERLINK("#'Assumptions'!A1","Assumptions")</f>
        <v>Assumptions</v>
      </c>
    </row>
    <row r="26" spans="1:7" x14ac:dyDescent="0.25">
      <c r="A26" s="87" t="s">
        <v>611</v>
      </c>
      <c r="B26" s="87">
        <v>60</v>
      </c>
      <c r="C26" s="87">
        <v>61</v>
      </c>
      <c r="D26" s="87">
        <v>62</v>
      </c>
      <c r="E26" s="87">
        <v>63</v>
      </c>
      <c r="F26" s="87">
        <v>64</v>
      </c>
      <c r="G26" s="87">
        <v>65</v>
      </c>
    </row>
    <row r="27" spans="1:7" x14ac:dyDescent="0.25">
      <c r="A27" s="88">
        <v>0</v>
      </c>
      <c r="B27" s="90">
        <v>1</v>
      </c>
      <c r="C27" s="90">
        <v>1.052</v>
      </c>
      <c r="D27" s="90">
        <v>1.109</v>
      </c>
      <c r="E27" s="90">
        <v>1.171</v>
      </c>
      <c r="F27" s="90">
        <v>1.238</v>
      </c>
      <c r="G27" s="90">
        <v>1.3109999999999999</v>
      </c>
    </row>
    <row r="28" spans="1:7" x14ac:dyDescent="0.25">
      <c r="A28" s="88">
        <v>1</v>
      </c>
      <c r="B28" s="90">
        <v>1.004</v>
      </c>
      <c r="C28" s="90">
        <v>1.0569999999999999</v>
      </c>
      <c r="D28" s="90">
        <v>1.1140000000000001</v>
      </c>
      <c r="E28" s="90">
        <v>1.1759999999999999</v>
      </c>
      <c r="F28" s="90">
        <v>1.244</v>
      </c>
      <c r="G28" s="90">
        <v>1.3180000000000001</v>
      </c>
    </row>
    <row r="29" spans="1:7" x14ac:dyDescent="0.25">
      <c r="A29" s="88">
        <v>2</v>
      </c>
      <c r="B29" s="90">
        <v>1.0089999999999999</v>
      </c>
      <c r="C29" s="90">
        <v>1.0620000000000001</v>
      </c>
      <c r="D29" s="90">
        <v>1.119</v>
      </c>
      <c r="E29" s="90">
        <v>1.1819999999999999</v>
      </c>
      <c r="F29" s="90">
        <v>1.25</v>
      </c>
      <c r="G29" s="90">
        <v>1.3240000000000001</v>
      </c>
    </row>
    <row r="30" spans="1:7" x14ac:dyDescent="0.25">
      <c r="A30" s="88">
        <v>3</v>
      </c>
      <c r="B30" s="90">
        <v>1.0129999999999999</v>
      </c>
      <c r="C30" s="90">
        <v>1.0660000000000001</v>
      </c>
      <c r="D30" s="90">
        <v>1.1240000000000001</v>
      </c>
      <c r="E30" s="90">
        <v>1.1870000000000001</v>
      </c>
      <c r="F30" s="90">
        <v>1.256</v>
      </c>
      <c r="G30" s="90">
        <v>1.331</v>
      </c>
    </row>
    <row r="31" spans="1:7" x14ac:dyDescent="0.25">
      <c r="A31" s="88">
        <v>4</v>
      </c>
      <c r="B31" s="90">
        <v>1.0169999999999999</v>
      </c>
      <c r="C31" s="90">
        <v>1.071</v>
      </c>
      <c r="D31" s="90">
        <v>1.129</v>
      </c>
      <c r="E31" s="90">
        <v>1.1930000000000001</v>
      </c>
      <c r="F31" s="90">
        <v>1.262</v>
      </c>
      <c r="G31" s="90">
        <v>1.3380000000000001</v>
      </c>
    </row>
    <row r="32" spans="1:7" x14ac:dyDescent="0.25">
      <c r="A32" s="88">
        <v>5</v>
      </c>
      <c r="B32" s="90">
        <v>1.022</v>
      </c>
      <c r="C32" s="90">
        <v>1.0760000000000001</v>
      </c>
      <c r="D32" s="90">
        <v>1.135</v>
      </c>
      <c r="E32" s="90">
        <v>1.1990000000000001</v>
      </c>
      <c r="F32" s="90">
        <v>1.268</v>
      </c>
      <c r="G32" s="90">
        <v>1.3440000000000001</v>
      </c>
    </row>
    <row r="33" spans="1:7" x14ac:dyDescent="0.25">
      <c r="A33" s="88">
        <v>6</v>
      </c>
      <c r="B33" s="90">
        <v>1.026</v>
      </c>
      <c r="C33" s="90">
        <v>1.081</v>
      </c>
      <c r="D33" s="90">
        <v>1.1399999999999999</v>
      </c>
      <c r="E33" s="90">
        <v>1.204</v>
      </c>
      <c r="F33" s="90">
        <v>1.274</v>
      </c>
      <c r="G33" s="90">
        <v>1.351</v>
      </c>
    </row>
    <row r="34" spans="1:7" x14ac:dyDescent="0.25">
      <c r="A34" s="88">
        <v>7</v>
      </c>
      <c r="B34" s="90">
        <v>1.03</v>
      </c>
      <c r="C34" s="90">
        <v>1.085</v>
      </c>
      <c r="D34" s="90">
        <v>1.145</v>
      </c>
      <c r="E34" s="90">
        <v>1.21</v>
      </c>
      <c r="F34" s="90">
        <v>1.2809999999999999</v>
      </c>
      <c r="G34" s="90">
        <v>1.3580000000000001</v>
      </c>
    </row>
    <row r="35" spans="1:7" x14ac:dyDescent="0.25">
      <c r="A35" s="88">
        <v>8</v>
      </c>
      <c r="B35" s="90">
        <v>1.0349999999999999</v>
      </c>
      <c r="C35" s="90">
        <v>1.0900000000000001</v>
      </c>
      <c r="D35" s="90">
        <v>1.1499999999999999</v>
      </c>
      <c r="E35" s="90">
        <v>1.2150000000000001</v>
      </c>
      <c r="F35" s="90">
        <v>1.2869999999999999</v>
      </c>
      <c r="G35" s="90">
        <v>1.365</v>
      </c>
    </row>
    <row r="36" spans="1:7" x14ac:dyDescent="0.25">
      <c r="A36" s="88">
        <v>9</v>
      </c>
      <c r="B36" s="90">
        <v>1.0389999999999999</v>
      </c>
      <c r="C36" s="90">
        <v>1.095</v>
      </c>
      <c r="D36" s="90">
        <v>1.155</v>
      </c>
      <c r="E36" s="90">
        <v>1.2210000000000001</v>
      </c>
      <c r="F36" s="90">
        <v>1.2929999999999999</v>
      </c>
      <c r="G36" s="90">
        <v>1.371</v>
      </c>
    </row>
    <row r="37" spans="1:7" x14ac:dyDescent="0.25">
      <c r="A37" s="88">
        <v>10</v>
      </c>
      <c r="B37" s="90">
        <v>1.044</v>
      </c>
      <c r="C37" s="90">
        <v>1.099</v>
      </c>
      <c r="D37" s="90">
        <v>1.1599999999999999</v>
      </c>
      <c r="E37" s="90">
        <v>1.2270000000000001</v>
      </c>
      <c r="F37" s="90">
        <v>1.2989999999999999</v>
      </c>
      <c r="G37" s="90">
        <v>1.3779999999999999</v>
      </c>
    </row>
    <row r="38" spans="1:7" x14ac:dyDescent="0.25">
      <c r="A38" s="88">
        <v>11</v>
      </c>
      <c r="B38" s="90">
        <v>1.048</v>
      </c>
      <c r="C38" s="90">
        <v>1.1040000000000001</v>
      </c>
      <c r="D38" s="90">
        <v>1.165</v>
      </c>
      <c r="E38" s="90">
        <v>1.232</v>
      </c>
      <c r="F38" s="90">
        <v>1.3049999999999999</v>
      </c>
      <c r="G38" s="90">
        <v>1.385</v>
      </c>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ht="39.6" customHeight="1" x14ac:dyDescent="0.25">
      <c r="A44"/>
      <c r="B44"/>
    </row>
    <row r="45" spans="1:7" x14ac:dyDescent="0.25">
      <c r="A45"/>
      <c r="B45"/>
    </row>
    <row r="46" spans="1:7" ht="27.6" customHeight="1"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38ciV98M032ssaY6Xl8Rts0/GZOQxZevF93T9FkBTSEUd6KPEgQEq/bIPJLO7Ree+2ZMUq1RBK0hdrggGq62Zw==" saltValue="+71TvAwNUeqRUpr88TtcaA==" spinCount="100000" sheet="1" objects="1" scenarios="1"/>
  <conditionalFormatting sqref="A6:A21">
    <cfRule type="expression" dxfId="429" priority="3" stopIfTrue="1">
      <formula>MOD(ROW(),2)=0</formula>
    </cfRule>
    <cfRule type="expression" dxfId="428" priority="4" stopIfTrue="1">
      <formula>MOD(ROW(),2)&lt;&gt;0</formula>
    </cfRule>
  </conditionalFormatting>
  <conditionalFormatting sqref="A26:A38">
    <cfRule type="expression" dxfId="427" priority="9" stopIfTrue="1">
      <formula>MOD(ROW(),2)=0</formula>
    </cfRule>
    <cfRule type="expression" dxfId="426" priority="10" stopIfTrue="1">
      <formula>MOD(ROW(),2)&lt;&gt;0</formula>
    </cfRule>
  </conditionalFormatting>
  <conditionalFormatting sqref="B17:C21">
    <cfRule type="expression" dxfId="425" priority="7" stopIfTrue="1">
      <formula>MOD(ROW(),2)=0</formula>
    </cfRule>
    <cfRule type="expression" dxfId="424" priority="8" stopIfTrue="1">
      <formula>MOD(ROW(),2)&lt;&gt;0</formula>
    </cfRule>
  </conditionalFormatting>
  <conditionalFormatting sqref="B6:G21 B26:G38">
    <cfRule type="expression" dxfId="423" priority="25" stopIfTrue="1">
      <formula>MOD(ROW(),2)=0</formula>
    </cfRule>
    <cfRule type="expression" dxfId="422" priority="2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10"/>
  <dimension ref="A1:AQ65"/>
  <sheetViews>
    <sheetView showGridLines="0" zoomScale="85" zoomScaleNormal="85" workbookViewId="0">
      <selection activeCell="A4" sqref="A4"/>
    </sheetView>
  </sheetViews>
  <sheetFormatPr defaultColWidth="10" defaultRowHeight="13.2" x14ac:dyDescent="0.25"/>
  <cols>
    <col min="1" max="1" width="31.88671875" style="27" customWidth="1"/>
    <col min="2" max="43" width="22.88671875" style="27" customWidth="1"/>
    <col min="44" max="16384" width="10" style="27"/>
  </cols>
  <sheetData>
    <row r="1" spans="1:43" ht="21" x14ac:dyDescent="0.4">
      <c r="A1" s="39" t="s">
        <v>0</v>
      </c>
      <c r="B1" s="40"/>
      <c r="C1" s="40"/>
      <c r="D1" s="40"/>
      <c r="E1" s="40"/>
      <c r="F1" s="40"/>
      <c r="G1" s="40"/>
      <c r="H1" s="40"/>
      <c r="I1" s="40"/>
    </row>
    <row r="2" spans="1:43" ht="15.6" x14ac:dyDescent="0.3">
      <c r="A2" s="41" t="str">
        <f>IF(title="&gt; Enter workbook title here","Enter workbook title in Cover sheet",title)</f>
        <v>Fire_S - Consolidated Factor Spreadsheet</v>
      </c>
      <c r="B2" s="42"/>
      <c r="C2" s="42"/>
      <c r="D2" s="42"/>
      <c r="E2" s="42"/>
      <c r="F2" s="42"/>
      <c r="G2" s="42"/>
      <c r="H2" s="42"/>
      <c r="I2" s="42"/>
    </row>
    <row r="3" spans="1:43" ht="15.6" x14ac:dyDescent="0.3">
      <c r="A3" s="43" t="str">
        <f>TABLE_FACTOR_TYPE_1&amp;" - x-"&amp;TABLE_SERIES_NUMBER_1</f>
        <v>Pension Debit - x-323</v>
      </c>
      <c r="B3" s="42"/>
      <c r="C3" s="42"/>
      <c r="D3" s="42"/>
      <c r="E3" s="42"/>
      <c r="F3" s="42"/>
      <c r="G3" s="42"/>
      <c r="H3" s="42"/>
      <c r="I3" s="42"/>
    </row>
    <row r="4" spans="1:43" x14ac:dyDescent="0.25">
      <c r="A4" s="44"/>
    </row>
    <row r="6" spans="1:43" x14ac:dyDescent="0.25">
      <c r="A6" s="75" t="s">
        <v>484</v>
      </c>
      <c r="B6" s="162" t="s">
        <v>485</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row>
    <row r="7" spans="1:43" x14ac:dyDescent="0.25">
      <c r="A7" s="76" t="s">
        <v>486</v>
      </c>
      <c r="B7" s="162" t="s">
        <v>81</v>
      </c>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row>
    <row r="8" spans="1:43" x14ac:dyDescent="0.25">
      <c r="A8" s="76" t="s">
        <v>282</v>
      </c>
      <c r="B8" s="162">
        <v>1992</v>
      </c>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row>
    <row r="9" spans="1:43" x14ac:dyDescent="0.25">
      <c r="A9" s="76" t="s">
        <v>283</v>
      </c>
      <c r="B9" s="162" t="s">
        <v>347</v>
      </c>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row>
    <row r="10" spans="1:43" x14ac:dyDescent="0.25">
      <c r="A10" s="76" t="s">
        <v>6</v>
      </c>
      <c r="B10" s="162" t="s">
        <v>356</v>
      </c>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row>
    <row r="11" spans="1:43" x14ac:dyDescent="0.25">
      <c r="A11" s="76" t="s">
        <v>284</v>
      </c>
      <c r="B11" s="162" t="s">
        <v>349</v>
      </c>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row>
    <row r="12" spans="1:43" x14ac:dyDescent="0.25">
      <c r="A12" s="76" t="s">
        <v>285</v>
      </c>
      <c r="B12" s="162" t="s">
        <v>350</v>
      </c>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row>
    <row r="13" spans="1:43" hidden="1" x14ac:dyDescent="0.25">
      <c r="A13" s="76" t="s">
        <v>493</v>
      </c>
      <c r="B13" s="162">
        <v>2</v>
      </c>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row>
    <row r="14" spans="1:43" hidden="1" x14ac:dyDescent="0.25">
      <c r="A14" s="76" t="s">
        <v>287</v>
      </c>
      <c r="B14" s="162">
        <v>323</v>
      </c>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row>
    <row r="15" spans="1:43" x14ac:dyDescent="0.25">
      <c r="A15" s="76" t="s">
        <v>496</v>
      </c>
      <c r="B15" s="162" t="s">
        <v>357</v>
      </c>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row>
    <row r="16" spans="1:43" x14ac:dyDescent="0.25">
      <c r="A16" s="76" t="s">
        <v>288</v>
      </c>
      <c r="B16" s="162" t="s">
        <v>358</v>
      </c>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row>
    <row r="17" spans="1:43" x14ac:dyDescent="0.25">
      <c r="A17" s="76" t="s">
        <v>568</v>
      </c>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row>
    <row r="18" spans="1:43" x14ac:dyDescent="0.25">
      <c r="A18" s="76" t="s">
        <v>500</v>
      </c>
      <c r="B18" s="164">
        <v>45070</v>
      </c>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row>
    <row r="19" spans="1:43" x14ac:dyDescent="0.25">
      <c r="A19" s="76" t="s">
        <v>290</v>
      </c>
      <c r="B19" s="164">
        <v>45014</v>
      </c>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row>
    <row r="20" spans="1:43" x14ac:dyDescent="0.25">
      <c r="A20" s="76" t="s">
        <v>291</v>
      </c>
      <c r="B20" s="162" t="s">
        <v>298</v>
      </c>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row>
    <row r="21" spans="1:43" x14ac:dyDescent="0.25">
      <c r="A21" s="150" t="s">
        <v>569</v>
      </c>
      <c r="B21" s="162" t="s">
        <v>297</v>
      </c>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row>
    <row r="23" spans="1:43" x14ac:dyDescent="0.25">
      <c r="B23" s="91" t="str">
        <f>HYPERLINK("#'Factor List'!A1","Back to Factor List")</f>
        <v>Back to Factor List</v>
      </c>
    </row>
    <row r="24" spans="1:43" x14ac:dyDescent="0.25">
      <c r="B24" s="91" t="str">
        <f>HYPERLINK("#'Assumptions'!A1","Assumptions")</f>
        <v>Assumptions</v>
      </c>
    </row>
    <row r="26" spans="1:43" x14ac:dyDescent="0.25">
      <c r="A26" s="87" t="s">
        <v>611</v>
      </c>
      <c r="B26" s="87">
        <v>18</v>
      </c>
      <c r="C26" s="87">
        <v>19</v>
      </c>
      <c r="D26" s="87">
        <v>20</v>
      </c>
      <c r="E26" s="87">
        <v>21</v>
      </c>
      <c r="F26" s="87">
        <v>22</v>
      </c>
      <c r="G26" s="87">
        <v>23</v>
      </c>
      <c r="H26" s="87">
        <v>24</v>
      </c>
      <c r="I26" s="87">
        <v>25</v>
      </c>
      <c r="J26" s="87">
        <v>26</v>
      </c>
      <c r="K26" s="87">
        <v>27</v>
      </c>
      <c r="L26" s="87">
        <v>28</v>
      </c>
      <c r="M26" s="87">
        <v>29</v>
      </c>
      <c r="N26" s="87">
        <v>30</v>
      </c>
      <c r="O26" s="87">
        <v>31</v>
      </c>
      <c r="P26" s="87">
        <v>32</v>
      </c>
      <c r="Q26" s="87">
        <v>33</v>
      </c>
      <c r="R26" s="87">
        <v>34</v>
      </c>
      <c r="S26" s="87">
        <v>35</v>
      </c>
      <c r="T26" s="87">
        <v>36</v>
      </c>
      <c r="U26" s="87">
        <v>37</v>
      </c>
      <c r="V26" s="87">
        <v>38</v>
      </c>
      <c r="W26" s="87">
        <v>39</v>
      </c>
      <c r="X26" s="87">
        <v>40</v>
      </c>
      <c r="Y26" s="87">
        <v>41</v>
      </c>
      <c r="Z26" s="87">
        <v>42</v>
      </c>
      <c r="AA26" s="87">
        <v>43</v>
      </c>
      <c r="AB26" s="87">
        <v>44</v>
      </c>
      <c r="AC26" s="87">
        <v>45</v>
      </c>
      <c r="AD26" s="87">
        <v>46</v>
      </c>
      <c r="AE26" s="87">
        <v>47</v>
      </c>
      <c r="AF26" s="87">
        <v>48</v>
      </c>
      <c r="AG26" s="87">
        <v>49</v>
      </c>
      <c r="AH26" s="87">
        <v>50</v>
      </c>
      <c r="AI26" s="87">
        <v>51</v>
      </c>
      <c r="AJ26" s="87">
        <v>52</v>
      </c>
      <c r="AK26" s="87">
        <v>53</v>
      </c>
      <c r="AL26" s="87">
        <v>54</v>
      </c>
      <c r="AM26" s="87">
        <v>55</v>
      </c>
      <c r="AN26" s="87">
        <v>56</v>
      </c>
      <c r="AO26" s="87">
        <v>57</v>
      </c>
      <c r="AP26" s="87">
        <v>58</v>
      </c>
      <c r="AQ26" s="87">
        <v>59</v>
      </c>
    </row>
    <row r="27" spans="1:43" x14ac:dyDescent="0.25">
      <c r="A27" s="88">
        <v>0</v>
      </c>
      <c r="B27" s="90">
        <v>0.26</v>
      </c>
      <c r="C27" s="90">
        <v>0.26600000000000001</v>
      </c>
      <c r="D27" s="90">
        <v>0.27200000000000002</v>
      </c>
      <c r="E27" s="90">
        <v>0.27900000000000003</v>
      </c>
      <c r="F27" s="90">
        <v>0.28499999999999998</v>
      </c>
      <c r="G27" s="90">
        <v>0.29199999999999998</v>
      </c>
      <c r="H27" s="90">
        <v>0.29899999999999999</v>
      </c>
      <c r="I27" s="90">
        <v>0.307</v>
      </c>
      <c r="J27" s="90">
        <v>0.314</v>
      </c>
      <c r="K27" s="90">
        <v>0.32200000000000001</v>
      </c>
      <c r="L27" s="90">
        <v>0.33100000000000002</v>
      </c>
      <c r="M27" s="90">
        <v>0.33900000000000002</v>
      </c>
      <c r="N27" s="90">
        <v>0.34799999999999998</v>
      </c>
      <c r="O27" s="90">
        <v>0.35799999999999998</v>
      </c>
      <c r="P27" s="90">
        <v>0.36699999999999999</v>
      </c>
      <c r="Q27" s="90">
        <v>0.378</v>
      </c>
      <c r="R27" s="90">
        <v>0.38800000000000001</v>
      </c>
      <c r="S27" s="90">
        <v>0.39900000000000002</v>
      </c>
      <c r="T27" s="90">
        <v>0.41099999999999998</v>
      </c>
      <c r="U27" s="90">
        <v>0.42299999999999999</v>
      </c>
      <c r="V27" s="90">
        <v>0.435</v>
      </c>
      <c r="W27" s="90">
        <v>0.44900000000000001</v>
      </c>
      <c r="X27" s="90">
        <v>0.46200000000000002</v>
      </c>
      <c r="Y27" s="90">
        <v>0.47699999999999998</v>
      </c>
      <c r="Z27" s="90">
        <v>0.49199999999999999</v>
      </c>
      <c r="AA27" s="90">
        <v>0.50800000000000001</v>
      </c>
      <c r="AB27" s="90">
        <v>0.52500000000000002</v>
      </c>
      <c r="AC27" s="90">
        <v>0.54300000000000004</v>
      </c>
      <c r="AD27" s="90">
        <v>0.56200000000000006</v>
      </c>
      <c r="AE27" s="90">
        <v>0.58199999999999996</v>
      </c>
      <c r="AF27" s="90">
        <v>0.60299999999999998</v>
      </c>
      <c r="AG27" s="90">
        <v>0.625</v>
      </c>
      <c r="AH27" s="90">
        <v>0.64900000000000002</v>
      </c>
      <c r="AI27" s="90">
        <v>0.67400000000000004</v>
      </c>
      <c r="AJ27" s="90">
        <v>0.70099999999999996</v>
      </c>
      <c r="AK27" s="90">
        <v>0.73</v>
      </c>
      <c r="AL27" s="90">
        <v>0.76100000000000001</v>
      </c>
      <c r="AM27" s="90">
        <v>0.79400000000000004</v>
      </c>
      <c r="AN27" s="90">
        <v>0.82899999999999996</v>
      </c>
      <c r="AO27" s="90">
        <v>0.86699999999999999</v>
      </c>
      <c r="AP27" s="90">
        <v>0.90800000000000003</v>
      </c>
      <c r="AQ27" s="90">
        <v>0.95199999999999996</v>
      </c>
    </row>
    <row r="28" spans="1:43" x14ac:dyDescent="0.25">
      <c r="A28" s="88">
        <v>1</v>
      </c>
      <c r="B28" s="90">
        <v>0.26</v>
      </c>
      <c r="C28" s="90">
        <v>0.26600000000000001</v>
      </c>
      <c r="D28" s="90">
        <v>0.27300000000000002</v>
      </c>
      <c r="E28" s="90">
        <v>0.27900000000000003</v>
      </c>
      <c r="F28" s="90">
        <v>0.28599999999999998</v>
      </c>
      <c r="G28" s="90">
        <v>0.29299999999999998</v>
      </c>
      <c r="H28" s="90">
        <v>0.3</v>
      </c>
      <c r="I28" s="90">
        <v>0.307</v>
      </c>
      <c r="J28" s="90">
        <v>0.315</v>
      </c>
      <c r="K28" s="90">
        <v>0.32300000000000001</v>
      </c>
      <c r="L28" s="90">
        <v>0.33100000000000002</v>
      </c>
      <c r="M28" s="90">
        <v>0.34</v>
      </c>
      <c r="N28" s="90">
        <v>0.34899999999999998</v>
      </c>
      <c r="O28" s="90">
        <v>0.35799999999999998</v>
      </c>
      <c r="P28" s="90">
        <v>0.36799999999999999</v>
      </c>
      <c r="Q28" s="90">
        <v>0.378</v>
      </c>
      <c r="R28" s="90">
        <v>0.38900000000000001</v>
      </c>
      <c r="S28" s="90">
        <v>0.4</v>
      </c>
      <c r="T28" s="90">
        <v>0.41199999999999998</v>
      </c>
      <c r="U28" s="90">
        <v>0.42399999999999999</v>
      </c>
      <c r="V28" s="90">
        <v>0.436</v>
      </c>
      <c r="W28" s="90">
        <v>0.45</v>
      </c>
      <c r="X28" s="90">
        <v>0.46400000000000002</v>
      </c>
      <c r="Y28" s="90">
        <v>0.47799999999999998</v>
      </c>
      <c r="Z28" s="90">
        <v>0.49399999999999999</v>
      </c>
      <c r="AA28" s="90">
        <v>0.51</v>
      </c>
      <c r="AB28" s="90">
        <v>0.52700000000000002</v>
      </c>
      <c r="AC28" s="90">
        <v>0.54500000000000004</v>
      </c>
      <c r="AD28" s="90">
        <v>0.56399999999999995</v>
      </c>
      <c r="AE28" s="90">
        <v>0.58399999999999996</v>
      </c>
      <c r="AF28" s="90">
        <v>0.60499999999999998</v>
      </c>
      <c r="AG28" s="90">
        <v>0.627</v>
      </c>
      <c r="AH28" s="90">
        <v>0.65100000000000002</v>
      </c>
      <c r="AI28" s="90">
        <v>0.67700000000000005</v>
      </c>
      <c r="AJ28" s="90">
        <v>0.70399999999999996</v>
      </c>
      <c r="AK28" s="90">
        <v>0.73299999999999998</v>
      </c>
      <c r="AL28" s="90">
        <v>0.76300000000000001</v>
      </c>
      <c r="AM28" s="90">
        <v>0.79700000000000004</v>
      </c>
      <c r="AN28" s="90">
        <v>0.83199999999999996</v>
      </c>
      <c r="AO28" s="90">
        <v>0.87</v>
      </c>
      <c r="AP28" s="90">
        <v>0.91200000000000003</v>
      </c>
      <c r="AQ28" s="90">
        <v>0.95599999999999996</v>
      </c>
    </row>
    <row r="29" spans="1:43" x14ac:dyDescent="0.25">
      <c r="A29" s="88">
        <v>2</v>
      </c>
      <c r="B29" s="90">
        <v>0.26100000000000001</v>
      </c>
      <c r="C29" s="90">
        <v>0.26700000000000002</v>
      </c>
      <c r="D29" s="90">
        <v>0.27300000000000002</v>
      </c>
      <c r="E29" s="90">
        <v>0.28000000000000003</v>
      </c>
      <c r="F29" s="90">
        <v>0.28599999999999998</v>
      </c>
      <c r="G29" s="90">
        <v>0.29299999999999998</v>
      </c>
      <c r="H29" s="90">
        <v>0.30099999999999999</v>
      </c>
      <c r="I29" s="90">
        <v>0.308</v>
      </c>
      <c r="J29" s="90">
        <v>0.316</v>
      </c>
      <c r="K29" s="90">
        <v>0.32400000000000001</v>
      </c>
      <c r="L29" s="90">
        <v>0.33200000000000002</v>
      </c>
      <c r="M29" s="90">
        <v>0.34100000000000003</v>
      </c>
      <c r="N29" s="90">
        <v>0.35</v>
      </c>
      <c r="O29" s="90">
        <v>0.35899999999999999</v>
      </c>
      <c r="P29" s="90">
        <v>0.36899999999999999</v>
      </c>
      <c r="Q29" s="90">
        <v>0.379</v>
      </c>
      <c r="R29" s="90">
        <v>0.39</v>
      </c>
      <c r="S29" s="90">
        <v>0.40100000000000002</v>
      </c>
      <c r="T29" s="90">
        <v>0.41299999999999998</v>
      </c>
      <c r="U29" s="90">
        <v>0.42499999999999999</v>
      </c>
      <c r="V29" s="90">
        <v>0.438</v>
      </c>
      <c r="W29" s="90">
        <v>0.45100000000000001</v>
      </c>
      <c r="X29" s="90">
        <v>0.46500000000000002</v>
      </c>
      <c r="Y29" s="90">
        <v>0.48</v>
      </c>
      <c r="Z29" s="90">
        <v>0.495</v>
      </c>
      <c r="AA29" s="90">
        <v>0.51100000000000001</v>
      </c>
      <c r="AB29" s="90">
        <v>0.52800000000000002</v>
      </c>
      <c r="AC29" s="90">
        <v>0.54600000000000004</v>
      </c>
      <c r="AD29" s="90">
        <v>0.56499999999999995</v>
      </c>
      <c r="AE29" s="90">
        <v>0.58499999999999996</v>
      </c>
      <c r="AF29" s="90">
        <v>0.60699999999999998</v>
      </c>
      <c r="AG29" s="90">
        <v>0.629</v>
      </c>
      <c r="AH29" s="90">
        <v>0.65300000000000002</v>
      </c>
      <c r="AI29" s="90">
        <v>0.67900000000000005</v>
      </c>
      <c r="AJ29" s="90">
        <v>0.70599999999999996</v>
      </c>
      <c r="AK29" s="90">
        <v>0.73499999999999999</v>
      </c>
      <c r="AL29" s="90">
        <v>0.76600000000000001</v>
      </c>
      <c r="AM29" s="90">
        <v>0.8</v>
      </c>
      <c r="AN29" s="90">
        <v>0.83499999999999996</v>
      </c>
      <c r="AO29" s="90">
        <v>0.874</v>
      </c>
      <c r="AP29" s="90">
        <v>0.91500000000000004</v>
      </c>
      <c r="AQ29" s="90">
        <v>0.96</v>
      </c>
    </row>
    <row r="30" spans="1:43" x14ac:dyDescent="0.25">
      <c r="A30" s="88">
        <v>3</v>
      </c>
      <c r="B30" s="90">
        <v>0.26100000000000001</v>
      </c>
      <c r="C30" s="90">
        <v>0.26700000000000002</v>
      </c>
      <c r="D30" s="90">
        <v>0.27400000000000002</v>
      </c>
      <c r="E30" s="90">
        <v>0.28000000000000003</v>
      </c>
      <c r="F30" s="90">
        <v>0.28699999999999998</v>
      </c>
      <c r="G30" s="90">
        <v>0.29399999999999998</v>
      </c>
      <c r="H30" s="90">
        <v>0.30099999999999999</v>
      </c>
      <c r="I30" s="90">
        <v>0.309</v>
      </c>
      <c r="J30" s="90">
        <v>0.316</v>
      </c>
      <c r="K30" s="90">
        <v>0.32500000000000001</v>
      </c>
      <c r="L30" s="90">
        <v>0.33300000000000002</v>
      </c>
      <c r="M30" s="90">
        <v>0.34200000000000003</v>
      </c>
      <c r="N30" s="90">
        <v>0.35099999999999998</v>
      </c>
      <c r="O30" s="90">
        <v>0.36</v>
      </c>
      <c r="P30" s="90">
        <v>0.37</v>
      </c>
      <c r="Q30" s="90">
        <v>0.38</v>
      </c>
      <c r="R30" s="90">
        <v>0.39100000000000001</v>
      </c>
      <c r="S30" s="90">
        <v>0.40200000000000002</v>
      </c>
      <c r="T30" s="90">
        <v>0.41399999999999998</v>
      </c>
      <c r="U30" s="90">
        <v>0.42599999999999999</v>
      </c>
      <c r="V30" s="90">
        <v>0.439</v>
      </c>
      <c r="W30" s="90">
        <v>0.45200000000000001</v>
      </c>
      <c r="X30" s="90">
        <v>0.46600000000000003</v>
      </c>
      <c r="Y30" s="90">
        <v>0.48099999999999998</v>
      </c>
      <c r="Z30" s="90">
        <v>0.496</v>
      </c>
      <c r="AA30" s="90">
        <v>0.51300000000000001</v>
      </c>
      <c r="AB30" s="90">
        <v>0.53</v>
      </c>
      <c r="AC30" s="90">
        <v>0.54800000000000004</v>
      </c>
      <c r="AD30" s="90">
        <v>0.56699999999999995</v>
      </c>
      <c r="AE30" s="90">
        <v>0.58699999999999997</v>
      </c>
      <c r="AF30" s="90">
        <v>0.60899999999999999</v>
      </c>
      <c r="AG30" s="90">
        <v>0.63100000000000001</v>
      </c>
      <c r="AH30" s="90">
        <v>0.65500000000000003</v>
      </c>
      <c r="AI30" s="90">
        <v>0.68100000000000005</v>
      </c>
      <c r="AJ30" s="90">
        <v>0.70899999999999996</v>
      </c>
      <c r="AK30" s="90">
        <v>0.73799999999999999</v>
      </c>
      <c r="AL30" s="90">
        <v>0.76900000000000002</v>
      </c>
      <c r="AM30" s="90">
        <v>0.80200000000000005</v>
      </c>
      <c r="AN30" s="90">
        <v>0.83799999999999997</v>
      </c>
      <c r="AO30" s="90">
        <v>0.877</v>
      </c>
      <c r="AP30" s="90">
        <v>0.91900000000000004</v>
      </c>
      <c r="AQ30" s="90">
        <v>0.96399999999999997</v>
      </c>
    </row>
    <row r="31" spans="1:43" x14ac:dyDescent="0.25">
      <c r="A31" s="88">
        <v>4</v>
      </c>
      <c r="B31" s="90">
        <v>0.26200000000000001</v>
      </c>
      <c r="C31" s="90">
        <v>0.26800000000000002</v>
      </c>
      <c r="D31" s="90">
        <v>0.27400000000000002</v>
      </c>
      <c r="E31" s="90">
        <v>0.28100000000000003</v>
      </c>
      <c r="F31" s="90">
        <v>0.28799999999999998</v>
      </c>
      <c r="G31" s="90">
        <v>0.29499999999999998</v>
      </c>
      <c r="H31" s="90">
        <v>0.30199999999999999</v>
      </c>
      <c r="I31" s="90">
        <v>0.309</v>
      </c>
      <c r="J31" s="90">
        <v>0.317</v>
      </c>
      <c r="K31" s="90">
        <v>0.32500000000000001</v>
      </c>
      <c r="L31" s="90">
        <v>0.33400000000000002</v>
      </c>
      <c r="M31" s="90">
        <v>0.34200000000000003</v>
      </c>
      <c r="N31" s="90">
        <v>0.35099999999999998</v>
      </c>
      <c r="O31" s="90">
        <v>0.36099999999999999</v>
      </c>
      <c r="P31" s="90">
        <v>0.371</v>
      </c>
      <c r="Q31" s="90">
        <v>0.38100000000000001</v>
      </c>
      <c r="R31" s="90">
        <v>0.39200000000000002</v>
      </c>
      <c r="S31" s="90">
        <v>0.40300000000000002</v>
      </c>
      <c r="T31" s="90">
        <v>0.41499999999999998</v>
      </c>
      <c r="U31" s="90">
        <v>0.42699999999999999</v>
      </c>
      <c r="V31" s="90">
        <v>0.44</v>
      </c>
      <c r="W31" s="90">
        <v>0.45300000000000001</v>
      </c>
      <c r="X31" s="90">
        <v>0.46700000000000003</v>
      </c>
      <c r="Y31" s="90">
        <v>0.48199999999999998</v>
      </c>
      <c r="Z31" s="90">
        <v>0.498</v>
      </c>
      <c r="AA31" s="90">
        <v>0.51400000000000001</v>
      </c>
      <c r="AB31" s="90">
        <v>0.53100000000000003</v>
      </c>
      <c r="AC31" s="90">
        <v>0.54900000000000004</v>
      </c>
      <c r="AD31" s="90">
        <v>0.56899999999999995</v>
      </c>
      <c r="AE31" s="90">
        <v>0.58899999999999997</v>
      </c>
      <c r="AF31" s="90">
        <v>0.61</v>
      </c>
      <c r="AG31" s="90">
        <v>0.63300000000000001</v>
      </c>
      <c r="AH31" s="90">
        <v>0.65800000000000003</v>
      </c>
      <c r="AI31" s="90">
        <v>0.68300000000000005</v>
      </c>
      <c r="AJ31" s="90">
        <v>0.71099999999999997</v>
      </c>
      <c r="AK31" s="90">
        <v>0.74</v>
      </c>
      <c r="AL31" s="90">
        <v>0.77200000000000002</v>
      </c>
      <c r="AM31" s="90">
        <v>0.80500000000000005</v>
      </c>
      <c r="AN31" s="90">
        <v>0.84199999999999997</v>
      </c>
      <c r="AO31" s="90">
        <v>0.88100000000000001</v>
      </c>
      <c r="AP31" s="90">
        <v>0.92300000000000004</v>
      </c>
      <c r="AQ31" s="90">
        <v>0.96799999999999997</v>
      </c>
    </row>
    <row r="32" spans="1:43" x14ac:dyDescent="0.25">
      <c r="A32" s="88">
        <v>5</v>
      </c>
      <c r="B32" s="90">
        <v>0.26200000000000001</v>
      </c>
      <c r="C32" s="90">
        <v>0.26800000000000002</v>
      </c>
      <c r="D32" s="90">
        <v>0.27500000000000002</v>
      </c>
      <c r="E32" s="90">
        <v>0.28100000000000003</v>
      </c>
      <c r="F32" s="90">
        <v>0.28799999999999998</v>
      </c>
      <c r="G32" s="90">
        <v>0.29499999999999998</v>
      </c>
      <c r="H32" s="90">
        <v>0.30199999999999999</v>
      </c>
      <c r="I32" s="90">
        <v>0.31</v>
      </c>
      <c r="J32" s="90">
        <v>0.318</v>
      </c>
      <c r="K32" s="90">
        <v>0.32600000000000001</v>
      </c>
      <c r="L32" s="90">
        <v>0.33400000000000002</v>
      </c>
      <c r="M32" s="90">
        <v>0.34300000000000003</v>
      </c>
      <c r="N32" s="90">
        <v>0.35199999999999998</v>
      </c>
      <c r="O32" s="90">
        <v>0.36199999999999999</v>
      </c>
      <c r="P32" s="90">
        <v>0.372</v>
      </c>
      <c r="Q32" s="90">
        <v>0.38200000000000001</v>
      </c>
      <c r="R32" s="90">
        <v>0.39300000000000002</v>
      </c>
      <c r="S32" s="90">
        <v>0.40400000000000003</v>
      </c>
      <c r="T32" s="90">
        <v>0.41599999999999998</v>
      </c>
      <c r="U32" s="90">
        <v>0.42799999999999999</v>
      </c>
      <c r="V32" s="90">
        <v>0.441</v>
      </c>
      <c r="W32" s="90">
        <v>0.45400000000000001</v>
      </c>
      <c r="X32" s="90">
        <v>0.46800000000000003</v>
      </c>
      <c r="Y32" s="90">
        <v>0.48299999999999998</v>
      </c>
      <c r="Z32" s="90">
        <v>0.499</v>
      </c>
      <c r="AA32" s="90">
        <v>0.51500000000000001</v>
      </c>
      <c r="AB32" s="90">
        <v>0.53300000000000003</v>
      </c>
      <c r="AC32" s="90">
        <v>0.55100000000000005</v>
      </c>
      <c r="AD32" s="90">
        <v>0.56999999999999995</v>
      </c>
      <c r="AE32" s="90">
        <v>0.59099999999999997</v>
      </c>
      <c r="AF32" s="90">
        <v>0.61199999999999999</v>
      </c>
      <c r="AG32" s="90">
        <v>0.63500000000000001</v>
      </c>
      <c r="AH32" s="90">
        <v>0.66</v>
      </c>
      <c r="AI32" s="90">
        <v>0.68600000000000005</v>
      </c>
      <c r="AJ32" s="90">
        <v>0.71299999999999997</v>
      </c>
      <c r="AK32" s="90">
        <v>0.74299999999999999</v>
      </c>
      <c r="AL32" s="90">
        <v>0.77400000000000002</v>
      </c>
      <c r="AM32" s="90">
        <v>0.80800000000000005</v>
      </c>
      <c r="AN32" s="90">
        <v>0.84499999999999997</v>
      </c>
      <c r="AO32" s="90">
        <v>0.88400000000000001</v>
      </c>
      <c r="AP32" s="90">
        <v>0.92600000000000005</v>
      </c>
      <c r="AQ32" s="90">
        <v>0.97199999999999998</v>
      </c>
    </row>
    <row r="33" spans="1:43" x14ac:dyDescent="0.25">
      <c r="A33" s="88">
        <v>6</v>
      </c>
      <c r="B33" s="90">
        <v>0.26300000000000001</v>
      </c>
      <c r="C33" s="90">
        <v>0.26900000000000002</v>
      </c>
      <c r="D33" s="90">
        <v>0.27500000000000002</v>
      </c>
      <c r="E33" s="90">
        <v>0.28199999999999997</v>
      </c>
      <c r="F33" s="90">
        <v>0.28899999999999998</v>
      </c>
      <c r="G33" s="90">
        <v>0.29599999999999999</v>
      </c>
      <c r="H33" s="90">
        <v>0.30299999999999999</v>
      </c>
      <c r="I33" s="90">
        <v>0.311</v>
      </c>
      <c r="J33" s="90">
        <v>0.318</v>
      </c>
      <c r="K33" s="90">
        <v>0.32700000000000001</v>
      </c>
      <c r="L33" s="90">
        <v>0.33500000000000002</v>
      </c>
      <c r="M33" s="90">
        <v>0.34399999999999997</v>
      </c>
      <c r="N33" s="90">
        <v>0.35299999999999998</v>
      </c>
      <c r="O33" s="90">
        <v>0.36299999999999999</v>
      </c>
      <c r="P33" s="90">
        <v>0.372</v>
      </c>
      <c r="Q33" s="90">
        <v>0.38300000000000001</v>
      </c>
      <c r="R33" s="90">
        <v>0.39400000000000002</v>
      </c>
      <c r="S33" s="90">
        <v>0.40500000000000003</v>
      </c>
      <c r="T33" s="90">
        <v>0.41699999999999998</v>
      </c>
      <c r="U33" s="90">
        <v>0.42899999999999999</v>
      </c>
      <c r="V33" s="90">
        <v>0.442</v>
      </c>
      <c r="W33" s="90">
        <v>0.45500000000000002</v>
      </c>
      <c r="X33" s="90">
        <v>0.47</v>
      </c>
      <c r="Y33" s="90">
        <v>0.48499999999999999</v>
      </c>
      <c r="Z33" s="90">
        <v>0.5</v>
      </c>
      <c r="AA33" s="90">
        <v>0.51700000000000002</v>
      </c>
      <c r="AB33" s="90">
        <v>0.53400000000000003</v>
      </c>
      <c r="AC33" s="90">
        <v>0.55300000000000005</v>
      </c>
      <c r="AD33" s="90">
        <v>0.57199999999999995</v>
      </c>
      <c r="AE33" s="90">
        <v>0.59199999999999997</v>
      </c>
      <c r="AF33" s="90">
        <v>0.61399999999999999</v>
      </c>
      <c r="AG33" s="90">
        <v>0.63700000000000001</v>
      </c>
      <c r="AH33" s="90">
        <v>0.66200000000000003</v>
      </c>
      <c r="AI33" s="90">
        <v>0.68799999999999994</v>
      </c>
      <c r="AJ33" s="90">
        <v>0.71599999999999997</v>
      </c>
      <c r="AK33" s="90">
        <v>0.745</v>
      </c>
      <c r="AL33" s="90">
        <v>0.77700000000000002</v>
      </c>
      <c r="AM33" s="90">
        <v>0.81100000000000005</v>
      </c>
      <c r="AN33" s="90">
        <v>0.84799999999999998</v>
      </c>
      <c r="AO33" s="90">
        <v>0.88700000000000001</v>
      </c>
      <c r="AP33" s="90">
        <v>0.93</v>
      </c>
      <c r="AQ33" s="90">
        <v>0.97599999999999998</v>
      </c>
    </row>
    <row r="34" spans="1:43" x14ac:dyDescent="0.25">
      <c r="A34" s="88">
        <v>7</v>
      </c>
      <c r="B34" s="90">
        <v>0.26300000000000001</v>
      </c>
      <c r="C34" s="90">
        <v>0.27</v>
      </c>
      <c r="D34" s="90">
        <v>0.27600000000000002</v>
      </c>
      <c r="E34" s="90">
        <v>0.28199999999999997</v>
      </c>
      <c r="F34" s="90">
        <v>0.28899999999999998</v>
      </c>
      <c r="G34" s="90">
        <v>0.29599999999999999</v>
      </c>
      <c r="H34" s="90">
        <v>0.30399999999999999</v>
      </c>
      <c r="I34" s="90">
        <v>0.311</v>
      </c>
      <c r="J34" s="90">
        <v>0.31900000000000001</v>
      </c>
      <c r="K34" s="90">
        <v>0.32700000000000001</v>
      </c>
      <c r="L34" s="90">
        <v>0.33600000000000002</v>
      </c>
      <c r="M34" s="90">
        <v>0.34499999999999997</v>
      </c>
      <c r="N34" s="90">
        <v>0.35399999999999998</v>
      </c>
      <c r="O34" s="90">
        <v>0.36299999999999999</v>
      </c>
      <c r="P34" s="90">
        <v>0.373</v>
      </c>
      <c r="Q34" s="90">
        <v>0.38400000000000001</v>
      </c>
      <c r="R34" s="90">
        <v>0.39500000000000002</v>
      </c>
      <c r="S34" s="90">
        <v>0.40600000000000003</v>
      </c>
      <c r="T34" s="90">
        <v>0.41799999999999998</v>
      </c>
      <c r="U34" s="90">
        <v>0.43</v>
      </c>
      <c r="V34" s="90">
        <v>0.443</v>
      </c>
      <c r="W34" s="90">
        <v>0.45700000000000002</v>
      </c>
      <c r="X34" s="90">
        <v>0.47099999999999997</v>
      </c>
      <c r="Y34" s="90">
        <v>0.48599999999999999</v>
      </c>
      <c r="Z34" s="90">
        <v>0.502</v>
      </c>
      <c r="AA34" s="90">
        <v>0.51800000000000002</v>
      </c>
      <c r="AB34" s="90">
        <v>0.53600000000000003</v>
      </c>
      <c r="AC34" s="90">
        <v>0.55400000000000005</v>
      </c>
      <c r="AD34" s="90">
        <v>0.57399999999999995</v>
      </c>
      <c r="AE34" s="90">
        <v>0.59399999999999997</v>
      </c>
      <c r="AF34" s="90">
        <v>0.61599999999999999</v>
      </c>
      <c r="AG34" s="90">
        <v>0.63900000000000001</v>
      </c>
      <c r="AH34" s="90">
        <v>0.66400000000000003</v>
      </c>
      <c r="AI34" s="90">
        <v>0.69</v>
      </c>
      <c r="AJ34" s="90">
        <v>0.71799999999999997</v>
      </c>
      <c r="AK34" s="90">
        <v>0.748</v>
      </c>
      <c r="AL34" s="90">
        <v>0.78</v>
      </c>
      <c r="AM34" s="90">
        <v>0.81399999999999995</v>
      </c>
      <c r="AN34" s="90">
        <v>0.85099999999999998</v>
      </c>
      <c r="AO34" s="90">
        <v>0.89100000000000001</v>
      </c>
      <c r="AP34" s="90">
        <v>0.93400000000000005</v>
      </c>
      <c r="AQ34" s="90">
        <v>0.98</v>
      </c>
    </row>
    <row r="35" spans="1:43" x14ac:dyDescent="0.25">
      <c r="A35" s="88">
        <v>8</v>
      </c>
      <c r="B35" s="90">
        <v>0.26400000000000001</v>
      </c>
      <c r="C35" s="90">
        <v>0.27</v>
      </c>
      <c r="D35" s="90">
        <v>0.27600000000000002</v>
      </c>
      <c r="E35" s="90">
        <v>0.28299999999999997</v>
      </c>
      <c r="F35" s="90">
        <v>0.28999999999999998</v>
      </c>
      <c r="G35" s="90">
        <v>0.29699999999999999</v>
      </c>
      <c r="H35" s="90">
        <v>0.30399999999999999</v>
      </c>
      <c r="I35" s="90">
        <v>0.312</v>
      </c>
      <c r="J35" s="90">
        <v>0.32</v>
      </c>
      <c r="K35" s="90">
        <v>0.32800000000000001</v>
      </c>
      <c r="L35" s="90">
        <v>0.33600000000000002</v>
      </c>
      <c r="M35" s="90">
        <v>0.34499999999999997</v>
      </c>
      <c r="N35" s="90">
        <v>0.35499999999999998</v>
      </c>
      <c r="O35" s="90">
        <v>0.36399999999999999</v>
      </c>
      <c r="P35" s="90">
        <v>0.374</v>
      </c>
      <c r="Q35" s="90">
        <v>0.38500000000000001</v>
      </c>
      <c r="R35" s="90">
        <v>0.39500000000000002</v>
      </c>
      <c r="S35" s="90">
        <v>0.40699999999999997</v>
      </c>
      <c r="T35" s="90">
        <v>0.41899999999999998</v>
      </c>
      <c r="U35" s="90">
        <v>0.43099999999999999</v>
      </c>
      <c r="V35" s="90">
        <v>0.44400000000000001</v>
      </c>
      <c r="W35" s="90">
        <v>0.45800000000000002</v>
      </c>
      <c r="X35" s="90">
        <v>0.47199999999999998</v>
      </c>
      <c r="Y35" s="90">
        <v>0.48699999999999999</v>
      </c>
      <c r="Z35" s="90">
        <v>0.503</v>
      </c>
      <c r="AA35" s="90">
        <v>0.52</v>
      </c>
      <c r="AB35" s="90">
        <v>0.53700000000000003</v>
      </c>
      <c r="AC35" s="90">
        <v>0.55600000000000005</v>
      </c>
      <c r="AD35" s="90">
        <v>0.57499999999999996</v>
      </c>
      <c r="AE35" s="90">
        <v>0.59599999999999997</v>
      </c>
      <c r="AF35" s="90">
        <v>0.61799999999999999</v>
      </c>
      <c r="AG35" s="90">
        <v>0.64100000000000001</v>
      </c>
      <c r="AH35" s="90">
        <v>0.66600000000000004</v>
      </c>
      <c r="AI35" s="90">
        <v>0.69199999999999995</v>
      </c>
      <c r="AJ35" s="90">
        <v>0.72</v>
      </c>
      <c r="AK35" s="90">
        <v>0.751</v>
      </c>
      <c r="AL35" s="90">
        <v>0.78300000000000003</v>
      </c>
      <c r="AM35" s="90">
        <v>0.81699999999999995</v>
      </c>
      <c r="AN35" s="90">
        <v>0.85399999999999998</v>
      </c>
      <c r="AO35" s="90">
        <v>0.89400000000000002</v>
      </c>
      <c r="AP35" s="90">
        <v>0.93700000000000006</v>
      </c>
      <c r="AQ35" s="90">
        <v>0.98399999999999999</v>
      </c>
    </row>
    <row r="36" spans="1:43" x14ac:dyDescent="0.25">
      <c r="A36" s="88">
        <v>9</v>
      </c>
      <c r="B36" s="90">
        <v>0.26400000000000001</v>
      </c>
      <c r="C36" s="90">
        <v>0.27100000000000002</v>
      </c>
      <c r="D36" s="90">
        <v>0.27700000000000002</v>
      </c>
      <c r="E36" s="90">
        <v>0.28399999999999997</v>
      </c>
      <c r="F36" s="90">
        <v>0.28999999999999998</v>
      </c>
      <c r="G36" s="90">
        <v>0.29799999999999999</v>
      </c>
      <c r="H36" s="90">
        <v>0.30499999999999999</v>
      </c>
      <c r="I36" s="90">
        <v>0.313</v>
      </c>
      <c r="J36" s="90">
        <v>0.32</v>
      </c>
      <c r="K36" s="90">
        <v>0.32900000000000001</v>
      </c>
      <c r="L36" s="90">
        <v>0.33700000000000002</v>
      </c>
      <c r="M36" s="90">
        <v>0.34599999999999997</v>
      </c>
      <c r="N36" s="90">
        <v>0.35499999999999998</v>
      </c>
      <c r="O36" s="90">
        <v>0.36499999999999999</v>
      </c>
      <c r="P36" s="90">
        <v>0.375</v>
      </c>
      <c r="Q36" s="90">
        <v>0.38500000000000001</v>
      </c>
      <c r="R36" s="90">
        <v>0.39600000000000002</v>
      </c>
      <c r="S36" s="90">
        <v>0.40799999999999997</v>
      </c>
      <c r="T36" s="90">
        <v>0.42</v>
      </c>
      <c r="U36" s="90">
        <v>0.432</v>
      </c>
      <c r="V36" s="90">
        <v>0.44500000000000001</v>
      </c>
      <c r="W36" s="90">
        <v>0.45900000000000002</v>
      </c>
      <c r="X36" s="90">
        <v>0.47299999999999998</v>
      </c>
      <c r="Y36" s="90">
        <v>0.48799999999999999</v>
      </c>
      <c r="Z36" s="90">
        <v>0.504</v>
      </c>
      <c r="AA36" s="90">
        <v>0.52100000000000002</v>
      </c>
      <c r="AB36" s="90">
        <v>0.53900000000000003</v>
      </c>
      <c r="AC36" s="90">
        <v>0.55700000000000005</v>
      </c>
      <c r="AD36" s="90">
        <v>0.57699999999999996</v>
      </c>
      <c r="AE36" s="90">
        <v>0.59799999999999998</v>
      </c>
      <c r="AF36" s="90">
        <v>0.62</v>
      </c>
      <c r="AG36" s="90">
        <v>0.64300000000000002</v>
      </c>
      <c r="AH36" s="90">
        <v>0.66800000000000004</v>
      </c>
      <c r="AI36" s="90">
        <v>0.69499999999999995</v>
      </c>
      <c r="AJ36" s="90">
        <v>0.72299999999999998</v>
      </c>
      <c r="AK36" s="90">
        <v>0.753</v>
      </c>
      <c r="AL36" s="90">
        <v>0.78500000000000003</v>
      </c>
      <c r="AM36" s="90">
        <v>0.82</v>
      </c>
      <c r="AN36" s="90">
        <v>0.85699999999999998</v>
      </c>
      <c r="AO36" s="90">
        <v>0.89800000000000002</v>
      </c>
      <c r="AP36" s="90">
        <v>0.94099999999999995</v>
      </c>
      <c r="AQ36" s="90">
        <v>0.98799999999999999</v>
      </c>
    </row>
    <row r="37" spans="1:43" x14ac:dyDescent="0.25">
      <c r="A37" s="88">
        <v>10</v>
      </c>
      <c r="B37" s="90">
        <v>0.26500000000000001</v>
      </c>
      <c r="C37" s="90">
        <v>0.27100000000000002</v>
      </c>
      <c r="D37" s="90">
        <v>0.27700000000000002</v>
      </c>
      <c r="E37" s="90">
        <v>0.28399999999999997</v>
      </c>
      <c r="F37" s="90">
        <v>0.29099999999999998</v>
      </c>
      <c r="G37" s="90">
        <v>0.29799999999999999</v>
      </c>
      <c r="H37" s="90">
        <v>0.30599999999999999</v>
      </c>
      <c r="I37" s="90">
        <v>0.313</v>
      </c>
      <c r="J37" s="90">
        <v>0.32100000000000001</v>
      </c>
      <c r="K37" s="90">
        <v>0.32900000000000001</v>
      </c>
      <c r="L37" s="90">
        <v>0.33800000000000002</v>
      </c>
      <c r="M37" s="90">
        <v>0.34699999999999998</v>
      </c>
      <c r="N37" s="90">
        <v>0.35599999999999998</v>
      </c>
      <c r="O37" s="90">
        <v>0.36599999999999999</v>
      </c>
      <c r="P37" s="90">
        <v>0.376</v>
      </c>
      <c r="Q37" s="90">
        <v>0.38600000000000001</v>
      </c>
      <c r="R37" s="90">
        <v>0.39700000000000002</v>
      </c>
      <c r="S37" s="90">
        <v>0.40899999999999997</v>
      </c>
      <c r="T37" s="90">
        <v>0.42099999999999999</v>
      </c>
      <c r="U37" s="90">
        <v>0.433</v>
      </c>
      <c r="V37" s="90">
        <v>0.44600000000000001</v>
      </c>
      <c r="W37" s="90">
        <v>0.46</v>
      </c>
      <c r="X37" s="90">
        <v>0.47499999999999998</v>
      </c>
      <c r="Y37" s="90">
        <v>0.49</v>
      </c>
      <c r="Z37" s="90">
        <v>0.50600000000000001</v>
      </c>
      <c r="AA37" s="90">
        <v>0.52200000000000002</v>
      </c>
      <c r="AB37" s="90">
        <v>0.54</v>
      </c>
      <c r="AC37" s="90">
        <v>0.55900000000000005</v>
      </c>
      <c r="AD37" s="90">
        <v>0.57899999999999996</v>
      </c>
      <c r="AE37" s="90">
        <v>0.59899999999999998</v>
      </c>
      <c r="AF37" s="90">
        <v>0.622</v>
      </c>
      <c r="AG37" s="90">
        <v>0.64500000000000002</v>
      </c>
      <c r="AH37" s="90">
        <v>0.67</v>
      </c>
      <c r="AI37" s="90">
        <v>0.69699999999999995</v>
      </c>
      <c r="AJ37" s="90">
        <v>0.72499999999999998</v>
      </c>
      <c r="AK37" s="90">
        <v>0.75600000000000001</v>
      </c>
      <c r="AL37" s="90">
        <v>0.78800000000000003</v>
      </c>
      <c r="AM37" s="90">
        <v>0.82299999999999995</v>
      </c>
      <c r="AN37" s="90">
        <v>0.86099999999999999</v>
      </c>
      <c r="AO37" s="90">
        <v>0.90100000000000002</v>
      </c>
      <c r="AP37" s="90">
        <v>0.94499999999999995</v>
      </c>
      <c r="AQ37" s="90">
        <v>0.99199999999999999</v>
      </c>
    </row>
    <row r="38" spans="1:43" x14ac:dyDescent="0.25">
      <c r="A38" s="88">
        <v>11</v>
      </c>
      <c r="B38" s="90">
        <v>0.26500000000000001</v>
      </c>
      <c r="C38" s="90">
        <v>0.27200000000000002</v>
      </c>
      <c r="D38" s="90">
        <v>0.27800000000000002</v>
      </c>
      <c r="E38" s="90">
        <v>0.28499999999999998</v>
      </c>
      <c r="F38" s="90">
        <v>0.29199999999999998</v>
      </c>
      <c r="G38" s="90">
        <v>0.29899999999999999</v>
      </c>
      <c r="H38" s="90">
        <v>0.30599999999999999</v>
      </c>
      <c r="I38" s="90">
        <v>0.314</v>
      </c>
      <c r="J38" s="90">
        <v>0.32200000000000001</v>
      </c>
      <c r="K38" s="90">
        <v>0.33</v>
      </c>
      <c r="L38" s="90">
        <v>0.33900000000000002</v>
      </c>
      <c r="M38" s="90">
        <v>0.34799999999999998</v>
      </c>
      <c r="N38" s="90">
        <v>0.35699999999999998</v>
      </c>
      <c r="O38" s="90">
        <v>0.36699999999999999</v>
      </c>
      <c r="P38" s="90">
        <v>0.377</v>
      </c>
      <c r="Q38" s="90">
        <v>0.38700000000000001</v>
      </c>
      <c r="R38" s="90">
        <v>0.39800000000000002</v>
      </c>
      <c r="S38" s="90">
        <v>0.41</v>
      </c>
      <c r="T38" s="90">
        <v>0.42199999999999999</v>
      </c>
      <c r="U38" s="90">
        <v>0.434</v>
      </c>
      <c r="V38" s="90">
        <v>0.44700000000000001</v>
      </c>
      <c r="W38" s="90">
        <v>0.46100000000000002</v>
      </c>
      <c r="X38" s="90">
        <v>0.47599999999999998</v>
      </c>
      <c r="Y38" s="90">
        <v>0.49099999999999999</v>
      </c>
      <c r="Z38" s="90">
        <v>0.50700000000000001</v>
      </c>
      <c r="AA38" s="90">
        <v>0.52400000000000002</v>
      </c>
      <c r="AB38" s="90">
        <v>0.54200000000000004</v>
      </c>
      <c r="AC38" s="90">
        <v>0.56000000000000005</v>
      </c>
      <c r="AD38" s="90">
        <v>0.57999999999999996</v>
      </c>
      <c r="AE38" s="90">
        <v>0.60099999999999998</v>
      </c>
      <c r="AF38" s="90">
        <v>0.624</v>
      </c>
      <c r="AG38" s="90">
        <v>0.64700000000000002</v>
      </c>
      <c r="AH38" s="90">
        <v>0.67200000000000004</v>
      </c>
      <c r="AI38" s="90">
        <v>0.69899999999999995</v>
      </c>
      <c r="AJ38" s="90">
        <v>0.72799999999999998</v>
      </c>
      <c r="AK38" s="90">
        <v>0.75800000000000001</v>
      </c>
      <c r="AL38" s="90">
        <v>0.79100000000000004</v>
      </c>
      <c r="AM38" s="90">
        <v>0.82599999999999996</v>
      </c>
      <c r="AN38" s="90">
        <v>0.86399999999999999</v>
      </c>
      <c r="AO38" s="90">
        <v>0.90400000000000003</v>
      </c>
      <c r="AP38" s="90">
        <v>0.94799999999999995</v>
      </c>
      <c r="AQ38" s="90">
        <v>0.996</v>
      </c>
    </row>
    <row r="39" spans="1:43" x14ac:dyDescent="0.25">
      <c r="A39"/>
      <c r="B39"/>
    </row>
    <row r="40" spans="1:43" x14ac:dyDescent="0.25">
      <c r="A40"/>
      <c r="B40"/>
    </row>
    <row r="41" spans="1:43" x14ac:dyDescent="0.25">
      <c r="A41"/>
      <c r="B41"/>
    </row>
    <row r="42" spans="1:43" x14ac:dyDescent="0.25">
      <c r="A42"/>
      <c r="B42"/>
    </row>
    <row r="43" spans="1:43" x14ac:dyDescent="0.25">
      <c r="A43"/>
      <c r="B43"/>
    </row>
    <row r="44" spans="1:43" ht="39.6" customHeight="1" x14ac:dyDescent="0.25">
      <c r="A44"/>
      <c r="B44"/>
    </row>
    <row r="45" spans="1:43" x14ac:dyDescent="0.25">
      <c r="A45"/>
      <c r="B45"/>
    </row>
    <row r="46" spans="1:43" ht="27.6" customHeight="1" x14ac:dyDescent="0.25">
      <c r="A46"/>
      <c r="B46"/>
    </row>
    <row r="47" spans="1:43" x14ac:dyDescent="0.25">
      <c r="A47"/>
      <c r="B47"/>
    </row>
    <row r="48" spans="1:4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5yaBQSmtfty3bCmJt6AlgYGZ53emsn5O75BTNZPDlXSMR6r2Yu+0p6KGJcl0fZy2U/Hz8FQpDRicW0gRG6hnXw==" saltValue="SgEN+SKlCoPVdpuBT9ljEA==" spinCount="100000" sheet="1" objects="1" scenarios="1"/>
  <conditionalFormatting sqref="A6:A21">
    <cfRule type="expression" dxfId="421" priority="3" stopIfTrue="1">
      <formula>MOD(ROW(),2)=0</formula>
    </cfRule>
    <cfRule type="expression" dxfId="420" priority="4" stopIfTrue="1">
      <formula>MOD(ROW(),2)&lt;&gt;0</formula>
    </cfRule>
  </conditionalFormatting>
  <conditionalFormatting sqref="A26:A38">
    <cfRule type="expression" dxfId="419" priority="9" stopIfTrue="1">
      <formula>MOD(ROW(),2)=0</formula>
    </cfRule>
    <cfRule type="expression" dxfId="418" priority="10" stopIfTrue="1">
      <formula>MOD(ROW(),2)&lt;&gt;0</formula>
    </cfRule>
  </conditionalFormatting>
  <conditionalFormatting sqref="B17:C21">
    <cfRule type="expression" dxfId="417" priority="7" stopIfTrue="1">
      <formula>MOD(ROW(),2)=0</formula>
    </cfRule>
    <cfRule type="expression" dxfId="416" priority="8" stopIfTrue="1">
      <formula>MOD(ROW(),2)&lt;&gt;0</formula>
    </cfRule>
  </conditionalFormatting>
  <conditionalFormatting sqref="B6:AQ21 B26:AQ38">
    <cfRule type="expression" dxfId="415" priority="25" stopIfTrue="1">
      <formula>MOD(ROW(),2)=0</formula>
    </cfRule>
    <cfRule type="expression" dxfId="414" priority="2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11"/>
  <dimension ref="A1:K65"/>
  <sheetViews>
    <sheetView showGridLines="0" zoomScale="85" zoomScaleNormal="85" workbookViewId="0">
      <selection activeCell="A4" sqref="A4"/>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39" t="s">
        <v>0</v>
      </c>
      <c r="B1" s="40"/>
      <c r="C1" s="40"/>
      <c r="D1" s="40"/>
      <c r="E1" s="40"/>
      <c r="F1" s="40"/>
      <c r="G1" s="40"/>
      <c r="H1" s="40"/>
      <c r="I1" s="40"/>
    </row>
    <row r="2" spans="1:11" ht="15.6" x14ac:dyDescent="0.3">
      <c r="A2" s="41" t="str">
        <f>IF(title="&gt; Enter workbook title here","Enter workbook title in Cover sheet",title)</f>
        <v>Fire_S - Consolidated Factor Spreadsheet</v>
      </c>
      <c r="B2" s="42"/>
      <c r="C2" s="42"/>
      <c r="D2" s="42"/>
      <c r="E2" s="42"/>
      <c r="F2" s="42"/>
      <c r="G2" s="42"/>
      <c r="H2" s="42"/>
      <c r="I2" s="42"/>
    </row>
    <row r="3" spans="1:11" ht="15.6" x14ac:dyDescent="0.3">
      <c r="A3" s="43" t="str">
        <f>TABLE_FACTOR_TYPE_1&amp;" - x-"&amp;TABLE_SERIES_NUMBER_1</f>
        <v>Pension Debit - x-324</v>
      </c>
      <c r="B3" s="42"/>
      <c r="C3" s="42"/>
      <c r="D3" s="42"/>
      <c r="E3" s="42"/>
      <c r="F3" s="42"/>
      <c r="G3" s="42"/>
      <c r="H3" s="42"/>
      <c r="I3" s="42"/>
    </row>
    <row r="4" spans="1:11" x14ac:dyDescent="0.25">
      <c r="A4" s="44"/>
    </row>
    <row r="6" spans="1:11" x14ac:dyDescent="0.25">
      <c r="A6" s="75" t="s">
        <v>484</v>
      </c>
      <c r="B6" s="162" t="s">
        <v>485</v>
      </c>
      <c r="C6" s="162"/>
      <c r="D6" s="162"/>
      <c r="E6" s="162"/>
      <c r="F6" s="162"/>
      <c r="G6" s="162"/>
      <c r="H6" s="162"/>
      <c r="I6" s="162"/>
      <c r="J6" s="162"/>
      <c r="K6" s="162"/>
    </row>
    <row r="7" spans="1:11" x14ac:dyDescent="0.25">
      <c r="A7" s="76" t="s">
        <v>486</v>
      </c>
      <c r="B7" s="162" t="s">
        <v>81</v>
      </c>
      <c r="C7" s="162"/>
      <c r="D7" s="162"/>
      <c r="E7" s="162"/>
      <c r="F7" s="162"/>
      <c r="G7" s="162"/>
      <c r="H7" s="162"/>
      <c r="I7" s="162"/>
      <c r="J7" s="162"/>
      <c r="K7" s="162"/>
    </row>
    <row r="8" spans="1:11" x14ac:dyDescent="0.25">
      <c r="A8" s="76" t="s">
        <v>282</v>
      </c>
      <c r="B8" s="162">
        <v>2006</v>
      </c>
      <c r="C8" s="162"/>
      <c r="D8" s="162"/>
      <c r="E8" s="162"/>
      <c r="F8" s="162"/>
      <c r="G8" s="162"/>
      <c r="H8" s="162"/>
      <c r="I8" s="162"/>
      <c r="J8" s="162"/>
      <c r="K8" s="162"/>
    </row>
    <row r="9" spans="1:11" x14ac:dyDescent="0.25">
      <c r="A9" s="76" t="s">
        <v>283</v>
      </c>
      <c r="B9" s="162" t="s">
        <v>347</v>
      </c>
      <c r="C9" s="162"/>
      <c r="D9" s="162"/>
      <c r="E9" s="162"/>
      <c r="F9" s="162"/>
      <c r="G9" s="162"/>
      <c r="H9" s="162"/>
      <c r="I9" s="162"/>
      <c r="J9" s="162"/>
      <c r="K9" s="162"/>
    </row>
    <row r="10" spans="1:11" x14ac:dyDescent="0.25">
      <c r="A10" s="76" t="s">
        <v>6</v>
      </c>
      <c r="B10" s="162" t="s">
        <v>359</v>
      </c>
      <c r="C10" s="162"/>
      <c r="D10" s="162"/>
      <c r="E10" s="162"/>
      <c r="F10" s="162"/>
      <c r="G10" s="162"/>
      <c r="H10" s="162"/>
      <c r="I10" s="162"/>
      <c r="J10" s="162"/>
      <c r="K10" s="162"/>
    </row>
    <row r="11" spans="1:11" x14ac:dyDescent="0.25">
      <c r="A11" s="76" t="s">
        <v>284</v>
      </c>
      <c r="B11" s="162" t="s">
        <v>349</v>
      </c>
      <c r="C11" s="162"/>
      <c r="D11" s="162"/>
      <c r="E11" s="162"/>
      <c r="F11" s="162"/>
      <c r="G11" s="162"/>
      <c r="H11" s="162"/>
      <c r="I11" s="162"/>
      <c r="J11" s="162"/>
      <c r="K11" s="162"/>
    </row>
    <row r="12" spans="1:11" x14ac:dyDescent="0.25">
      <c r="A12" s="76" t="s">
        <v>285</v>
      </c>
      <c r="B12" s="162" t="s">
        <v>360</v>
      </c>
      <c r="C12" s="162"/>
      <c r="D12" s="162"/>
      <c r="E12" s="162"/>
      <c r="F12" s="162"/>
      <c r="G12" s="162"/>
      <c r="H12" s="162"/>
      <c r="I12" s="162"/>
      <c r="J12" s="162"/>
      <c r="K12" s="162"/>
    </row>
    <row r="13" spans="1:11" hidden="1" x14ac:dyDescent="0.25">
      <c r="A13" s="76" t="s">
        <v>493</v>
      </c>
      <c r="B13" s="162">
        <v>1</v>
      </c>
      <c r="C13" s="162"/>
      <c r="D13" s="162"/>
      <c r="E13" s="162"/>
      <c r="F13" s="162"/>
      <c r="G13" s="162"/>
      <c r="H13" s="162"/>
      <c r="I13" s="162"/>
      <c r="J13" s="162"/>
      <c r="K13" s="162"/>
    </row>
    <row r="14" spans="1:11" hidden="1" x14ac:dyDescent="0.25">
      <c r="A14" s="76" t="s">
        <v>287</v>
      </c>
      <c r="B14" s="162">
        <v>324</v>
      </c>
      <c r="C14" s="162"/>
      <c r="D14" s="162"/>
      <c r="E14" s="162"/>
      <c r="F14" s="162"/>
      <c r="G14" s="162"/>
      <c r="H14" s="162"/>
      <c r="I14" s="162"/>
      <c r="J14" s="162"/>
      <c r="K14" s="162"/>
    </row>
    <row r="15" spans="1:11" x14ac:dyDescent="0.25">
      <c r="A15" s="76" t="s">
        <v>496</v>
      </c>
      <c r="B15" s="162" t="s">
        <v>361</v>
      </c>
      <c r="C15" s="162"/>
      <c r="D15" s="162"/>
      <c r="E15" s="162"/>
      <c r="F15" s="162"/>
      <c r="G15" s="162"/>
      <c r="H15" s="162"/>
      <c r="I15" s="162"/>
      <c r="J15" s="162"/>
      <c r="K15" s="162"/>
    </row>
    <row r="16" spans="1:11" x14ac:dyDescent="0.25">
      <c r="A16" s="76" t="s">
        <v>288</v>
      </c>
      <c r="B16" s="162" t="s">
        <v>352</v>
      </c>
      <c r="C16" s="162"/>
      <c r="D16" s="162"/>
      <c r="E16" s="162"/>
      <c r="F16" s="162"/>
      <c r="G16" s="162"/>
      <c r="H16" s="162"/>
      <c r="I16" s="162"/>
      <c r="J16" s="162"/>
      <c r="K16" s="162"/>
    </row>
    <row r="17" spans="1:11" x14ac:dyDescent="0.25">
      <c r="A17" s="76" t="s">
        <v>568</v>
      </c>
      <c r="B17" s="162"/>
      <c r="C17" s="162"/>
      <c r="D17" s="162"/>
      <c r="E17" s="162"/>
      <c r="F17" s="162"/>
      <c r="G17" s="162"/>
      <c r="H17" s="162"/>
      <c r="I17" s="162"/>
      <c r="J17" s="162"/>
      <c r="K17" s="162"/>
    </row>
    <row r="18" spans="1:11" x14ac:dyDescent="0.25">
      <c r="A18" s="76" t="s">
        <v>500</v>
      </c>
      <c r="B18" s="164">
        <v>45070</v>
      </c>
      <c r="C18" s="162"/>
      <c r="D18" s="162"/>
      <c r="E18" s="162"/>
      <c r="F18" s="162"/>
      <c r="G18" s="162"/>
      <c r="H18" s="162"/>
      <c r="I18" s="162"/>
      <c r="J18" s="162"/>
      <c r="K18" s="162"/>
    </row>
    <row r="19" spans="1:11" x14ac:dyDescent="0.25">
      <c r="A19" s="76" t="s">
        <v>290</v>
      </c>
      <c r="B19" s="164">
        <v>45014</v>
      </c>
      <c r="C19" s="162"/>
      <c r="D19" s="162"/>
      <c r="E19" s="162"/>
      <c r="F19" s="162"/>
      <c r="G19" s="162"/>
      <c r="H19" s="162"/>
      <c r="I19" s="162"/>
      <c r="J19" s="162"/>
      <c r="K19" s="162"/>
    </row>
    <row r="20" spans="1:11" x14ac:dyDescent="0.25">
      <c r="A20" s="76" t="s">
        <v>291</v>
      </c>
      <c r="B20" s="162" t="s">
        <v>298</v>
      </c>
      <c r="C20" s="162"/>
      <c r="D20" s="162"/>
      <c r="E20" s="162"/>
      <c r="F20" s="162"/>
      <c r="G20" s="162"/>
      <c r="H20" s="162"/>
      <c r="I20" s="162"/>
      <c r="J20" s="162"/>
      <c r="K20" s="162"/>
    </row>
    <row r="21" spans="1:11" x14ac:dyDescent="0.25">
      <c r="A21" s="150" t="s">
        <v>569</v>
      </c>
      <c r="B21" s="162" t="s">
        <v>297</v>
      </c>
      <c r="C21" s="162"/>
      <c r="D21" s="162"/>
      <c r="E21" s="162"/>
      <c r="F21" s="162"/>
      <c r="G21" s="162"/>
      <c r="H21" s="162"/>
      <c r="I21" s="162"/>
      <c r="J21" s="162"/>
      <c r="K21" s="162"/>
    </row>
    <row r="23" spans="1:11" x14ac:dyDescent="0.25">
      <c r="B23" s="91" t="str">
        <f>HYPERLINK("#'Factor List'!A1","Back to Factor List")</f>
        <v>Back to Factor List</v>
      </c>
    </row>
    <row r="24" spans="1:11" x14ac:dyDescent="0.25">
      <c r="B24" s="91" t="str">
        <f>HYPERLINK("#'Assumptions'!A1","Assumptions")</f>
        <v>Assumptions</v>
      </c>
    </row>
    <row r="26" spans="1:11" x14ac:dyDescent="0.25">
      <c r="A26" s="87" t="s">
        <v>611</v>
      </c>
      <c r="B26" s="87">
        <v>55</v>
      </c>
      <c r="C26" s="87">
        <v>56</v>
      </c>
      <c r="D26" s="87">
        <v>57</v>
      </c>
      <c r="E26" s="87">
        <v>58</v>
      </c>
      <c r="F26" s="87">
        <v>59</v>
      </c>
      <c r="G26" s="87">
        <v>60</v>
      </c>
      <c r="H26" s="87">
        <v>61</v>
      </c>
      <c r="I26" s="87">
        <v>62</v>
      </c>
      <c r="J26" s="87">
        <v>63</v>
      </c>
      <c r="K26" s="87">
        <v>64</v>
      </c>
    </row>
    <row r="27" spans="1:11" x14ac:dyDescent="0.25">
      <c r="A27" s="88">
        <v>0</v>
      </c>
      <c r="B27" s="90">
        <v>0.60899999999999999</v>
      </c>
      <c r="C27" s="90">
        <v>0.63600000000000001</v>
      </c>
      <c r="D27" s="90">
        <v>0.66500000000000004</v>
      </c>
      <c r="E27" s="90">
        <v>0.69499999999999995</v>
      </c>
      <c r="F27" s="90">
        <v>0.72899999999999998</v>
      </c>
      <c r="G27" s="90">
        <v>0.76500000000000001</v>
      </c>
      <c r="H27" s="90">
        <v>0.80400000000000005</v>
      </c>
      <c r="I27" s="90">
        <v>0.84599999999999997</v>
      </c>
      <c r="J27" s="90">
        <v>0.89300000000000002</v>
      </c>
      <c r="K27" s="90">
        <v>0.94399999999999995</v>
      </c>
    </row>
    <row r="28" spans="1:11" x14ac:dyDescent="0.25">
      <c r="A28" s="88">
        <v>1</v>
      </c>
      <c r="B28" s="90">
        <v>0.61199999999999999</v>
      </c>
      <c r="C28" s="90">
        <v>0.63800000000000001</v>
      </c>
      <c r="D28" s="90">
        <v>0.66700000000000004</v>
      </c>
      <c r="E28" s="90">
        <v>0.69799999999999995</v>
      </c>
      <c r="F28" s="90">
        <v>0.73199999999999998</v>
      </c>
      <c r="G28" s="90">
        <v>0.76800000000000002</v>
      </c>
      <c r="H28" s="90">
        <v>0.80700000000000005</v>
      </c>
      <c r="I28" s="90">
        <v>0.85</v>
      </c>
      <c r="J28" s="90">
        <v>0.89700000000000002</v>
      </c>
      <c r="K28" s="90">
        <v>0.94899999999999995</v>
      </c>
    </row>
    <row r="29" spans="1:11" x14ac:dyDescent="0.25">
      <c r="A29" s="88">
        <v>2</v>
      </c>
      <c r="B29" s="90">
        <v>0.61399999999999999</v>
      </c>
      <c r="C29" s="90">
        <v>0.64100000000000001</v>
      </c>
      <c r="D29" s="90">
        <v>0.67</v>
      </c>
      <c r="E29" s="90">
        <v>0.70099999999999996</v>
      </c>
      <c r="F29" s="90">
        <v>0.73499999999999999</v>
      </c>
      <c r="G29" s="90">
        <v>0.77100000000000002</v>
      </c>
      <c r="H29" s="90">
        <v>0.81100000000000005</v>
      </c>
      <c r="I29" s="90">
        <v>0.85399999999999998</v>
      </c>
      <c r="J29" s="90">
        <v>0.90200000000000002</v>
      </c>
      <c r="K29" s="90">
        <v>0.95299999999999996</v>
      </c>
    </row>
    <row r="30" spans="1:11" x14ac:dyDescent="0.25">
      <c r="A30" s="88">
        <v>3</v>
      </c>
      <c r="B30" s="90">
        <v>0.61599999999999999</v>
      </c>
      <c r="C30" s="90">
        <v>0.64300000000000002</v>
      </c>
      <c r="D30" s="90">
        <v>0.67200000000000004</v>
      </c>
      <c r="E30" s="90">
        <v>0.70399999999999996</v>
      </c>
      <c r="F30" s="90">
        <v>0.73799999999999999</v>
      </c>
      <c r="G30" s="90">
        <v>0.77400000000000002</v>
      </c>
      <c r="H30" s="90">
        <v>0.81499999999999995</v>
      </c>
      <c r="I30" s="90">
        <v>0.85799999999999998</v>
      </c>
      <c r="J30" s="90">
        <v>0.90600000000000003</v>
      </c>
      <c r="K30" s="90">
        <v>0.95799999999999996</v>
      </c>
    </row>
    <row r="31" spans="1:11" x14ac:dyDescent="0.25">
      <c r="A31" s="88">
        <v>4</v>
      </c>
      <c r="B31" s="90">
        <v>0.61799999999999999</v>
      </c>
      <c r="C31" s="90">
        <v>0.64500000000000002</v>
      </c>
      <c r="D31" s="90">
        <v>0.67500000000000004</v>
      </c>
      <c r="E31" s="90">
        <v>0.70599999999999996</v>
      </c>
      <c r="F31" s="90">
        <v>0.74099999999999999</v>
      </c>
      <c r="G31" s="90">
        <v>0.77800000000000002</v>
      </c>
      <c r="H31" s="90">
        <v>0.81799999999999995</v>
      </c>
      <c r="I31" s="90">
        <v>0.86199999999999999</v>
      </c>
      <c r="J31" s="90">
        <v>0.91</v>
      </c>
      <c r="K31" s="90">
        <v>0.96299999999999997</v>
      </c>
    </row>
    <row r="32" spans="1:11" x14ac:dyDescent="0.25">
      <c r="A32" s="88">
        <v>5</v>
      </c>
      <c r="B32" s="90">
        <v>0.62</v>
      </c>
      <c r="C32" s="90">
        <v>0.64800000000000002</v>
      </c>
      <c r="D32" s="90">
        <v>0.67700000000000005</v>
      </c>
      <c r="E32" s="90">
        <v>0.70899999999999996</v>
      </c>
      <c r="F32" s="90">
        <v>0.74399999999999999</v>
      </c>
      <c r="G32" s="90">
        <v>0.78100000000000003</v>
      </c>
      <c r="H32" s="90">
        <v>0.82199999999999995</v>
      </c>
      <c r="I32" s="90">
        <v>0.86599999999999999</v>
      </c>
      <c r="J32" s="90">
        <v>0.91400000000000003</v>
      </c>
      <c r="K32" s="90">
        <v>0.96699999999999997</v>
      </c>
    </row>
    <row r="33" spans="1:11" x14ac:dyDescent="0.25">
      <c r="A33" s="88">
        <v>6</v>
      </c>
      <c r="B33" s="90">
        <v>0.623</v>
      </c>
      <c r="C33" s="90">
        <v>0.65</v>
      </c>
      <c r="D33" s="90">
        <v>0.68</v>
      </c>
      <c r="E33" s="90">
        <v>0.71199999999999997</v>
      </c>
      <c r="F33" s="90">
        <v>0.747</v>
      </c>
      <c r="G33" s="90">
        <v>0.78400000000000003</v>
      </c>
      <c r="H33" s="90">
        <v>0.82499999999999996</v>
      </c>
      <c r="I33" s="90">
        <v>0.87</v>
      </c>
      <c r="J33" s="90">
        <v>0.91800000000000004</v>
      </c>
      <c r="K33" s="90">
        <v>0.97199999999999998</v>
      </c>
    </row>
    <row r="34" spans="1:11" x14ac:dyDescent="0.25">
      <c r="A34" s="88">
        <v>7</v>
      </c>
      <c r="B34" s="90">
        <v>0.625</v>
      </c>
      <c r="C34" s="90">
        <v>0.65300000000000002</v>
      </c>
      <c r="D34" s="90">
        <v>0.68200000000000005</v>
      </c>
      <c r="E34" s="90">
        <v>0.71499999999999997</v>
      </c>
      <c r="F34" s="90">
        <v>0.75</v>
      </c>
      <c r="G34" s="90">
        <v>0.78800000000000003</v>
      </c>
      <c r="H34" s="90">
        <v>0.82899999999999996</v>
      </c>
      <c r="I34" s="90">
        <v>0.874</v>
      </c>
      <c r="J34" s="90">
        <v>0.92300000000000004</v>
      </c>
      <c r="K34" s="90">
        <v>0.97699999999999998</v>
      </c>
    </row>
    <row r="35" spans="1:11" x14ac:dyDescent="0.25">
      <c r="A35" s="88">
        <v>8</v>
      </c>
      <c r="B35" s="90">
        <v>0.627</v>
      </c>
      <c r="C35" s="90">
        <v>0.65500000000000003</v>
      </c>
      <c r="D35" s="90">
        <v>0.68500000000000005</v>
      </c>
      <c r="E35" s="90">
        <v>0.71799999999999997</v>
      </c>
      <c r="F35" s="90">
        <v>0.753</v>
      </c>
      <c r="G35" s="90">
        <v>0.79100000000000004</v>
      </c>
      <c r="H35" s="90">
        <v>0.83199999999999996</v>
      </c>
      <c r="I35" s="90">
        <v>0.877</v>
      </c>
      <c r="J35" s="90">
        <v>0.92700000000000005</v>
      </c>
      <c r="K35" s="90">
        <v>0.98099999999999998</v>
      </c>
    </row>
    <row r="36" spans="1:11" x14ac:dyDescent="0.25">
      <c r="A36" s="88">
        <v>9</v>
      </c>
      <c r="B36" s="90">
        <v>0.629</v>
      </c>
      <c r="C36" s="90">
        <v>0.65700000000000003</v>
      </c>
      <c r="D36" s="90">
        <v>0.68799999999999994</v>
      </c>
      <c r="E36" s="90">
        <v>0.72</v>
      </c>
      <c r="F36" s="90">
        <v>0.75600000000000001</v>
      </c>
      <c r="G36" s="90">
        <v>0.79400000000000004</v>
      </c>
      <c r="H36" s="90">
        <v>0.83599999999999997</v>
      </c>
      <c r="I36" s="90">
        <v>0.88100000000000001</v>
      </c>
      <c r="J36" s="90">
        <v>0.93100000000000005</v>
      </c>
      <c r="K36" s="90">
        <v>0.98599999999999999</v>
      </c>
    </row>
    <row r="37" spans="1:11" x14ac:dyDescent="0.25">
      <c r="A37" s="88">
        <v>10</v>
      </c>
      <c r="B37" s="90">
        <v>0.63100000000000001</v>
      </c>
      <c r="C37" s="90">
        <v>0.66</v>
      </c>
      <c r="D37" s="90">
        <v>0.69</v>
      </c>
      <c r="E37" s="90">
        <v>0.72299999999999998</v>
      </c>
      <c r="F37" s="90">
        <v>0.75900000000000001</v>
      </c>
      <c r="G37" s="90">
        <v>0.79700000000000004</v>
      </c>
      <c r="H37" s="90">
        <v>0.83899999999999997</v>
      </c>
      <c r="I37" s="90">
        <v>0.88500000000000001</v>
      </c>
      <c r="J37" s="90">
        <v>0.93500000000000005</v>
      </c>
      <c r="K37" s="90">
        <v>0.99099999999999999</v>
      </c>
    </row>
    <row r="38" spans="1:11" x14ac:dyDescent="0.25">
      <c r="A38" s="88">
        <v>11</v>
      </c>
      <c r="B38" s="90">
        <v>0.63400000000000001</v>
      </c>
      <c r="C38" s="90">
        <v>0.66200000000000003</v>
      </c>
      <c r="D38" s="90">
        <v>0.69299999999999995</v>
      </c>
      <c r="E38" s="90">
        <v>0.72599999999999998</v>
      </c>
      <c r="F38" s="90">
        <v>0.76200000000000001</v>
      </c>
      <c r="G38" s="90">
        <v>0.80100000000000005</v>
      </c>
      <c r="H38" s="90">
        <v>0.84299999999999997</v>
      </c>
      <c r="I38" s="90">
        <v>0.88900000000000001</v>
      </c>
      <c r="J38" s="90">
        <v>0.94</v>
      </c>
      <c r="K38" s="90">
        <v>0.995</v>
      </c>
    </row>
    <row r="39" spans="1:11" x14ac:dyDescent="0.25">
      <c r="A39"/>
      <c r="B39"/>
    </row>
    <row r="40" spans="1:11" x14ac:dyDescent="0.25">
      <c r="A40"/>
      <c r="B40"/>
    </row>
    <row r="41" spans="1:11" x14ac:dyDescent="0.25">
      <c r="A41"/>
      <c r="B41"/>
    </row>
    <row r="42" spans="1:11" x14ac:dyDescent="0.25">
      <c r="A42"/>
      <c r="B42"/>
    </row>
    <row r="43" spans="1:11" x14ac:dyDescent="0.25">
      <c r="A43"/>
      <c r="B43"/>
    </row>
    <row r="44" spans="1:11" ht="39.6" customHeight="1" x14ac:dyDescent="0.25">
      <c r="A44"/>
      <c r="B44"/>
    </row>
    <row r="45" spans="1:11" x14ac:dyDescent="0.25">
      <c r="A45"/>
      <c r="B45"/>
    </row>
    <row r="46" spans="1:11" ht="27.6" customHeight="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vVUP3iEZ4vo7/3p1tn7s75V984/M/rBA755Ykv32FfgutFtQH6R6X6xaDheW3JDOvU7dH5d2cLb+h5HdAco2Ag==" saltValue="tOVn+KVsdcuXQTtiigdmTg==" spinCount="100000" sheet="1" objects="1" scenarios="1"/>
  <conditionalFormatting sqref="A6:A21">
    <cfRule type="expression" dxfId="413" priority="3" stopIfTrue="1">
      <formula>MOD(ROW(),2)=0</formula>
    </cfRule>
    <cfRule type="expression" dxfId="412" priority="4" stopIfTrue="1">
      <formula>MOD(ROW(),2)&lt;&gt;0</formula>
    </cfRule>
  </conditionalFormatting>
  <conditionalFormatting sqref="A26:A38">
    <cfRule type="expression" dxfId="411" priority="9" stopIfTrue="1">
      <formula>MOD(ROW(),2)=0</formula>
    </cfRule>
    <cfRule type="expression" dxfId="410" priority="10" stopIfTrue="1">
      <formula>MOD(ROW(),2)&lt;&gt;0</formula>
    </cfRule>
  </conditionalFormatting>
  <conditionalFormatting sqref="B17:C21">
    <cfRule type="expression" dxfId="409" priority="7" stopIfTrue="1">
      <formula>MOD(ROW(),2)=0</formula>
    </cfRule>
    <cfRule type="expression" dxfId="408" priority="8" stopIfTrue="1">
      <formula>MOD(ROW(),2)&lt;&gt;0</formula>
    </cfRule>
  </conditionalFormatting>
  <conditionalFormatting sqref="B6:K21 B26:K38">
    <cfRule type="expression" dxfId="407" priority="25" stopIfTrue="1">
      <formula>MOD(ROW(),2)=0</formula>
    </cfRule>
    <cfRule type="expression" dxfId="406" priority="2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12"/>
  <dimension ref="A1:H65"/>
  <sheetViews>
    <sheetView showGridLines="0" zoomScale="85" zoomScaleNormal="85" workbookViewId="0">
      <selection activeCell="A4" sqref="A4"/>
    </sheetView>
  </sheetViews>
  <sheetFormatPr defaultColWidth="10" defaultRowHeight="13.2" x14ac:dyDescent="0.25"/>
  <cols>
    <col min="1" max="1" width="31.88671875" style="27" customWidth="1"/>
    <col min="2" max="6" width="22.88671875" style="27" customWidth="1"/>
    <col min="7" max="16384" width="10" style="27"/>
  </cols>
  <sheetData>
    <row r="1" spans="1:8" ht="21" x14ac:dyDescent="0.4">
      <c r="A1" s="39" t="s">
        <v>0</v>
      </c>
      <c r="B1" s="40"/>
      <c r="C1" s="40"/>
      <c r="D1" s="40"/>
      <c r="E1" s="40"/>
      <c r="F1" s="40"/>
      <c r="G1" s="40"/>
      <c r="H1" s="40"/>
    </row>
    <row r="2" spans="1:8" ht="15.6" x14ac:dyDescent="0.3">
      <c r="A2" s="41" t="str">
        <f>IF(title="&gt; Enter workbook title here","Enter workbook title in Cover sheet",title)</f>
        <v>Fire_S - Consolidated Factor Spreadsheet</v>
      </c>
      <c r="B2" s="42"/>
      <c r="C2" s="42"/>
      <c r="D2" s="42"/>
      <c r="E2" s="42"/>
      <c r="F2" s="42"/>
      <c r="G2" s="42"/>
      <c r="H2" s="42"/>
    </row>
    <row r="3" spans="1:8" ht="15.6" x14ac:dyDescent="0.3">
      <c r="A3" s="43" t="str">
        <f>TABLE_FACTOR_TYPE_1&amp;" - x-"&amp;TABLE_SERIES_NUMBER_1</f>
        <v>Pension Debit - x-325</v>
      </c>
      <c r="B3" s="42"/>
      <c r="C3" s="42"/>
      <c r="D3" s="42"/>
      <c r="E3" s="42"/>
      <c r="F3" s="42"/>
      <c r="G3" s="42"/>
      <c r="H3" s="42"/>
    </row>
    <row r="4" spans="1:8" x14ac:dyDescent="0.25">
      <c r="A4" s="44"/>
    </row>
    <row r="6" spans="1:8" x14ac:dyDescent="0.25">
      <c r="A6" s="75" t="s">
        <v>484</v>
      </c>
      <c r="B6" s="162" t="s">
        <v>485</v>
      </c>
      <c r="C6" s="162"/>
      <c r="D6" s="162"/>
      <c r="E6" s="162"/>
      <c r="F6" s="162"/>
    </row>
    <row r="7" spans="1:8" x14ac:dyDescent="0.25">
      <c r="A7" s="76" t="s">
        <v>486</v>
      </c>
      <c r="B7" s="162" t="s">
        <v>81</v>
      </c>
      <c r="C7" s="162"/>
      <c r="D7" s="162"/>
      <c r="E7" s="162"/>
      <c r="F7" s="162"/>
    </row>
    <row r="8" spans="1:8" x14ac:dyDescent="0.25">
      <c r="A8" s="76" t="s">
        <v>282</v>
      </c>
      <c r="B8" s="162">
        <v>2006</v>
      </c>
      <c r="C8" s="162"/>
      <c r="D8" s="162"/>
      <c r="E8" s="162"/>
      <c r="F8" s="162"/>
    </row>
    <row r="9" spans="1:8" x14ac:dyDescent="0.25">
      <c r="A9" s="76" t="s">
        <v>283</v>
      </c>
      <c r="B9" s="162" t="s">
        <v>347</v>
      </c>
      <c r="C9" s="162"/>
      <c r="D9" s="162"/>
      <c r="E9" s="162"/>
      <c r="F9" s="162"/>
    </row>
    <row r="10" spans="1:8" x14ac:dyDescent="0.25">
      <c r="A10" s="76" t="s">
        <v>6</v>
      </c>
      <c r="B10" s="162" t="s">
        <v>362</v>
      </c>
      <c r="C10" s="162"/>
      <c r="D10" s="162"/>
      <c r="E10" s="162"/>
      <c r="F10" s="162"/>
    </row>
    <row r="11" spans="1:8" x14ac:dyDescent="0.25">
      <c r="A11" s="76" t="s">
        <v>284</v>
      </c>
      <c r="B11" s="162" t="s">
        <v>349</v>
      </c>
      <c r="C11" s="162"/>
      <c r="D11" s="162"/>
      <c r="E11" s="162"/>
      <c r="F11" s="162"/>
    </row>
    <row r="12" spans="1:8" x14ac:dyDescent="0.25">
      <c r="A12" s="76" t="s">
        <v>285</v>
      </c>
      <c r="B12" s="162" t="s">
        <v>360</v>
      </c>
      <c r="C12" s="162"/>
      <c r="D12" s="162"/>
      <c r="E12" s="162"/>
      <c r="F12" s="162"/>
    </row>
    <row r="13" spans="1:8" hidden="1" x14ac:dyDescent="0.25">
      <c r="A13" s="76" t="s">
        <v>493</v>
      </c>
      <c r="B13" s="162">
        <v>1</v>
      </c>
      <c r="C13" s="162"/>
      <c r="D13" s="162"/>
      <c r="E13" s="162"/>
      <c r="F13" s="162"/>
    </row>
    <row r="14" spans="1:8" hidden="1" x14ac:dyDescent="0.25">
      <c r="A14" s="76" t="s">
        <v>287</v>
      </c>
      <c r="B14" s="162">
        <v>325</v>
      </c>
      <c r="C14" s="162"/>
      <c r="D14" s="162"/>
      <c r="E14" s="162"/>
      <c r="F14" s="162"/>
    </row>
    <row r="15" spans="1:8" x14ac:dyDescent="0.25">
      <c r="A15" s="76" t="s">
        <v>496</v>
      </c>
      <c r="B15" s="162" t="s">
        <v>363</v>
      </c>
      <c r="C15" s="162"/>
      <c r="D15" s="162"/>
      <c r="E15" s="162"/>
      <c r="F15" s="162"/>
    </row>
    <row r="16" spans="1:8" x14ac:dyDescent="0.25">
      <c r="A16" s="76" t="s">
        <v>288</v>
      </c>
      <c r="B16" s="162" t="s">
        <v>364</v>
      </c>
      <c r="C16" s="162"/>
      <c r="D16" s="162"/>
      <c r="E16" s="162"/>
      <c r="F16" s="162"/>
    </row>
    <row r="17" spans="1:6" x14ac:dyDescent="0.25">
      <c r="A17" s="76" t="s">
        <v>568</v>
      </c>
      <c r="B17" s="162"/>
      <c r="C17" s="162"/>
      <c r="D17" s="162"/>
      <c r="E17" s="162"/>
      <c r="F17" s="162"/>
    </row>
    <row r="18" spans="1:6" x14ac:dyDescent="0.25">
      <c r="A18" s="76" t="s">
        <v>500</v>
      </c>
      <c r="B18" s="164">
        <v>45070</v>
      </c>
      <c r="C18" s="162"/>
      <c r="D18" s="162"/>
      <c r="E18" s="162"/>
      <c r="F18" s="162"/>
    </row>
    <row r="19" spans="1:6" x14ac:dyDescent="0.25">
      <c r="A19" s="76" t="s">
        <v>290</v>
      </c>
      <c r="B19" s="164">
        <v>45014</v>
      </c>
      <c r="C19" s="162"/>
      <c r="D19" s="162"/>
      <c r="E19" s="162"/>
      <c r="F19" s="162"/>
    </row>
    <row r="20" spans="1:6" x14ac:dyDescent="0.25">
      <c r="A20" s="76" t="s">
        <v>291</v>
      </c>
      <c r="B20" s="162" t="s">
        <v>298</v>
      </c>
      <c r="C20" s="162"/>
      <c r="D20" s="162"/>
      <c r="E20" s="162"/>
      <c r="F20" s="162"/>
    </row>
    <row r="21" spans="1:6" x14ac:dyDescent="0.25">
      <c r="A21" s="150" t="s">
        <v>569</v>
      </c>
      <c r="B21" s="162" t="s">
        <v>297</v>
      </c>
      <c r="C21" s="162"/>
      <c r="D21" s="162"/>
      <c r="E21" s="162"/>
      <c r="F21" s="162"/>
    </row>
    <row r="23" spans="1:6" x14ac:dyDescent="0.25">
      <c r="B23" s="91" t="str">
        <f>HYPERLINK("#'Factor List'!A1","Back to Factor List")</f>
        <v>Back to Factor List</v>
      </c>
    </row>
    <row r="24" spans="1:6" x14ac:dyDescent="0.25">
      <c r="B24" s="91" t="str">
        <f>HYPERLINK("#'Assumptions'!A1","Assumptions")</f>
        <v>Assumptions</v>
      </c>
    </row>
    <row r="26" spans="1:6" x14ac:dyDescent="0.25">
      <c r="A26" s="87" t="s">
        <v>611</v>
      </c>
      <c r="B26" s="87">
        <v>55</v>
      </c>
      <c r="C26" s="87">
        <v>56</v>
      </c>
      <c r="D26" s="87">
        <v>57</v>
      </c>
      <c r="E26" s="87">
        <v>58</v>
      </c>
      <c r="F26" s="87">
        <v>59</v>
      </c>
    </row>
    <row r="27" spans="1:6" x14ac:dyDescent="0.25">
      <c r="A27" s="88">
        <v>0</v>
      </c>
      <c r="B27" s="90">
        <v>0.79400000000000004</v>
      </c>
      <c r="C27" s="90">
        <v>0.82899999999999996</v>
      </c>
      <c r="D27" s="90">
        <v>0.86699999999999999</v>
      </c>
      <c r="E27" s="90">
        <v>0.90800000000000003</v>
      </c>
      <c r="F27" s="90">
        <v>0.95199999999999996</v>
      </c>
    </row>
    <row r="28" spans="1:6" x14ac:dyDescent="0.25">
      <c r="A28" s="88">
        <v>1</v>
      </c>
      <c r="B28" s="90">
        <v>0.79700000000000004</v>
      </c>
      <c r="C28" s="90">
        <v>0.83199999999999996</v>
      </c>
      <c r="D28" s="90">
        <v>0.87</v>
      </c>
      <c r="E28" s="90">
        <v>0.91200000000000003</v>
      </c>
      <c r="F28" s="90">
        <v>0.95599999999999996</v>
      </c>
    </row>
    <row r="29" spans="1:6" x14ac:dyDescent="0.25">
      <c r="A29" s="88">
        <v>2</v>
      </c>
      <c r="B29" s="90">
        <v>0.8</v>
      </c>
      <c r="C29" s="90">
        <v>0.83499999999999996</v>
      </c>
      <c r="D29" s="90">
        <v>0.874</v>
      </c>
      <c r="E29" s="90">
        <v>0.91500000000000004</v>
      </c>
      <c r="F29" s="90">
        <v>0.96</v>
      </c>
    </row>
    <row r="30" spans="1:6" x14ac:dyDescent="0.25">
      <c r="A30" s="88">
        <v>3</v>
      </c>
      <c r="B30" s="90">
        <v>0.80200000000000005</v>
      </c>
      <c r="C30" s="90">
        <v>0.83799999999999997</v>
      </c>
      <c r="D30" s="90">
        <v>0.877</v>
      </c>
      <c r="E30" s="90">
        <v>0.91900000000000004</v>
      </c>
      <c r="F30" s="90">
        <v>0.96399999999999997</v>
      </c>
    </row>
    <row r="31" spans="1:6" x14ac:dyDescent="0.25">
      <c r="A31" s="88">
        <v>4</v>
      </c>
      <c r="B31" s="90">
        <v>0.80500000000000005</v>
      </c>
      <c r="C31" s="90">
        <v>0.84199999999999997</v>
      </c>
      <c r="D31" s="90">
        <v>0.88100000000000001</v>
      </c>
      <c r="E31" s="90">
        <v>0.92300000000000004</v>
      </c>
      <c r="F31" s="90">
        <v>0.96799999999999997</v>
      </c>
    </row>
    <row r="32" spans="1:6" x14ac:dyDescent="0.25">
      <c r="A32" s="88">
        <v>5</v>
      </c>
      <c r="B32" s="90">
        <v>0.80800000000000005</v>
      </c>
      <c r="C32" s="90">
        <v>0.84499999999999997</v>
      </c>
      <c r="D32" s="90">
        <v>0.88400000000000001</v>
      </c>
      <c r="E32" s="90">
        <v>0.92600000000000005</v>
      </c>
      <c r="F32" s="90">
        <v>0.97199999999999998</v>
      </c>
    </row>
    <row r="33" spans="1:6" x14ac:dyDescent="0.25">
      <c r="A33" s="88">
        <v>6</v>
      </c>
      <c r="B33" s="90">
        <v>0.81100000000000005</v>
      </c>
      <c r="C33" s="90">
        <v>0.84799999999999998</v>
      </c>
      <c r="D33" s="90">
        <v>0.88700000000000001</v>
      </c>
      <c r="E33" s="90">
        <v>0.93</v>
      </c>
      <c r="F33" s="90">
        <v>0.97599999999999998</v>
      </c>
    </row>
    <row r="34" spans="1:6" x14ac:dyDescent="0.25">
      <c r="A34" s="88">
        <v>7</v>
      </c>
      <c r="B34" s="90">
        <v>0.81399999999999995</v>
      </c>
      <c r="C34" s="90">
        <v>0.85099999999999998</v>
      </c>
      <c r="D34" s="90">
        <v>0.89100000000000001</v>
      </c>
      <c r="E34" s="90">
        <v>0.93400000000000005</v>
      </c>
      <c r="F34" s="90">
        <v>0.98</v>
      </c>
    </row>
    <row r="35" spans="1:6" x14ac:dyDescent="0.25">
      <c r="A35" s="88">
        <v>8</v>
      </c>
      <c r="B35" s="90">
        <v>0.81699999999999995</v>
      </c>
      <c r="C35" s="90">
        <v>0.85399999999999998</v>
      </c>
      <c r="D35" s="90">
        <v>0.89400000000000002</v>
      </c>
      <c r="E35" s="90">
        <v>0.93700000000000006</v>
      </c>
      <c r="F35" s="90">
        <v>0.98399999999999999</v>
      </c>
    </row>
    <row r="36" spans="1:6" x14ac:dyDescent="0.25">
      <c r="A36" s="88">
        <v>9</v>
      </c>
      <c r="B36" s="90">
        <v>0.82</v>
      </c>
      <c r="C36" s="90">
        <v>0.85699999999999998</v>
      </c>
      <c r="D36" s="90">
        <v>0.89800000000000002</v>
      </c>
      <c r="E36" s="90">
        <v>0.94099999999999995</v>
      </c>
      <c r="F36" s="90">
        <v>0.98799999999999999</v>
      </c>
    </row>
    <row r="37" spans="1:6" x14ac:dyDescent="0.25">
      <c r="A37" s="88">
        <v>10</v>
      </c>
      <c r="B37" s="90">
        <v>0.82299999999999995</v>
      </c>
      <c r="C37" s="90">
        <v>0.86099999999999999</v>
      </c>
      <c r="D37" s="90">
        <v>0.90100000000000002</v>
      </c>
      <c r="E37" s="90">
        <v>0.94499999999999995</v>
      </c>
      <c r="F37" s="90">
        <v>0.99199999999999999</v>
      </c>
    </row>
    <row r="38" spans="1:6" x14ac:dyDescent="0.25">
      <c r="A38" s="88">
        <v>11</v>
      </c>
      <c r="B38" s="90">
        <v>0.82599999999999996</v>
      </c>
      <c r="C38" s="90">
        <v>0.86399999999999999</v>
      </c>
      <c r="D38" s="90">
        <v>0.90400000000000003</v>
      </c>
      <c r="E38" s="90">
        <v>0.94799999999999995</v>
      </c>
      <c r="F38" s="90">
        <v>0.996</v>
      </c>
    </row>
    <row r="39" spans="1:6" x14ac:dyDescent="0.25">
      <c r="A39"/>
      <c r="B39"/>
    </row>
    <row r="40" spans="1:6" x14ac:dyDescent="0.25">
      <c r="A40"/>
      <c r="B40"/>
    </row>
    <row r="41" spans="1:6" x14ac:dyDescent="0.25">
      <c r="A41"/>
      <c r="B41"/>
    </row>
    <row r="42" spans="1:6" x14ac:dyDescent="0.25">
      <c r="A42"/>
      <c r="B42"/>
    </row>
    <row r="43" spans="1:6" x14ac:dyDescent="0.25">
      <c r="A43"/>
      <c r="B43"/>
    </row>
    <row r="44" spans="1:6" ht="39.6" customHeight="1" x14ac:dyDescent="0.25">
      <c r="A44"/>
      <c r="B44"/>
    </row>
    <row r="45" spans="1:6" x14ac:dyDescent="0.25">
      <c r="A45"/>
      <c r="B45"/>
    </row>
    <row r="46" spans="1:6" ht="27.6" customHeight="1" x14ac:dyDescent="0.25">
      <c r="A46"/>
      <c r="B46"/>
    </row>
    <row r="47" spans="1:6" x14ac:dyDescent="0.25">
      <c r="A47"/>
      <c r="B47"/>
    </row>
    <row r="48" spans="1:6"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Tubry01Amt8VAWihGTW3LqE228ztCn8HnQ3bctLuk+qavKe5K6aMw7XI+xIgKT43b2iigW5dQh0adcGrSS64ng==" saltValue="jyoZ7oGUtLRnstPJZa/psQ==" spinCount="100000" sheet="1" objects="1" scenarios="1"/>
  <conditionalFormatting sqref="A6:A21">
    <cfRule type="expression" dxfId="405" priority="3" stopIfTrue="1">
      <formula>MOD(ROW(),2)=0</formula>
    </cfRule>
    <cfRule type="expression" dxfId="404" priority="4" stopIfTrue="1">
      <formula>MOD(ROW(),2)&lt;&gt;0</formula>
    </cfRule>
  </conditionalFormatting>
  <conditionalFormatting sqref="A26:A38">
    <cfRule type="expression" dxfId="403" priority="9" stopIfTrue="1">
      <formula>MOD(ROW(),2)=0</formula>
    </cfRule>
    <cfRule type="expression" dxfId="402" priority="10" stopIfTrue="1">
      <formula>MOD(ROW(),2)&lt;&gt;0</formula>
    </cfRule>
  </conditionalFormatting>
  <conditionalFormatting sqref="B17:C21">
    <cfRule type="expression" dxfId="401" priority="7" stopIfTrue="1">
      <formula>MOD(ROW(),2)=0</formula>
    </cfRule>
    <cfRule type="expression" dxfId="400" priority="8" stopIfTrue="1">
      <formula>MOD(ROW(),2)&lt;&gt;0</formula>
    </cfRule>
  </conditionalFormatting>
  <conditionalFormatting sqref="B6:F21 B26:F38">
    <cfRule type="expression" dxfId="399" priority="25" stopIfTrue="1">
      <formula>MOD(ROW(),2)=0</formula>
    </cfRule>
    <cfRule type="expression" dxfId="398" priority="2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13"/>
  <dimension ref="A1:K65"/>
  <sheetViews>
    <sheetView showGridLines="0" zoomScale="85" zoomScaleNormal="85" workbookViewId="0">
      <selection activeCell="A4" sqref="A4"/>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39" t="s">
        <v>0</v>
      </c>
      <c r="B1" s="40"/>
      <c r="C1" s="40"/>
      <c r="D1" s="40"/>
      <c r="E1" s="40"/>
      <c r="F1" s="40"/>
      <c r="G1" s="40"/>
      <c r="H1" s="40"/>
      <c r="I1" s="40"/>
    </row>
    <row r="2" spans="1:11" ht="15.6" x14ac:dyDescent="0.3">
      <c r="A2" s="41" t="str">
        <f>IF(title="&gt; Enter workbook title here","Enter workbook title in Cover sheet",title)</f>
        <v>Fire_S - Consolidated Factor Spreadsheet</v>
      </c>
      <c r="B2" s="42"/>
      <c r="C2" s="42"/>
      <c r="D2" s="42"/>
      <c r="E2" s="42"/>
      <c r="F2" s="42"/>
      <c r="G2" s="42"/>
      <c r="H2" s="42"/>
      <c r="I2" s="42"/>
    </row>
    <row r="3" spans="1:11" ht="15.6" x14ac:dyDescent="0.3">
      <c r="A3" s="43" t="str">
        <f>TABLE_FACTOR_TYPE_1&amp;" - x-"&amp;TABLE_SERIES_NUMBER_1</f>
        <v>Pension Debit - x-326</v>
      </c>
      <c r="B3" s="42"/>
      <c r="C3" s="42"/>
      <c r="D3" s="42"/>
      <c r="E3" s="42"/>
      <c r="F3" s="42"/>
      <c r="G3" s="42"/>
      <c r="H3" s="42"/>
      <c r="I3" s="42"/>
    </row>
    <row r="4" spans="1:11" x14ac:dyDescent="0.25">
      <c r="A4" s="44"/>
    </row>
    <row r="6" spans="1:11" x14ac:dyDescent="0.25">
      <c r="A6" s="75" t="s">
        <v>484</v>
      </c>
      <c r="B6" s="162" t="s">
        <v>485</v>
      </c>
      <c r="C6" s="162"/>
      <c r="D6" s="162"/>
      <c r="E6" s="162"/>
      <c r="F6" s="162"/>
      <c r="G6" s="162"/>
      <c r="H6" s="162"/>
      <c r="I6" s="162"/>
      <c r="J6" s="162"/>
      <c r="K6" s="162"/>
    </row>
    <row r="7" spans="1:11" x14ac:dyDescent="0.25">
      <c r="A7" s="76" t="s">
        <v>486</v>
      </c>
      <c r="B7" s="162" t="s">
        <v>81</v>
      </c>
      <c r="C7" s="162"/>
      <c r="D7" s="162"/>
      <c r="E7" s="162"/>
      <c r="F7" s="162"/>
      <c r="G7" s="162"/>
      <c r="H7" s="162"/>
      <c r="I7" s="162"/>
      <c r="J7" s="162"/>
      <c r="K7" s="162"/>
    </row>
    <row r="8" spans="1:11" x14ac:dyDescent="0.25">
      <c r="A8" s="76" t="s">
        <v>282</v>
      </c>
      <c r="B8" s="162">
        <v>2006</v>
      </c>
      <c r="C8" s="162"/>
      <c r="D8" s="162"/>
      <c r="E8" s="162"/>
      <c r="F8" s="162"/>
      <c r="G8" s="162"/>
      <c r="H8" s="162"/>
      <c r="I8" s="162"/>
      <c r="J8" s="162"/>
      <c r="K8" s="162"/>
    </row>
    <row r="9" spans="1:11" x14ac:dyDescent="0.25">
      <c r="A9" s="76" t="s">
        <v>283</v>
      </c>
      <c r="B9" s="162" t="s">
        <v>347</v>
      </c>
      <c r="C9" s="162"/>
      <c r="D9" s="162"/>
      <c r="E9" s="162"/>
      <c r="F9" s="162"/>
      <c r="G9" s="162"/>
      <c r="H9" s="162"/>
      <c r="I9" s="162"/>
      <c r="J9" s="162"/>
      <c r="K9" s="162"/>
    </row>
    <row r="10" spans="1:11" x14ac:dyDescent="0.25">
      <c r="A10" s="76" t="s">
        <v>6</v>
      </c>
      <c r="B10" s="162" t="s">
        <v>365</v>
      </c>
      <c r="C10" s="162"/>
      <c r="D10" s="162"/>
      <c r="E10" s="162"/>
      <c r="F10" s="162"/>
      <c r="G10" s="162"/>
      <c r="H10" s="162"/>
      <c r="I10" s="162"/>
      <c r="J10" s="162"/>
      <c r="K10" s="162"/>
    </row>
    <row r="11" spans="1:11" x14ac:dyDescent="0.25">
      <c r="A11" s="76" t="s">
        <v>284</v>
      </c>
      <c r="B11" s="162" t="s">
        <v>349</v>
      </c>
      <c r="C11" s="162"/>
      <c r="D11" s="162"/>
      <c r="E11" s="162"/>
      <c r="F11" s="162"/>
      <c r="G11" s="162"/>
      <c r="H11" s="162"/>
      <c r="I11" s="162"/>
      <c r="J11" s="162"/>
      <c r="K11" s="162"/>
    </row>
    <row r="12" spans="1:11" x14ac:dyDescent="0.25">
      <c r="A12" s="76" t="s">
        <v>285</v>
      </c>
      <c r="B12" s="162" t="s">
        <v>360</v>
      </c>
      <c r="C12" s="162"/>
      <c r="D12" s="162"/>
      <c r="E12" s="162"/>
      <c r="F12" s="162"/>
      <c r="G12" s="162"/>
      <c r="H12" s="162"/>
      <c r="I12" s="162"/>
      <c r="J12" s="162"/>
      <c r="K12" s="162"/>
    </row>
    <row r="13" spans="1:11" hidden="1" x14ac:dyDescent="0.25">
      <c r="A13" s="76" t="s">
        <v>493</v>
      </c>
      <c r="B13" s="162">
        <v>1</v>
      </c>
      <c r="C13" s="162"/>
      <c r="D13" s="162"/>
      <c r="E13" s="162"/>
      <c r="F13" s="162"/>
      <c r="G13" s="162"/>
      <c r="H13" s="162"/>
      <c r="I13" s="162"/>
      <c r="J13" s="162"/>
      <c r="K13" s="162"/>
    </row>
    <row r="14" spans="1:11" hidden="1" x14ac:dyDescent="0.25">
      <c r="A14" s="76" t="s">
        <v>287</v>
      </c>
      <c r="B14" s="162">
        <v>326</v>
      </c>
      <c r="C14" s="162"/>
      <c r="D14" s="162"/>
      <c r="E14" s="162"/>
      <c r="F14" s="162"/>
      <c r="G14" s="162"/>
      <c r="H14" s="162"/>
      <c r="I14" s="162"/>
      <c r="J14" s="162"/>
      <c r="K14" s="162"/>
    </row>
    <row r="15" spans="1:11" x14ac:dyDescent="0.25">
      <c r="A15" s="76" t="s">
        <v>496</v>
      </c>
      <c r="B15" s="162" t="s">
        <v>366</v>
      </c>
      <c r="C15" s="162"/>
      <c r="D15" s="162"/>
      <c r="E15" s="162"/>
      <c r="F15" s="162"/>
      <c r="G15" s="162"/>
      <c r="H15" s="162"/>
      <c r="I15" s="162"/>
      <c r="J15" s="162"/>
      <c r="K15" s="162"/>
    </row>
    <row r="16" spans="1:11" x14ac:dyDescent="0.25">
      <c r="A16" s="76" t="s">
        <v>288</v>
      </c>
      <c r="B16" s="162" t="s">
        <v>355</v>
      </c>
      <c r="C16" s="162"/>
      <c r="D16" s="162"/>
      <c r="E16" s="162"/>
      <c r="F16" s="162"/>
      <c r="G16" s="162"/>
      <c r="H16" s="162"/>
      <c r="I16" s="162"/>
      <c r="J16" s="162"/>
      <c r="K16" s="162"/>
    </row>
    <row r="17" spans="1:11" x14ac:dyDescent="0.25">
      <c r="A17" s="76" t="s">
        <v>568</v>
      </c>
      <c r="B17" s="162"/>
      <c r="C17" s="162"/>
      <c r="D17" s="162"/>
      <c r="E17" s="162"/>
      <c r="F17" s="162"/>
      <c r="G17" s="162"/>
      <c r="H17" s="162"/>
      <c r="I17" s="162"/>
      <c r="J17" s="162"/>
      <c r="K17" s="162"/>
    </row>
    <row r="18" spans="1:11" x14ac:dyDescent="0.25">
      <c r="A18" s="76" t="s">
        <v>500</v>
      </c>
      <c r="B18" s="164">
        <v>45070</v>
      </c>
      <c r="C18" s="162"/>
      <c r="D18" s="162"/>
      <c r="E18" s="162"/>
      <c r="F18" s="162"/>
      <c r="G18" s="162"/>
      <c r="H18" s="162"/>
      <c r="I18" s="162"/>
      <c r="J18" s="162"/>
      <c r="K18" s="162"/>
    </row>
    <row r="19" spans="1:11" x14ac:dyDescent="0.25">
      <c r="A19" s="76" t="s">
        <v>290</v>
      </c>
      <c r="B19" s="164">
        <v>45014</v>
      </c>
      <c r="C19" s="162"/>
      <c r="D19" s="162"/>
      <c r="E19" s="162"/>
      <c r="F19" s="162"/>
      <c r="G19" s="162"/>
      <c r="H19" s="162"/>
      <c r="I19" s="162"/>
      <c r="J19" s="162"/>
      <c r="K19" s="162"/>
    </row>
    <row r="20" spans="1:11" x14ac:dyDescent="0.25">
      <c r="A20" s="76" t="s">
        <v>291</v>
      </c>
      <c r="B20" s="162" t="s">
        <v>298</v>
      </c>
      <c r="C20" s="162"/>
      <c r="D20" s="162"/>
      <c r="E20" s="162"/>
      <c r="F20" s="162"/>
      <c r="G20" s="162"/>
      <c r="H20" s="162"/>
      <c r="I20" s="162"/>
      <c r="J20" s="162"/>
      <c r="K20" s="162"/>
    </row>
    <row r="21" spans="1:11" x14ac:dyDescent="0.25">
      <c r="A21" s="150" t="s">
        <v>569</v>
      </c>
      <c r="B21" s="162" t="s">
        <v>297</v>
      </c>
      <c r="C21" s="162"/>
      <c r="D21" s="162"/>
      <c r="E21" s="162"/>
      <c r="F21" s="162"/>
      <c r="G21" s="162"/>
      <c r="H21" s="162"/>
      <c r="I21" s="162"/>
      <c r="J21" s="162"/>
      <c r="K21" s="162"/>
    </row>
    <row r="23" spans="1:11" x14ac:dyDescent="0.25">
      <c r="B23" s="91" t="str">
        <f>HYPERLINK("#'Factor List'!A1","Back to Factor List")</f>
        <v>Back to Factor List</v>
      </c>
    </row>
    <row r="24" spans="1:11" x14ac:dyDescent="0.25">
      <c r="B24" s="91" t="str">
        <f>HYPERLINK("#'Assumptions'!A1","Assumptions")</f>
        <v>Assumptions</v>
      </c>
    </row>
    <row r="26" spans="1:11" x14ac:dyDescent="0.25">
      <c r="A26" s="87" t="s">
        <v>611</v>
      </c>
      <c r="B26" s="87">
        <v>65</v>
      </c>
      <c r="C26" s="87">
        <v>66</v>
      </c>
      <c r="D26" s="87">
        <v>67</v>
      </c>
      <c r="E26" s="87">
        <v>68</v>
      </c>
      <c r="F26" s="87">
        <v>69</v>
      </c>
      <c r="G26" s="87">
        <v>70</v>
      </c>
      <c r="H26" s="87">
        <v>71</v>
      </c>
      <c r="I26" s="87">
        <v>72</v>
      </c>
      <c r="J26" s="87">
        <v>73</v>
      </c>
      <c r="K26" s="87">
        <v>74</v>
      </c>
    </row>
    <row r="27" spans="1:11" x14ac:dyDescent="0.25">
      <c r="A27" s="88">
        <v>0</v>
      </c>
      <c r="B27" s="90">
        <v>1</v>
      </c>
      <c r="C27" s="90">
        <v>1.0620000000000001</v>
      </c>
      <c r="D27" s="90">
        <v>1.131</v>
      </c>
      <c r="E27" s="90">
        <v>1.206</v>
      </c>
      <c r="F27" s="90">
        <v>1.29</v>
      </c>
      <c r="G27" s="90">
        <v>1.383</v>
      </c>
      <c r="H27" s="90">
        <v>1.4850000000000001</v>
      </c>
      <c r="I27" s="90">
        <v>1.6</v>
      </c>
      <c r="J27" s="90">
        <v>1.728</v>
      </c>
      <c r="K27" s="90">
        <v>1.87</v>
      </c>
    </row>
    <row r="28" spans="1:11" x14ac:dyDescent="0.25">
      <c r="A28" s="88">
        <v>1</v>
      </c>
      <c r="B28" s="90">
        <v>1.0049999999999999</v>
      </c>
      <c r="C28" s="90">
        <v>1.0680000000000001</v>
      </c>
      <c r="D28" s="90">
        <v>1.137</v>
      </c>
      <c r="E28" s="90">
        <v>1.2130000000000001</v>
      </c>
      <c r="F28" s="90">
        <v>1.298</v>
      </c>
      <c r="G28" s="90">
        <v>1.391</v>
      </c>
      <c r="H28" s="90">
        <v>1.4950000000000001</v>
      </c>
      <c r="I28" s="90">
        <v>1.61</v>
      </c>
      <c r="J28" s="90">
        <v>1.7390000000000001</v>
      </c>
      <c r="K28" s="90">
        <v>1.8839999999999999</v>
      </c>
    </row>
    <row r="29" spans="1:11" x14ac:dyDescent="0.25">
      <c r="A29" s="88">
        <v>2</v>
      </c>
      <c r="B29" s="90">
        <v>1.01</v>
      </c>
      <c r="C29" s="90">
        <v>1.0740000000000001</v>
      </c>
      <c r="D29" s="90">
        <v>1.143</v>
      </c>
      <c r="E29" s="90">
        <v>1.22</v>
      </c>
      <c r="F29" s="90">
        <v>1.306</v>
      </c>
      <c r="G29" s="90">
        <v>1.4</v>
      </c>
      <c r="H29" s="90">
        <v>1.5049999999999999</v>
      </c>
      <c r="I29" s="90">
        <v>1.621</v>
      </c>
      <c r="J29" s="90">
        <v>1.7509999999999999</v>
      </c>
      <c r="K29" s="90">
        <v>1.897</v>
      </c>
    </row>
    <row r="30" spans="1:11" x14ac:dyDescent="0.25">
      <c r="A30" s="88">
        <v>3</v>
      </c>
      <c r="B30" s="90">
        <v>1.016</v>
      </c>
      <c r="C30" s="90">
        <v>1.079</v>
      </c>
      <c r="D30" s="90">
        <v>1.1499999999999999</v>
      </c>
      <c r="E30" s="90">
        <v>1.2270000000000001</v>
      </c>
      <c r="F30" s="90">
        <v>1.3129999999999999</v>
      </c>
      <c r="G30" s="90">
        <v>1.4079999999999999</v>
      </c>
      <c r="H30" s="90">
        <v>1.514</v>
      </c>
      <c r="I30" s="90">
        <v>1.6319999999999999</v>
      </c>
      <c r="J30" s="90">
        <v>1.7629999999999999</v>
      </c>
      <c r="K30" s="90">
        <v>1.911</v>
      </c>
    </row>
    <row r="31" spans="1:11" x14ac:dyDescent="0.25">
      <c r="A31" s="88">
        <v>4</v>
      </c>
      <c r="B31" s="90">
        <v>1.0209999999999999</v>
      </c>
      <c r="C31" s="90">
        <v>1.085</v>
      </c>
      <c r="D31" s="90">
        <v>1.1559999999999999</v>
      </c>
      <c r="E31" s="90">
        <v>1.234</v>
      </c>
      <c r="F31" s="90">
        <v>1.321</v>
      </c>
      <c r="G31" s="90">
        <v>1.417</v>
      </c>
      <c r="H31" s="90">
        <v>1.524</v>
      </c>
      <c r="I31" s="90">
        <v>1.6419999999999999</v>
      </c>
      <c r="J31" s="90">
        <v>1.7749999999999999</v>
      </c>
      <c r="K31" s="90">
        <v>1.9239999999999999</v>
      </c>
    </row>
    <row r="32" spans="1:11" x14ac:dyDescent="0.25">
      <c r="A32" s="88">
        <v>5</v>
      </c>
      <c r="B32" s="90">
        <v>1.026</v>
      </c>
      <c r="C32" s="90">
        <v>1.091</v>
      </c>
      <c r="D32" s="90">
        <v>1.1619999999999999</v>
      </c>
      <c r="E32" s="90">
        <v>1.2410000000000001</v>
      </c>
      <c r="F32" s="90">
        <v>1.329</v>
      </c>
      <c r="G32" s="90">
        <v>1.4259999999999999</v>
      </c>
      <c r="H32" s="90">
        <v>1.5329999999999999</v>
      </c>
      <c r="I32" s="90">
        <v>1.653</v>
      </c>
      <c r="J32" s="90">
        <v>1.7869999999999999</v>
      </c>
      <c r="K32" s="90">
        <v>1.9370000000000001</v>
      </c>
    </row>
    <row r="33" spans="1:11" x14ac:dyDescent="0.25">
      <c r="A33" s="88">
        <v>6</v>
      </c>
      <c r="B33" s="90">
        <v>1.0309999999999999</v>
      </c>
      <c r="C33" s="90">
        <v>1.0960000000000001</v>
      </c>
      <c r="D33" s="90">
        <v>1.169</v>
      </c>
      <c r="E33" s="90">
        <v>1.248</v>
      </c>
      <c r="F33" s="90">
        <v>1.3360000000000001</v>
      </c>
      <c r="G33" s="90">
        <v>1.4339999999999999</v>
      </c>
      <c r="H33" s="90">
        <v>1.5429999999999999</v>
      </c>
      <c r="I33" s="90">
        <v>1.6639999999999999</v>
      </c>
      <c r="J33" s="90">
        <v>1.7989999999999999</v>
      </c>
      <c r="K33" s="90">
        <v>1.9510000000000001</v>
      </c>
    </row>
    <row r="34" spans="1:11" x14ac:dyDescent="0.25">
      <c r="A34" s="88">
        <v>7</v>
      </c>
      <c r="B34" s="90">
        <v>1.036</v>
      </c>
      <c r="C34" s="90">
        <v>1.1020000000000001</v>
      </c>
      <c r="D34" s="90">
        <v>1.175</v>
      </c>
      <c r="E34" s="90">
        <v>1.2549999999999999</v>
      </c>
      <c r="F34" s="90">
        <v>1.3440000000000001</v>
      </c>
      <c r="G34" s="90">
        <v>1.4430000000000001</v>
      </c>
      <c r="H34" s="90">
        <v>1.552</v>
      </c>
      <c r="I34" s="90">
        <v>1.6739999999999999</v>
      </c>
      <c r="J34" s="90">
        <v>1.8109999999999999</v>
      </c>
      <c r="K34" s="90">
        <v>1.964</v>
      </c>
    </row>
    <row r="35" spans="1:11" x14ac:dyDescent="0.25">
      <c r="A35" s="88">
        <v>8</v>
      </c>
      <c r="B35" s="90">
        <v>1.0409999999999999</v>
      </c>
      <c r="C35" s="90">
        <v>1.1080000000000001</v>
      </c>
      <c r="D35" s="90">
        <v>1.181</v>
      </c>
      <c r="E35" s="90">
        <v>1.262</v>
      </c>
      <c r="F35" s="90">
        <v>1.3520000000000001</v>
      </c>
      <c r="G35" s="90">
        <v>1.4510000000000001</v>
      </c>
      <c r="H35" s="90">
        <v>1.5620000000000001</v>
      </c>
      <c r="I35" s="90">
        <v>1.6850000000000001</v>
      </c>
      <c r="J35" s="90">
        <v>1.823</v>
      </c>
      <c r="K35" s="90">
        <v>1.978</v>
      </c>
    </row>
    <row r="36" spans="1:11" x14ac:dyDescent="0.25">
      <c r="A36" s="88">
        <v>9</v>
      </c>
      <c r="B36" s="90">
        <v>1.0469999999999999</v>
      </c>
      <c r="C36" s="90">
        <v>1.1140000000000001</v>
      </c>
      <c r="D36" s="90">
        <v>1.1870000000000001</v>
      </c>
      <c r="E36" s="90">
        <v>1.2689999999999999</v>
      </c>
      <c r="F36" s="90">
        <v>1.36</v>
      </c>
      <c r="G36" s="90">
        <v>1.46</v>
      </c>
      <c r="H36" s="90">
        <v>1.571</v>
      </c>
      <c r="I36" s="90">
        <v>1.696</v>
      </c>
      <c r="J36" s="90">
        <v>1.835</v>
      </c>
      <c r="K36" s="90">
        <v>1.9910000000000001</v>
      </c>
    </row>
    <row r="37" spans="1:11" x14ac:dyDescent="0.25">
      <c r="A37" s="88">
        <v>10</v>
      </c>
      <c r="B37" s="90">
        <v>1.052</v>
      </c>
      <c r="C37" s="90">
        <v>1.119</v>
      </c>
      <c r="D37" s="90">
        <v>1.194</v>
      </c>
      <c r="E37" s="90">
        <v>1.276</v>
      </c>
      <c r="F37" s="90">
        <v>1.367</v>
      </c>
      <c r="G37" s="90">
        <v>1.468</v>
      </c>
      <c r="H37" s="90">
        <v>1.581</v>
      </c>
      <c r="I37" s="90">
        <v>1.706</v>
      </c>
      <c r="J37" s="90">
        <v>1.847</v>
      </c>
      <c r="K37" s="90">
        <v>2.004</v>
      </c>
    </row>
    <row r="38" spans="1:11" x14ac:dyDescent="0.25">
      <c r="A38" s="88">
        <v>11</v>
      </c>
      <c r="B38" s="90">
        <v>1.0569999999999999</v>
      </c>
      <c r="C38" s="90">
        <v>1.125</v>
      </c>
      <c r="D38" s="90">
        <v>1.2</v>
      </c>
      <c r="E38" s="90">
        <v>1.2829999999999999</v>
      </c>
      <c r="F38" s="90">
        <v>1.375</v>
      </c>
      <c r="G38" s="90">
        <v>1.4770000000000001</v>
      </c>
      <c r="H38" s="90">
        <v>1.59</v>
      </c>
      <c r="I38" s="90">
        <v>1.7170000000000001</v>
      </c>
      <c r="J38" s="90">
        <v>1.859</v>
      </c>
      <c r="K38" s="90">
        <v>2.0179999999999998</v>
      </c>
    </row>
    <row r="39" spans="1:11" x14ac:dyDescent="0.25">
      <c r="A39"/>
      <c r="B39"/>
    </row>
    <row r="40" spans="1:11" x14ac:dyDescent="0.25">
      <c r="A40"/>
      <c r="B40"/>
    </row>
    <row r="41" spans="1:11" x14ac:dyDescent="0.25">
      <c r="A41"/>
      <c r="B41"/>
    </row>
    <row r="42" spans="1:11" x14ac:dyDescent="0.25">
      <c r="A42"/>
      <c r="B42"/>
    </row>
    <row r="43" spans="1:11" x14ac:dyDescent="0.25">
      <c r="A43"/>
      <c r="B43"/>
    </row>
    <row r="44" spans="1:11" ht="39.6" customHeight="1" x14ac:dyDescent="0.25">
      <c r="A44"/>
      <c r="B44"/>
    </row>
    <row r="45" spans="1:11" x14ac:dyDescent="0.25">
      <c r="A45"/>
      <c r="B45"/>
    </row>
    <row r="46" spans="1:11" ht="27.6" customHeight="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U9/g9B0Ff5AB1ThPVtsWhXw9X/r2luEbKh6z291udgDfkRWUL/LkYurP1MMJJUlQJbANKPZgBfReDuv/eWnPYg==" saltValue="FOxY+rQYzw0qhSwzGWunJA==" spinCount="100000" sheet="1" objects="1" scenarios="1"/>
  <conditionalFormatting sqref="A6:A21">
    <cfRule type="expression" dxfId="397" priority="3" stopIfTrue="1">
      <formula>MOD(ROW(),2)=0</formula>
    </cfRule>
    <cfRule type="expression" dxfId="396" priority="4" stopIfTrue="1">
      <formula>MOD(ROW(),2)&lt;&gt;0</formula>
    </cfRule>
  </conditionalFormatting>
  <conditionalFormatting sqref="A26:A38">
    <cfRule type="expression" dxfId="395" priority="9" stopIfTrue="1">
      <formula>MOD(ROW(),2)=0</formula>
    </cfRule>
    <cfRule type="expression" dxfId="394" priority="10" stopIfTrue="1">
      <formula>MOD(ROW(),2)&lt;&gt;0</formula>
    </cfRule>
  </conditionalFormatting>
  <conditionalFormatting sqref="B17:C21">
    <cfRule type="expression" dxfId="393" priority="7" stopIfTrue="1">
      <formula>MOD(ROW(),2)=0</formula>
    </cfRule>
    <cfRule type="expression" dxfId="392" priority="8" stopIfTrue="1">
      <formula>MOD(ROW(),2)&lt;&gt;0</formula>
    </cfRule>
  </conditionalFormatting>
  <conditionalFormatting sqref="B6:K21 B26:K38">
    <cfRule type="expression" dxfId="391" priority="25" stopIfTrue="1">
      <formula>MOD(ROW(),2)=0</formula>
    </cfRule>
    <cfRule type="expression" dxfId="390" priority="2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14"/>
  <dimension ref="A1:K65"/>
  <sheetViews>
    <sheetView showGridLines="0" zoomScale="85" zoomScaleNormal="85" workbookViewId="0">
      <selection activeCell="A4" sqref="A4"/>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39" t="s">
        <v>0</v>
      </c>
      <c r="B1" s="40"/>
      <c r="C1" s="40"/>
      <c r="D1" s="40"/>
      <c r="E1" s="40"/>
      <c r="F1" s="40"/>
      <c r="G1" s="40"/>
      <c r="H1" s="40"/>
      <c r="I1" s="40"/>
    </row>
    <row r="2" spans="1:11" ht="15.6" x14ac:dyDescent="0.3">
      <c r="A2" s="41" t="str">
        <f>IF(title="&gt; Enter workbook title here","Enter workbook title in Cover sheet",title)</f>
        <v>Fire_S - Consolidated Factor Spreadsheet</v>
      </c>
      <c r="B2" s="42"/>
      <c r="C2" s="42"/>
      <c r="D2" s="42"/>
      <c r="E2" s="42"/>
      <c r="F2" s="42"/>
      <c r="G2" s="42"/>
      <c r="H2" s="42"/>
      <c r="I2" s="42"/>
    </row>
    <row r="3" spans="1:11" ht="15.6" x14ac:dyDescent="0.3">
      <c r="A3" s="43" t="str">
        <f>TABLE_FACTOR_TYPE_1&amp;" - x-"&amp;TABLE_SERIES_NUMBER_1</f>
        <v>Pension Debit - x-327</v>
      </c>
      <c r="B3" s="42"/>
      <c r="C3" s="42"/>
      <c r="D3" s="42"/>
      <c r="E3" s="42"/>
      <c r="F3" s="42"/>
      <c r="G3" s="42"/>
      <c r="H3" s="42"/>
      <c r="I3" s="42"/>
    </row>
    <row r="4" spans="1:11" x14ac:dyDescent="0.25">
      <c r="A4" s="44"/>
    </row>
    <row r="6" spans="1:11" x14ac:dyDescent="0.25">
      <c r="A6" s="75" t="s">
        <v>484</v>
      </c>
      <c r="B6" s="162" t="s">
        <v>485</v>
      </c>
      <c r="C6" s="162"/>
      <c r="D6" s="162"/>
      <c r="E6" s="162"/>
      <c r="F6" s="162"/>
      <c r="G6" s="162"/>
      <c r="H6" s="162"/>
      <c r="I6" s="162"/>
      <c r="J6" s="162"/>
      <c r="K6" s="162"/>
    </row>
    <row r="7" spans="1:11" x14ac:dyDescent="0.25">
      <c r="A7" s="76" t="s">
        <v>486</v>
      </c>
      <c r="B7" s="162" t="s">
        <v>81</v>
      </c>
      <c r="C7" s="162"/>
      <c r="D7" s="162"/>
      <c r="E7" s="162"/>
      <c r="F7" s="162"/>
      <c r="G7" s="162"/>
      <c r="H7" s="162"/>
      <c r="I7" s="162"/>
      <c r="J7" s="162"/>
      <c r="K7" s="162"/>
    </row>
    <row r="8" spans="1:11" x14ac:dyDescent="0.25">
      <c r="A8" s="76" t="s">
        <v>282</v>
      </c>
      <c r="B8" s="162">
        <v>2006</v>
      </c>
      <c r="C8" s="162"/>
      <c r="D8" s="162"/>
      <c r="E8" s="162"/>
      <c r="F8" s="162"/>
      <c r="G8" s="162"/>
      <c r="H8" s="162"/>
      <c r="I8" s="162"/>
      <c r="J8" s="162"/>
      <c r="K8" s="162"/>
    </row>
    <row r="9" spans="1:11" x14ac:dyDescent="0.25">
      <c r="A9" s="76" t="s">
        <v>283</v>
      </c>
      <c r="B9" s="162" t="s">
        <v>347</v>
      </c>
      <c r="C9" s="162"/>
      <c r="D9" s="162"/>
      <c r="E9" s="162"/>
      <c r="F9" s="162"/>
      <c r="G9" s="162"/>
      <c r="H9" s="162"/>
      <c r="I9" s="162"/>
      <c r="J9" s="162"/>
      <c r="K9" s="162"/>
    </row>
    <row r="10" spans="1:11" x14ac:dyDescent="0.25">
      <c r="A10" s="76" t="s">
        <v>6</v>
      </c>
      <c r="B10" s="162" t="s">
        <v>367</v>
      </c>
      <c r="C10" s="162"/>
      <c r="D10" s="162"/>
      <c r="E10" s="162"/>
      <c r="F10" s="162"/>
      <c r="G10" s="162"/>
      <c r="H10" s="162"/>
      <c r="I10" s="162"/>
      <c r="J10" s="162"/>
      <c r="K10" s="162"/>
    </row>
    <row r="11" spans="1:11" x14ac:dyDescent="0.25">
      <c r="A11" s="76" t="s">
        <v>284</v>
      </c>
      <c r="B11" s="162" t="s">
        <v>349</v>
      </c>
      <c r="C11" s="162"/>
      <c r="D11" s="162"/>
      <c r="E11" s="162"/>
      <c r="F11" s="162"/>
      <c r="G11" s="162"/>
      <c r="H11" s="162"/>
      <c r="I11" s="162"/>
      <c r="J11" s="162"/>
      <c r="K11" s="162"/>
    </row>
    <row r="12" spans="1:11" x14ac:dyDescent="0.25">
      <c r="A12" s="76" t="s">
        <v>285</v>
      </c>
      <c r="B12" s="162" t="s">
        <v>360</v>
      </c>
      <c r="C12" s="162"/>
      <c r="D12" s="162"/>
      <c r="E12" s="162"/>
      <c r="F12" s="162"/>
      <c r="G12" s="162"/>
      <c r="H12" s="162"/>
      <c r="I12" s="162"/>
      <c r="J12" s="162"/>
      <c r="K12" s="162"/>
    </row>
    <row r="13" spans="1:11" hidden="1" x14ac:dyDescent="0.25">
      <c r="A13" s="76" t="s">
        <v>493</v>
      </c>
      <c r="B13" s="162">
        <v>1</v>
      </c>
      <c r="C13" s="162"/>
      <c r="D13" s="162"/>
      <c r="E13" s="162"/>
      <c r="F13" s="162"/>
      <c r="G13" s="162"/>
      <c r="H13" s="162"/>
      <c r="I13" s="162"/>
      <c r="J13" s="162"/>
      <c r="K13" s="162"/>
    </row>
    <row r="14" spans="1:11" hidden="1" x14ac:dyDescent="0.25">
      <c r="A14" s="76" t="s">
        <v>287</v>
      </c>
      <c r="B14" s="162">
        <v>327</v>
      </c>
      <c r="C14" s="162"/>
      <c r="D14" s="162"/>
      <c r="E14" s="162"/>
      <c r="F14" s="162"/>
      <c r="G14" s="162"/>
      <c r="H14" s="162"/>
      <c r="I14" s="162"/>
      <c r="J14" s="162"/>
      <c r="K14" s="162"/>
    </row>
    <row r="15" spans="1:11" x14ac:dyDescent="0.25">
      <c r="A15" s="76" t="s">
        <v>496</v>
      </c>
      <c r="B15" s="162" t="s">
        <v>368</v>
      </c>
      <c r="C15" s="162"/>
      <c r="D15" s="162"/>
      <c r="E15" s="162"/>
      <c r="F15" s="162"/>
      <c r="G15" s="162"/>
      <c r="H15" s="162"/>
      <c r="I15" s="162"/>
      <c r="J15" s="162"/>
      <c r="K15" s="162"/>
    </row>
    <row r="16" spans="1:11" x14ac:dyDescent="0.25">
      <c r="A16" s="76" t="s">
        <v>288</v>
      </c>
      <c r="B16" s="162" t="s">
        <v>369</v>
      </c>
      <c r="C16" s="162"/>
      <c r="D16" s="162"/>
      <c r="E16" s="162"/>
      <c r="F16" s="162"/>
      <c r="G16" s="162"/>
      <c r="H16" s="162"/>
      <c r="I16" s="162"/>
      <c r="J16" s="162"/>
      <c r="K16" s="162"/>
    </row>
    <row r="17" spans="1:11" x14ac:dyDescent="0.25">
      <c r="A17" s="76" t="s">
        <v>568</v>
      </c>
      <c r="B17" s="162"/>
      <c r="C17" s="162"/>
      <c r="D17" s="162"/>
      <c r="E17" s="162"/>
      <c r="F17" s="162"/>
      <c r="G17" s="162"/>
      <c r="H17" s="162"/>
      <c r="I17" s="162"/>
      <c r="J17" s="162"/>
      <c r="K17" s="162"/>
    </row>
    <row r="18" spans="1:11" x14ac:dyDescent="0.25">
      <c r="A18" s="76" t="s">
        <v>500</v>
      </c>
      <c r="B18" s="164">
        <v>45070</v>
      </c>
      <c r="C18" s="162"/>
      <c r="D18" s="162"/>
      <c r="E18" s="162"/>
      <c r="F18" s="162"/>
      <c r="G18" s="162"/>
      <c r="H18" s="162"/>
      <c r="I18" s="162"/>
      <c r="J18" s="162"/>
      <c r="K18" s="162"/>
    </row>
    <row r="19" spans="1:11" x14ac:dyDescent="0.25">
      <c r="A19" s="76" t="s">
        <v>290</v>
      </c>
      <c r="B19" s="164">
        <v>45014</v>
      </c>
      <c r="C19" s="162"/>
      <c r="D19" s="162"/>
      <c r="E19" s="162"/>
      <c r="F19" s="162"/>
      <c r="G19" s="162"/>
      <c r="H19" s="162"/>
      <c r="I19" s="162"/>
      <c r="J19" s="162"/>
      <c r="K19" s="162"/>
    </row>
    <row r="20" spans="1:11" x14ac:dyDescent="0.25">
      <c r="A20" s="76" t="s">
        <v>291</v>
      </c>
      <c r="B20" s="162" t="s">
        <v>298</v>
      </c>
      <c r="C20" s="162"/>
      <c r="D20" s="162"/>
      <c r="E20" s="162"/>
      <c r="F20" s="162"/>
      <c r="G20" s="162"/>
      <c r="H20" s="162"/>
      <c r="I20" s="162"/>
      <c r="J20" s="162"/>
      <c r="K20" s="162"/>
    </row>
    <row r="21" spans="1:11" x14ac:dyDescent="0.25">
      <c r="A21" s="150" t="s">
        <v>569</v>
      </c>
      <c r="B21" s="162" t="s">
        <v>297</v>
      </c>
      <c r="C21" s="162"/>
      <c r="D21" s="162"/>
      <c r="E21" s="162"/>
      <c r="F21" s="162"/>
      <c r="G21" s="162"/>
      <c r="H21" s="162"/>
      <c r="I21" s="162"/>
      <c r="J21" s="162"/>
      <c r="K21" s="162"/>
    </row>
    <row r="23" spans="1:11" x14ac:dyDescent="0.25">
      <c r="B23" s="91" t="str">
        <f>HYPERLINK("#'Factor List'!A1","Back to Factor List")</f>
        <v>Back to Factor List</v>
      </c>
    </row>
    <row r="24" spans="1:11" x14ac:dyDescent="0.25">
      <c r="B24" s="91" t="str">
        <f>HYPERLINK("#'Assumptions'!A1","Assumptions")</f>
        <v>Assumptions</v>
      </c>
    </row>
    <row r="26" spans="1:11" x14ac:dyDescent="0.25">
      <c r="A26" s="87" t="s">
        <v>611</v>
      </c>
      <c r="B26" s="87">
        <v>60</v>
      </c>
      <c r="C26" s="87">
        <v>61</v>
      </c>
      <c r="D26" s="87">
        <v>62</v>
      </c>
      <c r="E26" s="87">
        <v>63</v>
      </c>
      <c r="F26" s="87">
        <v>64</v>
      </c>
      <c r="G26" s="87">
        <v>65</v>
      </c>
      <c r="H26" s="87">
        <v>66</v>
      </c>
      <c r="I26" s="87">
        <v>67</v>
      </c>
      <c r="J26" s="87">
        <v>68</v>
      </c>
      <c r="K26" s="87">
        <v>69</v>
      </c>
    </row>
    <row r="27" spans="1:11" x14ac:dyDescent="0.25">
      <c r="A27" s="88">
        <v>0</v>
      </c>
      <c r="B27" s="90">
        <v>1</v>
      </c>
      <c r="C27" s="90">
        <v>1.052</v>
      </c>
      <c r="D27" s="90">
        <v>1.109</v>
      </c>
      <c r="E27" s="90">
        <v>1.171</v>
      </c>
      <c r="F27" s="90">
        <v>1.238</v>
      </c>
      <c r="G27" s="90">
        <v>1.3109999999999999</v>
      </c>
      <c r="H27" s="90">
        <v>1.391</v>
      </c>
      <c r="I27" s="90">
        <v>1.4790000000000001</v>
      </c>
      <c r="J27" s="90">
        <v>1.575</v>
      </c>
      <c r="K27" s="90">
        <v>1.6819999999999999</v>
      </c>
    </row>
    <row r="28" spans="1:11" x14ac:dyDescent="0.25">
      <c r="A28" s="88">
        <v>1</v>
      </c>
      <c r="B28" s="90">
        <v>1.004</v>
      </c>
      <c r="C28" s="90">
        <v>1.0569999999999999</v>
      </c>
      <c r="D28" s="90">
        <v>1.1140000000000001</v>
      </c>
      <c r="E28" s="90">
        <v>1.1759999999999999</v>
      </c>
      <c r="F28" s="90">
        <v>1.244</v>
      </c>
      <c r="G28" s="90">
        <v>1.3180000000000001</v>
      </c>
      <c r="H28" s="90">
        <v>1.399</v>
      </c>
      <c r="I28" s="90">
        <v>1.4870000000000001</v>
      </c>
      <c r="J28" s="90">
        <v>1.5840000000000001</v>
      </c>
      <c r="K28" s="90">
        <v>1.6919999999999999</v>
      </c>
    </row>
    <row r="29" spans="1:11" x14ac:dyDescent="0.25">
      <c r="A29" s="88">
        <v>2</v>
      </c>
      <c r="B29" s="90">
        <v>1.0089999999999999</v>
      </c>
      <c r="C29" s="90">
        <v>1.0620000000000001</v>
      </c>
      <c r="D29" s="90">
        <v>1.119</v>
      </c>
      <c r="E29" s="90">
        <v>1.1819999999999999</v>
      </c>
      <c r="F29" s="90">
        <v>1.25</v>
      </c>
      <c r="G29" s="90">
        <v>1.3240000000000001</v>
      </c>
      <c r="H29" s="90">
        <v>1.4059999999999999</v>
      </c>
      <c r="I29" s="90">
        <v>1.4950000000000001</v>
      </c>
      <c r="J29" s="90">
        <v>1.593</v>
      </c>
      <c r="K29" s="90">
        <v>1.7010000000000001</v>
      </c>
    </row>
    <row r="30" spans="1:11" x14ac:dyDescent="0.25">
      <c r="A30" s="88">
        <v>3</v>
      </c>
      <c r="B30" s="90">
        <v>1.0129999999999999</v>
      </c>
      <c r="C30" s="90">
        <v>1.0660000000000001</v>
      </c>
      <c r="D30" s="90">
        <v>1.1240000000000001</v>
      </c>
      <c r="E30" s="90">
        <v>1.1870000000000001</v>
      </c>
      <c r="F30" s="90">
        <v>1.256</v>
      </c>
      <c r="G30" s="90">
        <v>1.331</v>
      </c>
      <c r="H30" s="90">
        <v>1.413</v>
      </c>
      <c r="I30" s="90">
        <v>1.5029999999999999</v>
      </c>
      <c r="J30" s="90">
        <v>1.6020000000000001</v>
      </c>
      <c r="K30" s="90">
        <v>1.7110000000000001</v>
      </c>
    </row>
    <row r="31" spans="1:11" x14ac:dyDescent="0.25">
      <c r="A31" s="88">
        <v>4</v>
      </c>
      <c r="B31" s="90">
        <v>1.0169999999999999</v>
      </c>
      <c r="C31" s="90">
        <v>1.071</v>
      </c>
      <c r="D31" s="90">
        <v>1.129</v>
      </c>
      <c r="E31" s="90">
        <v>1.1930000000000001</v>
      </c>
      <c r="F31" s="90">
        <v>1.262</v>
      </c>
      <c r="G31" s="90">
        <v>1.3380000000000001</v>
      </c>
      <c r="H31" s="90">
        <v>1.42</v>
      </c>
      <c r="I31" s="90">
        <v>1.5109999999999999</v>
      </c>
      <c r="J31" s="90">
        <v>1.611</v>
      </c>
      <c r="K31" s="90">
        <v>1.7210000000000001</v>
      </c>
    </row>
    <row r="32" spans="1:11" x14ac:dyDescent="0.25">
      <c r="A32" s="88">
        <v>5</v>
      </c>
      <c r="B32" s="90">
        <v>1.022</v>
      </c>
      <c r="C32" s="90">
        <v>1.0760000000000001</v>
      </c>
      <c r="D32" s="90">
        <v>1.135</v>
      </c>
      <c r="E32" s="90">
        <v>1.1990000000000001</v>
      </c>
      <c r="F32" s="90">
        <v>1.268</v>
      </c>
      <c r="G32" s="90">
        <v>1.3440000000000001</v>
      </c>
      <c r="H32" s="90">
        <v>1.4279999999999999</v>
      </c>
      <c r="I32" s="90">
        <v>1.5189999999999999</v>
      </c>
      <c r="J32" s="90">
        <v>1.62</v>
      </c>
      <c r="K32" s="90">
        <v>1.7310000000000001</v>
      </c>
    </row>
    <row r="33" spans="1:11" x14ac:dyDescent="0.25">
      <c r="A33" s="88">
        <v>6</v>
      </c>
      <c r="B33" s="90">
        <v>1.026</v>
      </c>
      <c r="C33" s="90">
        <v>1.081</v>
      </c>
      <c r="D33" s="90">
        <v>1.1399999999999999</v>
      </c>
      <c r="E33" s="90">
        <v>1.204</v>
      </c>
      <c r="F33" s="90">
        <v>1.274</v>
      </c>
      <c r="G33" s="90">
        <v>1.351</v>
      </c>
      <c r="H33" s="90">
        <v>1.4350000000000001</v>
      </c>
      <c r="I33" s="90">
        <v>1.5269999999999999</v>
      </c>
      <c r="J33" s="90">
        <v>1.629</v>
      </c>
      <c r="K33" s="90">
        <v>1.74</v>
      </c>
    </row>
    <row r="34" spans="1:11" x14ac:dyDescent="0.25">
      <c r="A34" s="88">
        <v>7</v>
      </c>
      <c r="B34" s="90">
        <v>1.03</v>
      </c>
      <c r="C34" s="90">
        <v>1.085</v>
      </c>
      <c r="D34" s="90">
        <v>1.145</v>
      </c>
      <c r="E34" s="90">
        <v>1.21</v>
      </c>
      <c r="F34" s="90">
        <v>1.2809999999999999</v>
      </c>
      <c r="G34" s="90">
        <v>1.3580000000000001</v>
      </c>
      <c r="H34" s="90">
        <v>1.4419999999999999</v>
      </c>
      <c r="I34" s="90">
        <v>1.5349999999999999</v>
      </c>
      <c r="J34" s="90">
        <v>1.637</v>
      </c>
      <c r="K34" s="90">
        <v>1.75</v>
      </c>
    </row>
    <row r="35" spans="1:11" x14ac:dyDescent="0.25">
      <c r="A35" s="88">
        <v>8</v>
      </c>
      <c r="B35" s="90">
        <v>1.0349999999999999</v>
      </c>
      <c r="C35" s="90">
        <v>1.0900000000000001</v>
      </c>
      <c r="D35" s="90">
        <v>1.1499999999999999</v>
      </c>
      <c r="E35" s="90">
        <v>1.2150000000000001</v>
      </c>
      <c r="F35" s="90">
        <v>1.2869999999999999</v>
      </c>
      <c r="G35" s="90">
        <v>1.365</v>
      </c>
      <c r="H35" s="90">
        <v>1.45</v>
      </c>
      <c r="I35" s="90">
        <v>1.5429999999999999</v>
      </c>
      <c r="J35" s="90">
        <v>1.6459999999999999</v>
      </c>
      <c r="K35" s="90">
        <v>1.76</v>
      </c>
    </row>
    <row r="36" spans="1:11" x14ac:dyDescent="0.25">
      <c r="A36" s="88">
        <v>9</v>
      </c>
      <c r="B36" s="90">
        <v>1.0389999999999999</v>
      </c>
      <c r="C36" s="90">
        <v>1.095</v>
      </c>
      <c r="D36" s="90">
        <v>1.155</v>
      </c>
      <c r="E36" s="90">
        <v>1.2210000000000001</v>
      </c>
      <c r="F36" s="90">
        <v>1.2929999999999999</v>
      </c>
      <c r="G36" s="90">
        <v>1.371</v>
      </c>
      <c r="H36" s="90">
        <v>1.4570000000000001</v>
      </c>
      <c r="I36" s="90">
        <v>1.5509999999999999</v>
      </c>
      <c r="J36" s="90">
        <v>1.655</v>
      </c>
      <c r="K36" s="90">
        <v>1.77</v>
      </c>
    </row>
    <row r="37" spans="1:11" x14ac:dyDescent="0.25">
      <c r="A37" s="88">
        <v>10</v>
      </c>
      <c r="B37" s="90">
        <v>1.044</v>
      </c>
      <c r="C37" s="90">
        <v>1.099</v>
      </c>
      <c r="D37" s="90">
        <v>1.1599999999999999</v>
      </c>
      <c r="E37" s="90">
        <v>1.2270000000000001</v>
      </c>
      <c r="F37" s="90">
        <v>1.2989999999999999</v>
      </c>
      <c r="G37" s="90">
        <v>1.3779999999999999</v>
      </c>
      <c r="H37" s="90">
        <v>1.464</v>
      </c>
      <c r="I37" s="90">
        <v>1.5589999999999999</v>
      </c>
      <c r="J37" s="90">
        <v>1.6639999999999999</v>
      </c>
      <c r="K37" s="90">
        <v>1.78</v>
      </c>
    </row>
    <row r="38" spans="1:11" x14ac:dyDescent="0.25">
      <c r="A38" s="88">
        <v>11</v>
      </c>
      <c r="B38" s="90">
        <v>1.048</v>
      </c>
      <c r="C38" s="90">
        <v>1.1040000000000001</v>
      </c>
      <c r="D38" s="90">
        <v>1.165</v>
      </c>
      <c r="E38" s="90">
        <v>1.232</v>
      </c>
      <c r="F38" s="90">
        <v>1.3049999999999999</v>
      </c>
      <c r="G38" s="90">
        <v>1.385</v>
      </c>
      <c r="H38" s="90">
        <v>1.472</v>
      </c>
      <c r="I38" s="90">
        <v>1.5669999999999999</v>
      </c>
      <c r="J38" s="90">
        <v>1.673</v>
      </c>
      <c r="K38" s="90">
        <v>1.7889999999999999</v>
      </c>
    </row>
    <row r="39" spans="1:11" x14ac:dyDescent="0.25">
      <c r="A39"/>
      <c r="B39"/>
    </row>
    <row r="40" spans="1:11" x14ac:dyDescent="0.25">
      <c r="A40"/>
      <c r="B40"/>
    </row>
    <row r="41" spans="1:11" x14ac:dyDescent="0.25">
      <c r="A41"/>
      <c r="B41"/>
    </row>
    <row r="42" spans="1:11" x14ac:dyDescent="0.25">
      <c r="A42"/>
      <c r="B42"/>
    </row>
    <row r="43" spans="1:11" x14ac:dyDescent="0.25">
      <c r="A43"/>
      <c r="B43"/>
    </row>
    <row r="44" spans="1:11" ht="39.6" customHeight="1" x14ac:dyDescent="0.25">
      <c r="A44"/>
      <c r="B44"/>
    </row>
    <row r="45" spans="1:11" x14ac:dyDescent="0.25">
      <c r="A45"/>
      <c r="B45"/>
    </row>
    <row r="46" spans="1:11" ht="27.6" customHeight="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h0vnNIesnCIhKu4OZYwlfzyWdOKiwzB2saZS7DS27aC+eNcxOrbux6ANlLEyZzj7nkJ5FYVdxSO++/Wzl39F3g==" saltValue="GiQTInJnh70EisqEO2YdXg==" spinCount="100000" sheet="1" objects="1" scenarios="1"/>
  <conditionalFormatting sqref="A6:A21">
    <cfRule type="expression" dxfId="389" priority="3" stopIfTrue="1">
      <formula>MOD(ROW(),2)=0</formula>
    </cfRule>
    <cfRule type="expression" dxfId="388" priority="4" stopIfTrue="1">
      <formula>MOD(ROW(),2)&lt;&gt;0</formula>
    </cfRule>
  </conditionalFormatting>
  <conditionalFormatting sqref="A26:A38">
    <cfRule type="expression" dxfId="387" priority="9" stopIfTrue="1">
      <formula>MOD(ROW(),2)=0</formula>
    </cfRule>
    <cfRule type="expression" dxfId="386" priority="10" stopIfTrue="1">
      <formula>MOD(ROW(),2)&lt;&gt;0</formula>
    </cfRule>
  </conditionalFormatting>
  <conditionalFormatting sqref="B17:C21">
    <cfRule type="expression" dxfId="385" priority="7" stopIfTrue="1">
      <formula>MOD(ROW(),2)=0</formula>
    </cfRule>
    <cfRule type="expression" dxfId="384" priority="8" stopIfTrue="1">
      <formula>MOD(ROW(),2)&lt;&gt;0</formula>
    </cfRule>
  </conditionalFormatting>
  <conditionalFormatting sqref="B6:K21 B26:K38">
    <cfRule type="expression" dxfId="383" priority="25" stopIfTrue="1">
      <formula>MOD(ROW(),2)=0</formula>
    </cfRule>
    <cfRule type="expression" dxfId="382" priority="2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3.2" x14ac:dyDescent="0.25"/>
  <sheetData>
    <row r="1" spans="1:3" x14ac:dyDescent="0.25">
      <c r="A1" t="s">
        <v>91</v>
      </c>
    </row>
    <row r="3" spans="1:3" x14ac:dyDescent="0.25">
      <c r="A3" t="s">
        <v>92</v>
      </c>
      <c r="C3" t="s">
        <v>93</v>
      </c>
    </row>
    <row r="4" spans="1:3" x14ac:dyDescent="0.25">
      <c r="A4" t="s">
        <v>94</v>
      </c>
      <c r="C4" t="s">
        <v>95</v>
      </c>
    </row>
    <row r="5" spans="1:3" x14ac:dyDescent="0.25">
      <c r="A5" t="s">
        <v>96</v>
      </c>
      <c r="C5" t="s">
        <v>97</v>
      </c>
    </row>
    <row r="6" spans="1:3" x14ac:dyDescent="0.25">
      <c r="A6" t="s">
        <v>98</v>
      </c>
      <c r="C6" t="s">
        <v>99</v>
      </c>
    </row>
    <row r="7" spans="1:3" x14ac:dyDescent="0.25">
      <c r="A7" t="s">
        <v>100</v>
      </c>
      <c r="C7" t="s">
        <v>101</v>
      </c>
    </row>
    <row r="8" spans="1:3" x14ac:dyDescent="0.25">
      <c r="A8" t="s">
        <v>102</v>
      </c>
      <c r="C8" t="s">
        <v>103</v>
      </c>
    </row>
    <row r="9" spans="1:3" x14ac:dyDescent="0.25">
      <c r="A9" t="s">
        <v>104</v>
      </c>
      <c r="C9" t="s">
        <v>100</v>
      </c>
    </row>
    <row r="10" spans="1:3" x14ac:dyDescent="0.25">
      <c r="A10" t="s">
        <v>105</v>
      </c>
      <c r="C10" t="s">
        <v>106</v>
      </c>
    </row>
    <row r="11" spans="1:3" x14ac:dyDescent="0.25">
      <c r="A11" t="s">
        <v>107</v>
      </c>
      <c r="C11" t="s">
        <v>107</v>
      </c>
    </row>
    <row r="12" spans="1:3" x14ac:dyDescent="0.25">
      <c r="A12" t="s">
        <v>108</v>
      </c>
      <c r="C12" t="s">
        <v>109</v>
      </c>
    </row>
    <row r="13" spans="1:3" x14ac:dyDescent="0.25">
      <c r="A13" t="s">
        <v>110</v>
      </c>
      <c r="C13" t="s">
        <v>111</v>
      </c>
    </row>
    <row r="14" spans="1:3" x14ac:dyDescent="0.25">
      <c r="A14" t="s">
        <v>112</v>
      </c>
      <c r="C14" t="s">
        <v>113</v>
      </c>
    </row>
    <row r="15" spans="1:3" x14ac:dyDescent="0.25">
      <c r="A15" t="s">
        <v>114</v>
      </c>
      <c r="C15" t="s">
        <v>115</v>
      </c>
    </row>
    <row r="16" spans="1:3" x14ac:dyDescent="0.25">
      <c r="A16" t="s">
        <v>116</v>
      </c>
      <c r="C16" t="s">
        <v>117</v>
      </c>
    </row>
    <row r="17" spans="1:3" x14ac:dyDescent="0.25">
      <c r="A17" t="s">
        <v>118</v>
      </c>
      <c r="C17" t="s">
        <v>119</v>
      </c>
    </row>
    <row r="18" spans="1:3" x14ac:dyDescent="0.25">
      <c r="A18" t="s">
        <v>120</v>
      </c>
      <c r="C18" t="s">
        <v>121</v>
      </c>
    </row>
    <row r="19" spans="1:3" x14ac:dyDescent="0.25">
      <c r="A19" t="s">
        <v>122</v>
      </c>
      <c r="C19" t="s">
        <v>123</v>
      </c>
    </row>
    <row r="20" spans="1:3" x14ac:dyDescent="0.25">
      <c r="A20" t="s">
        <v>124</v>
      </c>
      <c r="C20" t="s">
        <v>125</v>
      </c>
    </row>
    <row r="21" spans="1:3" x14ac:dyDescent="0.25">
      <c r="A21" t="s">
        <v>126</v>
      </c>
      <c r="C21" t="s">
        <v>127</v>
      </c>
    </row>
    <row r="22" spans="1:3" x14ac:dyDescent="0.25">
      <c r="A22" t="s">
        <v>128</v>
      </c>
      <c r="C22" t="s">
        <v>129</v>
      </c>
    </row>
    <row r="23" spans="1:3" x14ac:dyDescent="0.25">
      <c r="A23" t="s">
        <v>130</v>
      </c>
      <c r="C23" t="s">
        <v>131</v>
      </c>
    </row>
    <row r="24" spans="1:3" x14ac:dyDescent="0.25">
      <c r="A24" t="s">
        <v>132</v>
      </c>
      <c r="C24" t="s">
        <v>133</v>
      </c>
    </row>
    <row r="25" spans="1:3" x14ac:dyDescent="0.25">
      <c r="A25" t="s">
        <v>134</v>
      </c>
      <c r="C25" t="s">
        <v>135</v>
      </c>
    </row>
    <row r="26" spans="1:3" x14ac:dyDescent="0.25">
      <c r="A26" t="s">
        <v>136</v>
      </c>
      <c r="C26" t="s">
        <v>137</v>
      </c>
    </row>
    <row r="27" spans="1:3" x14ac:dyDescent="0.25">
      <c r="A27" t="s">
        <v>138</v>
      </c>
      <c r="C27" t="s">
        <v>139</v>
      </c>
    </row>
    <row r="28" spans="1:3" x14ac:dyDescent="0.25">
      <c r="A28" t="s">
        <v>140</v>
      </c>
      <c r="C28" t="s">
        <v>141</v>
      </c>
    </row>
    <row r="29" spans="1:3" x14ac:dyDescent="0.25">
      <c r="A29" t="s">
        <v>142</v>
      </c>
      <c r="C29" t="s">
        <v>143</v>
      </c>
    </row>
    <row r="30" spans="1:3" x14ac:dyDescent="0.25">
      <c r="A30" t="s">
        <v>144</v>
      </c>
      <c r="C30" t="s">
        <v>145</v>
      </c>
    </row>
    <row r="31" spans="1:3" x14ac:dyDescent="0.25">
      <c r="A31" t="s">
        <v>146</v>
      </c>
      <c r="C31" t="s">
        <v>147</v>
      </c>
    </row>
    <row r="32" spans="1:3" x14ac:dyDescent="0.25">
      <c r="A32" t="s">
        <v>148</v>
      </c>
      <c r="C32" t="s">
        <v>149</v>
      </c>
    </row>
    <row r="33" spans="1:3" x14ac:dyDescent="0.25">
      <c r="A33" t="s">
        <v>150</v>
      </c>
      <c r="C33" t="s">
        <v>151</v>
      </c>
    </row>
    <row r="34" spans="1:3" x14ac:dyDescent="0.25">
      <c r="A34" t="s">
        <v>152</v>
      </c>
      <c r="C34" t="s">
        <v>153</v>
      </c>
    </row>
    <row r="35" spans="1:3" x14ac:dyDescent="0.25">
      <c r="A35" t="s">
        <v>154</v>
      </c>
      <c r="C35" t="s">
        <v>155</v>
      </c>
    </row>
    <row r="36" spans="1:3" x14ac:dyDescent="0.25">
      <c r="A36" t="s">
        <v>156</v>
      </c>
      <c r="C36" t="s">
        <v>157</v>
      </c>
    </row>
    <row r="37" spans="1:3" x14ac:dyDescent="0.25">
      <c r="A37" t="s">
        <v>158</v>
      </c>
    </row>
    <row r="38" spans="1:3" x14ac:dyDescent="0.25">
      <c r="A38" t="s">
        <v>159</v>
      </c>
    </row>
    <row r="39" spans="1:3" x14ac:dyDescent="0.25">
      <c r="A39" t="s">
        <v>160</v>
      </c>
    </row>
    <row r="40" spans="1:3" x14ac:dyDescent="0.25">
      <c r="A40" t="s">
        <v>161</v>
      </c>
    </row>
    <row r="41" spans="1:3" x14ac:dyDescent="0.25">
      <c r="A41" t="s">
        <v>162</v>
      </c>
    </row>
    <row r="42" spans="1:3" x14ac:dyDescent="0.25">
      <c r="A42" t="s">
        <v>163</v>
      </c>
    </row>
    <row r="43" spans="1:3" x14ac:dyDescent="0.25">
      <c r="A43" t="s">
        <v>164</v>
      </c>
    </row>
    <row r="44" spans="1:3" x14ac:dyDescent="0.25">
      <c r="A44" t="s">
        <v>165</v>
      </c>
    </row>
    <row r="45" spans="1:3" x14ac:dyDescent="0.25">
      <c r="A45" t="s">
        <v>166</v>
      </c>
    </row>
    <row r="46" spans="1:3" x14ac:dyDescent="0.25">
      <c r="A46" t="s">
        <v>167</v>
      </c>
    </row>
    <row r="47" spans="1:3" x14ac:dyDescent="0.25">
      <c r="A47" t="s">
        <v>168</v>
      </c>
    </row>
    <row r="48" spans="1:3" x14ac:dyDescent="0.25">
      <c r="A48" t="s">
        <v>169</v>
      </c>
    </row>
    <row r="49" spans="1:1" x14ac:dyDescent="0.25">
      <c r="A49" t="s">
        <v>170</v>
      </c>
    </row>
    <row r="50" spans="1:1" x14ac:dyDescent="0.25">
      <c r="A50" t="s">
        <v>171</v>
      </c>
    </row>
    <row r="51" spans="1:1" x14ac:dyDescent="0.25">
      <c r="A51" t="s">
        <v>172</v>
      </c>
    </row>
    <row r="52" spans="1:1" x14ac:dyDescent="0.25">
      <c r="A52" t="s">
        <v>173</v>
      </c>
    </row>
    <row r="53" spans="1:1" x14ac:dyDescent="0.25">
      <c r="A53" t="s">
        <v>174</v>
      </c>
    </row>
    <row r="54" spans="1:1" x14ac:dyDescent="0.25">
      <c r="A54" t="s">
        <v>175</v>
      </c>
    </row>
    <row r="55" spans="1:1" x14ac:dyDescent="0.25">
      <c r="A55" t="s">
        <v>176</v>
      </c>
    </row>
    <row r="56" spans="1:1" x14ac:dyDescent="0.25">
      <c r="A56" t="s">
        <v>177</v>
      </c>
    </row>
    <row r="57" spans="1:1" x14ac:dyDescent="0.25">
      <c r="A57" t="s">
        <v>178</v>
      </c>
    </row>
    <row r="58" spans="1:1" x14ac:dyDescent="0.25">
      <c r="A58" t="s">
        <v>179</v>
      </c>
    </row>
    <row r="59" spans="1:1" x14ac:dyDescent="0.25">
      <c r="A59" t="s">
        <v>180</v>
      </c>
    </row>
    <row r="60" spans="1:1" x14ac:dyDescent="0.25">
      <c r="A60" t="s">
        <v>181</v>
      </c>
    </row>
    <row r="61" spans="1:1" x14ac:dyDescent="0.25">
      <c r="A61" t="s">
        <v>182</v>
      </c>
    </row>
    <row r="62" spans="1:1" x14ac:dyDescent="0.25">
      <c r="A62" t="s">
        <v>183</v>
      </c>
    </row>
    <row r="63" spans="1:1" x14ac:dyDescent="0.25">
      <c r="A63" t="s">
        <v>184</v>
      </c>
    </row>
    <row r="64" spans="1:1" x14ac:dyDescent="0.25">
      <c r="A64" t="s">
        <v>185</v>
      </c>
    </row>
    <row r="65" spans="1:1" x14ac:dyDescent="0.25">
      <c r="A65" t="s">
        <v>186</v>
      </c>
    </row>
    <row r="66" spans="1:1" x14ac:dyDescent="0.25">
      <c r="A66" t="s">
        <v>187</v>
      </c>
    </row>
    <row r="67" spans="1:1" x14ac:dyDescent="0.25">
      <c r="A67" t="s">
        <v>188</v>
      </c>
    </row>
    <row r="68" spans="1:1" x14ac:dyDescent="0.25">
      <c r="A68" t="s">
        <v>189</v>
      </c>
    </row>
    <row r="69" spans="1:1" x14ac:dyDescent="0.25">
      <c r="A69" t="s">
        <v>190</v>
      </c>
    </row>
    <row r="70" spans="1:1" x14ac:dyDescent="0.25">
      <c r="A70" t="s">
        <v>191</v>
      </c>
    </row>
    <row r="71" spans="1:1" x14ac:dyDescent="0.25">
      <c r="A71" t="s">
        <v>192</v>
      </c>
    </row>
    <row r="72" spans="1:1" x14ac:dyDescent="0.25">
      <c r="A72" t="s">
        <v>193</v>
      </c>
    </row>
    <row r="73" spans="1:1" x14ac:dyDescent="0.25">
      <c r="A73" t="s">
        <v>194</v>
      </c>
    </row>
    <row r="74" spans="1:1" x14ac:dyDescent="0.25">
      <c r="A74" t="s">
        <v>195</v>
      </c>
    </row>
    <row r="75" spans="1:1" x14ac:dyDescent="0.25">
      <c r="A75" t="s">
        <v>196</v>
      </c>
    </row>
    <row r="76" spans="1:1" x14ac:dyDescent="0.25">
      <c r="A76" t="s">
        <v>197</v>
      </c>
    </row>
    <row r="77" spans="1:1" x14ac:dyDescent="0.25">
      <c r="A77" t="s">
        <v>198</v>
      </c>
    </row>
    <row r="78" spans="1:1" x14ac:dyDescent="0.25">
      <c r="A78" t="s">
        <v>199</v>
      </c>
    </row>
    <row r="79" spans="1:1" x14ac:dyDescent="0.25">
      <c r="A79" t="s">
        <v>200</v>
      </c>
    </row>
    <row r="80" spans="1:1" x14ac:dyDescent="0.25">
      <c r="A80" t="s">
        <v>201</v>
      </c>
    </row>
    <row r="81" spans="1:1" x14ac:dyDescent="0.25">
      <c r="A81" t="s">
        <v>202</v>
      </c>
    </row>
    <row r="82" spans="1:1" x14ac:dyDescent="0.25">
      <c r="A82" t="s">
        <v>203</v>
      </c>
    </row>
    <row r="83" spans="1:1" x14ac:dyDescent="0.25">
      <c r="A83" t="s">
        <v>204</v>
      </c>
    </row>
    <row r="84" spans="1:1" x14ac:dyDescent="0.25">
      <c r="A84" t="s">
        <v>205</v>
      </c>
    </row>
    <row r="85" spans="1:1" x14ac:dyDescent="0.25">
      <c r="A85" t="s">
        <v>206</v>
      </c>
    </row>
    <row r="86" spans="1:1" x14ac:dyDescent="0.25">
      <c r="A86" t="s">
        <v>207</v>
      </c>
    </row>
    <row r="87" spans="1:1" x14ac:dyDescent="0.25">
      <c r="A87" t="s">
        <v>208</v>
      </c>
    </row>
    <row r="88" spans="1:1" x14ac:dyDescent="0.25">
      <c r="A88" t="s">
        <v>209</v>
      </c>
    </row>
    <row r="89" spans="1:1" x14ac:dyDescent="0.25">
      <c r="A89" t="s">
        <v>210</v>
      </c>
    </row>
    <row r="90" spans="1:1" x14ac:dyDescent="0.25">
      <c r="A90" t="s">
        <v>211</v>
      </c>
    </row>
    <row r="91" spans="1:1" x14ac:dyDescent="0.25">
      <c r="A91" t="s">
        <v>212</v>
      </c>
    </row>
    <row r="92" spans="1:1" x14ac:dyDescent="0.25">
      <c r="A92" t="s">
        <v>213</v>
      </c>
    </row>
    <row r="93" spans="1:1" x14ac:dyDescent="0.25">
      <c r="A93" t="s">
        <v>214</v>
      </c>
    </row>
    <row r="94" spans="1:1" x14ac:dyDescent="0.25">
      <c r="A94" t="s">
        <v>215</v>
      </c>
    </row>
    <row r="95" spans="1:1" x14ac:dyDescent="0.25">
      <c r="A95" t="s">
        <v>216</v>
      </c>
    </row>
    <row r="96" spans="1:1" x14ac:dyDescent="0.25">
      <c r="A96" t="s">
        <v>217</v>
      </c>
    </row>
    <row r="97" spans="1:1" x14ac:dyDescent="0.25">
      <c r="A97" t="s">
        <v>218</v>
      </c>
    </row>
    <row r="98" spans="1:1" x14ac:dyDescent="0.25">
      <c r="A98" t="s">
        <v>219</v>
      </c>
    </row>
    <row r="99" spans="1:1" x14ac:dyDescent="0.25">
      <c r="A99" t="s">
        <v>220</v>
      </c>
    </row>
    <row r="100" spans="1:1" x14ac:dyDescent="0.25">
      <c r="A100" t="s">
        <v>221</v>
      </c>
    </row>
    <row r="101" spans="1:1" x14ac:dyDescent="0.25">
      <c r="A101" t="s">
        <v>222</v>
      </c>
    </row>
    <row r="102" spans="1:1" x14ac:dyDescent="0.25">
      <c r="A102" t="s">
        <v>223</v>
      </c>
    </row>
    <row r="103" spans="1:1" x14ac:dyDescent="0.25">
      <c r="A103" t="s">
        <v>224</v>
      </c>
    </row>
    <row r="104" spans="1:1" x14ac:dyDescent="0.25">
      <c r="A104" t="s">
        <v>225</v>
      </c>
    </row>
    <row r="105" spans="1:1" x14ac:dyDescent="0.25">
      <c r="A105" t="s">
        <v>226</v>
      </c>
    </row>
    <row r="106" spans="1:1" x14ac:dyDescent="0.25">
      <c r="A106" t="s">
        <v>227</v>
      </c>
    </row>
    <row r="107" spans="1:1" x14ac:dyDescent="0.25">
      <c r="A107" t="s">
        <v>228</v>
      </c>
    </row>
    <row r="108" spans="1:1" x14ac:dyDescent="0.25">
      <c r="A108" t="s">
        <v>229</v>
      </c>
    </row>
    <row r="109" spans="1:1" x14ac:dyDescent="0.25">
      <c r="A109" t="s">
        <v>230</v>
      </c>
    </row>
    <row r="110" spans="1:1" x14ac:dyDescent="0.25">
      <c r="A110" t="s">
        <v>231</v>
      </c>
    </row>
    <row r="111" spans="1:1" x14ac:dyDescent="0.25">
      <c r="A111" t="s">
        <v>232</v>
      </c>
    </row>
    <row r="112" spans="1:1" x14ac:dyDescent="0.25">
      <c r="A112" t="s">
        <v>233</v>
      </c>
    </row>
    <row r="113" spans="1:1" x14ac:dyDescent="0.25">
      <c r="A113" t="s">
        <v>234</v>
      </c>
    </row>
    <row r="114" spans="1:1" x14ac:dyDescent="0.25">
      <c r="A114" t="s">
        <v>235</v>
      </c>
    </row>
    <row r="115" spans="1:1" x14ac:dyDescent="0.25">
      <c r="A115" t="s">
        <v>236</v>
      </c>
    </row>
    <row r="116" spans="1:1" x14ac:dyDescent="0.25">
      <c r="A116" t="s">
        <v>237</v>
      </c>
    </row>
    <row r="117" spans="1:1" x14ac:dyDescent="0.25">
      <c r="A117" t="s">
        <v>238</v>
      </c>
    </row>
    <row r="118" spans="1:1" x14ac:dyDescent="0.25">
      <c r="A118" t="s">
        <v>239</v>
      </c>
    </row>
    <row r="119" spans="1:1" x14ac:dyDescent="0.25">
      <c r="A119" t="s">
        <v>240</v>
      </c>
    </row>
    <row r="120" spans="1:1" x14ac:dyDescent="0.25">
      <c r="A120" t="s">
        <v>241</v>
      </c>
    </row>
    <row r="121" spans="1:1" x14ac:dyDescent="0.25">
      <c r="A121" t="s">
        <v>242</v>
      </c>
    </row>
    <row r="122" spans="1:1" x14ac:dyDescent="0.25">
      <c r="A122" t="s">
        <v>243</v>
      </c>
    </row>
    <row r="123" spans="1:1" x14ac:dyDescent="0.25">
      <c r="A123" t="s">
        <v>244</v>
      </c>
    </row>
    <row r="124" spans="1:1" x14ac:dyDescent="0.25">
      <c r="A124" t="s">
        <v>245</v>
      </c>
    </row>
    <row r="125" spans="1:1" x14ac:dyDescent="0.25">
      <c r="A125" t="s">
        <v>246</v>
      </c>
    </row>
    <row r="126" spans="1:1" x14ac:dyDescent="0.25">
      <c r="A126" t="s">
        <v>247</v>
      </c>
    </row>
    <row r="127" spans="1:1" x14ac:dyDescent="0.25">
      <c r="A127" t="s">
        <v>248</v>
      </c>
    </row>
    <row r="128" spans="1:1" x14ac:dyDescent="0.25">
      <c r="A128" t="s">
        <v>249</v>
      </c>
    </row>
    <row r="129" spans="1:1" x14ac:dyDescent="0.25">
      <c r="A129" t="s">
        <v>250</v>
      </c>
    </row>
    <row r="130" spans="1:1" x14ac:dyDescent="0.25">
      <c r="A130" t="s">
        <v>251</v>
      </c>
    </row>
    <row r="131" spans="1:1" x14ac:dyDescent="0.25">
      <c r="A131" t="s">
        <v>252</v>
      </c>
    </row>
    <row r="132" spans="1:1" x14ac:dyDescent="0.25">
      <c r="A132" t="s">
        <v>253</v>
      </c>
    </row>
    <row r="133" spans="1:1" x14ac:dyDescent="0.25">
      <c r="A133" t="s">
        <v>254</v>
      </c>
    </row>
    <row r="134" spans="1:1" x14ac:dyDescent="0.25">
      <c r="A134" t="s">
        <v>255</v>
      </c>
    </row>
    <row r="135" spans="1:1" x14ac:dyDescent="0.25">
      <c r="A135" t="s">
        <v>256</v>
      </c>
    </row>
    <row r="136" spans="1:1" x14ac:dyDescent="0.25">
      <c r="A136" t="s">
        <v>257</v>
      </c>
    </row>
    <row r="137" spans="1:1" x14ac:dyDescent="0.25">
      <c r="A137" t="s">
        <v>258</v>
      </c>
    </row>
    <row r="138" spans="1:1" x14ac:dyDescent="0.25">
      <c r="A138" t="s">
        <v>259</v>
      </c>
    </row>
    <row r="139" spans="1:1" x14ac:dyDescent="0.25">
      <c r="A139" t="s">
        <v>260</v>
      </c>
    </row>
    <row r="140" spans="1:1" x14ac:dyDescent="0.25">
      <c r="A140" t="s">
        <v>261</v>
      </c>
    </row>
    <row r="141" spans="1:1" x14ac:dyDescent="0.25">
      <c r="A141" t="s">
        <v>262</v>
      </c>
    </row>
    <row r="142" spans="1:1" x14ac:dyDescent="0.25">
      <c r="A142" t="s">
        <v>263</v>
      </c>
    </row>
    <row r="143" spans="1:1" x14ac:dyDescent="0.25">
      <c r="A143" t="s">
        <v>264</v>
      </c>
    </row>
    <row r="144" spans="1:1" x14ac:dyDescent="0.25">
      <c r="A144" t="s">
        <v>265</v>
      </c>
    </row>
    <row r="145" spans="1:1" x14ac:dyDescent="0.25">
      <c r="A145" t="s">
        <v>266</v>
      </c>
    </row>
    <row r="146" spans="1:1" x14ac:dyDescent="0.25">
      <c r="A146" t="s">
        <v>267</v>
      </c>
    </row>
    <row r="147" spans="1:1" x14ac:dyDescent="0.25">
      <c r="A147" t="s">
        <v>268</v>
      </c>
    </row>
    <row r="148" spans="1:1" x14ac:dyDescent="0.25">
      <c r="A148" t="s">
        <v>269</v>
      </c>
    </row>
    <row r="149" spans="1:1" x14ac:dyDescent="0.25">
      <c r="A149" t="s">
        <v>270</v>
      </c>
    </row>
    <row r="150" spans="1:1" x14ac:dyDescent="0.25">
      <c r="A150" t="s">
        <v>271</v>
      </c>
    </row>
    <row r="151" spans="1:1" x14ac:dyDescent="0.25">
      <c r="A151" t="s">
        <v>272</v>
      </c>
    </row>
    <row r="152" spans="1:1" x14ac:dyDescent="0.25">
      <c r="A152" t="s">
        <v>273</v>
      </c>
    </row>
    <row r="153" spans="1:1" x14ac:dyDescent="0.25">
      <c r="A153" t="s">
        <v>274</v>
      </c>
    </row>
    <row r="154" spans="1:1" x14ac:dyDescent="0.25">
      <c r="A154" t="s">
        <v>275</v>
      </c>
    </row>
    <row r="155" spans="1:1" x14ac:dyDescent="0.25">
      <c r="A155" t="s">
        <v>276</v>
      </c>
    </row>
    <row r="156" spans="1:1" x14ac:dyDescent="0.25">
      <c r="A156" t="s">
        <v>277</v>
      </c>
    </row>
    <row r="157" spans="1:1" x14ac:dyDescent="0.25">
      <c r="A157" t="s">
        <v>278</v>
      </c>
    </row>
    <row r="158" spans="1:1" x14ac:dyDescent="0.25">
      <c r="A158" t="s">
        <v>279</v>
      </c>
    </row>
    <row r="159" spans="1:1" x14ac:dyDescent="0.25">
      <c r="A159" t="s">
        <v>280</v>
      </c>
    </row>
    <row r="160" spans="1:1" x14ac:dyDescent="0.25">
      <c r="A160" t="s">
        <v>281</v>
      </c>
    </row>
  </sheetData>
  <sheetProtection algorithmName="SHA-512" hashValue="LVtgIbdK2+aHMr9ZM+vTg77PFLGTOulf6UOVEOHfpaAK2S2so2wPuj4GFFgNGAtSUTzLoRCDVQpbp2YOJcPXLg==" saltValue="1+v/T1TU02IHAJu1TV8CFg=="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15"/>
  <dimension ref="A1:AV65"/>
  <sheetViews>
    <sheetView showGridLines="0" zoomScale="85" zoomScaleNormal="85" workbookViewId="0">
      <selection activeCell="A4" sqref="A4"/>
    </sheetView>
  </sheetViews>
  <sheetFormatPr defaultColWidth="10" defaultRowHeight="13.2" x14ac:dyDescent="0.25"/>
  <cols>
    <col min="1" max="1" width="31.88671875" style="27" customWidth="1"/>
    <col min="2" max="48" width="22.88671875" style="27" customWidth="1"/>
    <col min="49" max="16384" width="10" style="27"/>
  </cols>
  <sheetData>
    <row r="1" spans="1:48" ht="21" x14ac:dyDescent="0.4">
      <c r="A1" s="39" t="s">
        <v>0</v>
      </c>
      <c r="B1" s="40"/>
      <c r="C1" s="40"/>
      <c r="D1" s="40"/>
      <c r="E1" s="40"/>
      <c r="F1" s="40"/>
      <c r="G1" s="40"/>
      <c r="H1" s="40"/>
      <c r="I1" s="40"/>
    </row>
    <row r="2" spans="1:48" ht="15.6" x14ac:dyDescent="0.3">
      <c r="A2" s="41" t="str">
        <f>IF(title="&gt; Enter workbook title here","Enter workbook title in Cover sheet",title)</f>
        <v>Fire_S - Consolidated Factor Spreadsheet</v>
      </c>
      <c r="B2" s="42"/>
      <c r="C2" s="42"/>
      <c r="D2" s="42"/>
      <c r="E2" s="42"/>
      <c r="F2" s="42"/>
      <c r="G2" s="42"/>
      <c r="H2" s="42"/>
      <c r="I2" s="42"/>
    </row>
    <row r="3" spans="1:48" ht="15.6" x14ac:dyDescent="0.3">
      <c r="A3" s="43" t="str">
        <f>TABLE_FACTOR_TYPE_1&amp;" - x-"&amp;TABLE_SERIES_NUMBER_1</f>
        <v>Pension Debit - x-328</v>
      </c>
      <c r="B3" s="42"/>
      <c r="C3" s="42"/>
      <c r="D3" s="42"/>
      <c r="E3" s="42"/>
      <c r="F3" s="42"/>
      <c r="G3" s="42"/>
      <c r="H3" s="42"/>
      <c r="I3" s="42"/>
    </row>
    <row r="4" spans="1:48" x14ac:dyDescent="0.25">
      <c r="A4" s="44"/>
    </row>
    <row r="6" spans="1:48" x14ac:dyDescent="0.25">
      <c r="A6" s="75" t="s">
        <v>484</v>
      </c>
      <c r="B6" s="162" t="s">
        <v>485</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row>
    <row r="7" spans="1:48" x14ac:dyDescent="0.25">
      <c r="A7" s="76" t="s">
        <v>486</v>
      </c>
      <c r="B7" s="162" t="s">
        <v>81</v>
      </c>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row>
    <row r="8" spans="1:48" x14ac:dyDescent="0.25">
      <c r="A8" s="76" t="s">
        <v>282</v>
      </c>
      <c r="B8" s="162">
        <v>2006</v>
      </c>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row>
    <row r="9" spans="1:48" x14ac:dyDescent="0.25">
      <c r="A9" s="76" t="s">
        <v>283</v>
      </c>
      <c r="B9" s="162" t="s">
        <v>347</v>
      </c>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row>
    <row r="10" spans="1:48" x14ac:dyDescent="0.25">
      <c r="A10" s="76" t="s">
        <v>6</v>
      </c>
      <c r="B10" s="162" t="s">
        <v>370</v>
      </c>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row>
    <row r="11" spans="1:48" x14ac:dyDescent="0.25">
      <c r="A11" s="76" t="s">
        <v>284</v>
      </c>
      <c r="B11" s="162" t="s">
        <v>349</v>
      </c>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row>
    <row r="12" spans="1:48" x14ac:dyDescent="0.25">
      <c r="A12" s="76" t="s">
        <v>285</v>
      </c>
      <c r="B12" s="162" t="s">
        <v>360</v>
      </c>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row>
    <row r="13" spans="1:48" hidden="1" x14ac:dyDescent="0.25">
      <c r="A13" s="76" t="s">
        <v>493</v>
      </c>
      <c r="B13" s="162">
        <v>1</v>
      </c>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row>
    <row r="14" spans="1:48" hidden="1" x14ac:dyDescent="0.25">
      <c r="A14" s="76" t="s">
        <v>287</v>
      </c>
      <c r="B14" s="162">
        <v>328</v>
      </c>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row>
    <row r="15" spans="1:48" x14ac:dyDescent="0.25">
      <c r="A15" s="76" t="s">
        <v>496</v>
      </c>
      <c r="B15" s="162" t="s">
        <v>371</v>
      </c>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row>
    <row r="16" spans="1:48" x14ac:dyDescent="0.25">
      <c r="A16" s="76" t="s">
        <v>288</v>
      </c>
      <c r="B16" s="162" t="s">
        <v>358</v>
      </c>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row>
    <row r="17" spans="1:48" x14ac:dyDescent="0.25">
      <c r="A17" s="76" t="s">
        <v>568</v>
      </c>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row>
    <row r="18" spans="1:48" x14ac:dyDescent="0.25">
      <c r="A18" s="76" t="s">
        <v>500</v>
      </c>
      <c r="B18" s="164">
        <v>45070</v>
      </c>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row>
    <row r="19" spans="1:48" x14ac:dyDescent="0.25">
      <c r="A19" s="76" t="s">
        <v>290</v>
      </c>
      <c r="B19" s="164">
        <v>45014</v>
      </c>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row>
    <row r="20" spans="1:48" x14ac:dyDescent="0.25">
      <c r="A20" s="76" t="s">
        <v>291</v>
      </c>
      <c r="B20" s="162" t="s">
        <v>298</v>
      </c>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row>
    <row r="21" spans="1:48" x14ac:dyDescent="0.25">
      <c r="A21" s="150" t="s">
        <v>569</v>
      </c>
      <c r="B21" s="162" t="s">
        <v>297</v>
      </c>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row>
    <row r="23" spans="1:48" x14ac:dyDescent="0.25">
      <c r="B23" s="91" t="str">
        <f>HYPERLINK("#'Factor List'!A1","Back to Factor List")</f>
        <v>Back to Factor List</v>
      </c>
    </row>
    <row r="24" spans="1:48" x14ac:dyDescent="0.25">
      <c r="B24" s="91" t="str">
        <f>HYPERLINK("#'Assumptions'!A1","Assumptions")</f>
        <v>Assumptions</v>
      </c>
    </row>
    <row r="26" spans="1:48" x14ac:dyDescent="0.25">
      <c r="A26" s="87" t="s">
        <v>611</v>
      </c>
      <c r="B26" s="87">
        <v>18</v>
      </c>
      <c r="C26" s="87">
        <v>19</v>
      </c>
      <c r="D26" s="87">
        <v>20</v>
      </c>
      <c r="E26" s="87">
        <v>21</v>
      </c>
      <c r="F26" s="87">
        <v>22</v>
      </c>
      <c r="G26" s="87">
        <v>23</v>
      </c>
      <c r="H26" s="87">
        <v>24</v>
      </c>
      <c r="I26" s="87">
        <v>25</v>
      </c>
      <c r="J26" s="87">
        <v>26</v>
      </c>
      <c r="K26" s="87">
        <v>27</v>
      </c>
      <c r="L26" s="87">
        <v>28</v>
      </c>
      <c r="M26" s="87">
        <v>29</v>
      </c>
      <c r="N26" s="87">
        <v>30</v>
      </c>
      <c r="O26" s="87">
        <v>31</v>
      </c>
      <c r="P26" s="87">
        <v>32</v>
      </c>
      <c r="Q26" s="87">
        <v>33</v>
      </c>
      <c r="R26" s="87">
        <v>34</v>
      </c>
      <c r="S26" s="87">
        <v>35</v>
      </c>
      <c r="T26" s="87">
        <v>36</v>
      </c>
      <c r="U26" s="87">
        <v>37</v>
      </c>
      <c r="V26" s="87">
        <v>38</v>
      </c>
      <c r="W26" s="87">
        <v>39</v>
      </c>
      <c r="X26" s="87">
        <v>40</v>
      </c>
      <c r="Y26" s="87">
        <v>41</v>
      </c>
      <c r="Z26" s="87">
        <v>42</v>
      </c>
      <c r="AA26" s="87">
        <v>43</v>
      </c>
      <c r="AB26" s="87">
        <v>44</v>
      </c>
      <c r="AC26" s="87">
        <v>45</v>
      </c>
      <c r="AD26" s="87">
        <v>46</v>
      </c>
      <c r="AE26" s="87">
        <v>47</v>
      </c>
      <c r="AF26" s="87">
        <v>48</v>
      </c>
      <c r="AG26" s="87">
        <v>49</v>
      </c>
      <c r="AH26" s="87">
        <v>50</v>
      </c>
      <c r="AI26" s="87">
        <v>51</v>
      </c>
      <c r="AJ26" s="87">
        <v>52</v>
      </c>
      <c r="AK26" s="87">
        <v>53</v>
      </c>
      <c r="AL26" s="87">
        <v>54</v>
      </c>
      <c r="AM26" s="87">
        <v>55</v>
      </c>
      <c r="AN26" s="87">
        <v>56</v>
      </c>
      <c r="AO26" s="87">
        <v>57</v>
      </c>
      <c r="AP26" s="87">
        <v>58</v>
      </c>
      <c r="AQ26" s="87">
        <v>59</v>
      </c>
      <c r="AR26" s="87">
        <v>60</v>
      </c>
      <c r="AS26" s="87">
        <v>61</v>
      </c>
      <c r="AT26" s="87">
        <v>62</v>
      </c>
      <c r="AU26" s="87">
        <v>63</v>
      </c>
      <c r="AV26" s="87">
        <v>64</v>
      </c>
    </row>
    <row r="27" spans="1:48" x14ac:dyDescent="0.25">
      <c r="A27" s="88">
        <v>0</v>
      </c>
      <c r="B27" s="90">
        <v>0.20499999999999999</v>
      </c>
      <c r="C27" s="90">
        <v>0.20899999999999999</v>
      </c>
      <c r="D27" s="90">
        <v>0.214</v>
      </c>
      <c r="E27" s="90">
        <v>0.219</v>
      </c>
      <c r="F27" s="90">
        <v>0.224</v>
      </c>
      <c r="G27" s="90">
        <v>0.22900000000000001</v>
      </c>
      <c r="H27" s="90">
        <v>0.23499999999999999</v>
      </c>
      <c r="I27" s="90">
        <v>0.24099999999999999</v>
      </c>
      <c r="J27" s="90">
        <v>0.246</v>
      </c>
      <c r="K27" s="90">
        <v>0.253</v>
      </c>
      <c r="L27" s="90">
        <v>0.25900000000000001</v>
      </c>
      <c r="M27" s="90">
        <v>0.26500000000000001</v>
      </c>
      <c r="N27" s="90">
        <v>0.27200000000000002</v>
      </c>
      <c r="O27" s="90">
        <v>0.27900000000000003</v>
      </c>
      <c r="P27" s="90">
        <v>0.28699999999999998</v>
      </c>
      <c r="Q27" s="90">
        <v>0.29499999999999998</v>
      </c>
      <c r="R27" s="90">
        <v>0.30299999999999999</v>
      </c>
      <c r="S27" s="90">
        <v>0.311</v>
      </c>
      <c r="T27" s="90">
        <v>0.32</v>
      </c>
      <c r="U27" s="90">
        <v>0.32900000000000001</v>
      </c>
      <c r="V27" s="90">
        <v>0.33800000000000002</v>
      </c>
      <c r="W27" s="90">
        <v>0.34899999999999998</v>
      </c>
      <c r="X27" s="90">
        <v>0.35899999999999999</v>
      </c>
      <c r="Y27" s="90">
        <v>0.37</v>
      </c>
      <c r="Z27" s="90">
        <v>0.38200000000000001</v>
      </c>
      <c r="AA27" s="90">
        <v>0.39400000000000002</v>
      </c>
      <c r="AB27" s="90">
        <v>0.40699999999999997</v>
      </c>
      <c r="AC27" s="90">
        <v>0.42</v>
      </c>
      <c r="AD27" s="90">
        <v>0.434</v>
      </c>
      <c r="AE27" s="90">
        <v>0.45</v>
      </c>
      <c r="AF27" s="90">
        <v>0.46500000000000002</v>
      </c>
      <c r="AG27" s="90">
        <v>0.48199999999999998</v>
      </c>
      <c r="AH27" s="90">
        <v>0.5</v>
      </c>
      <c r="AI27" s="90">
        <v>0.51900000000000002</v>
      </c>
      <c r="AJ27" s="90">
        <v>0.54</v>
      </c>
      <c r="AK27" s="90">
        <v>0.56100000000000005</v>
      </c>
      <c r="AL27" s="90">
        <v>0.58499999999999996</v>
      </c>
      <c r="AM27" s="90">
        <v>0.60899999999999999</v>
      </c>
      <c r="AN27" s="90">
        <v>0.63600000000000001</v>
      </c>
      <c r="AO27" s="90">
        <v>0.66500000000000004</v>
      </c>
      <c r="AP27" s="90">
        <v>0.69499999999999995</v>
      </c>
      <c r="AQ27" s="90">
        <v>0.72899999999999998</v>
      </c>
      <c r="AR27" s="90">
        <v>0.76500000000000001</v>
      </c>
      <c r="AS27" s="90">
        <v>0.80400000000000005</v>
      </c>
      <c r="AT27" s="90">
        <v>0.84599999999999997</v>
      </c>
      <c r="AU27" s="90">
        <v>0.89300000000000002</v>
      </c>
      <c r="AV27" s="90">
        <v>0.94399999999999995</v>
      </c>
    </row>
    <row r="28" spans="1:48" x14ac:dyDescent="0.25">
      <c r="A28" s="88">
        <v>1</v>
      </c>
      <c r="B28" s="90">
        <v>0.20499999999999999</v>
      </c>
      <c r="C28" s="90">
        <v>0.21</v>
      </c>
      <c r="D28" s="90">
        <v>0.215</v>
      </c>
      <c r="E28" s="90">
        <v>0.219</v>
      </c>
      <c r="F28" s="90">
        <v>0.22500000000000001</v>
      </c>
      <c r="G28" s="90">
        <v>0.23</v>
      </c>
      <c r="H28" s="90">
        <v>0.23499999999999999</v>
      </c>
      <c r="I28" s="90">
        <v>0.24099999999999999</v>
      </c>
      <c r="J28" s="90">
        <v>0.247</v>
      </c>
      <c r="K28" s="90">
        <v>0.253</v>
      </c>
      <c r="L28" s="90">
        <v>0.25900000000000001</v>
      </c>
      <c r="M28" s="90">
        <v>0.26600000000000001</v>
      </c>
      <c r="N28" s="90">
        <v>0.27300000000000002</v>
      </c>
      <c r="O28" s="90">
        <v>0.28000000000000003</v>
      </c>
      <c r="P28" s="90">
        <v>0.28699999999999998</v>
      </c>
      <c r="Q28" s="90">
        <v>0.29499999999999998</v>
      </c>
      <c r="R28" s="90">
        <v>0.30299999999999999</v>
      </c>
      <c r="S28" s="90">
        <v>0.312</v>
      </c>
      <c r="T28" s="90">
        <v>0.32100000000000001</v>
      </c>
      <c r="U28" s="90">
        <v>0.33</v>
      </c>
      <c r="V28" s="90">
        <v>0.33900000000000002</v>
      </c>
      <c r="W28" s="90">
        <v>0.34899999999999998</v>
      </c>
      <c r="X28" s="90">
        <v>0.36</v>
      </c>
      <c r="Y28" s="90">
        <v>0.371</v>
      </c>
      <c r="Z28" s="90">
        <v>0.38300000000000001</v>
      </c>
      <c r="AA28" s="90">
        <v>0.39500000000000002</v>
      </c>
      <c r="AB28" s="90">
        <v>0.40799999999999997</v>
      </c>
      <c r="AC28" s="90">
        <v>0.42099999999999999</v>
      </c>
      <c r="AD28" s="90">
        <v>0.436</v>
      </c>
      <c r="AE28" s="90">
        <v>0.45100000000000001</v>
      </c>
      <c r="AF28" s="90">
        <v>0.46700000000000003</v>
      </c>
      <c r="AG28" s="90">
        <v>0.48399999999999999</v>
      </c>
      <c r="AH28" s="90">
        <v>0.502</v>
      </c>
      <c r="AI28" s="90">
        <v>0.52100000000000002</v>
      </c>
      <c r="AJ28" s="90">
        <v>0.54100000000000004</v>
      </c>
      <c r="AK28" s="90">
        <v>0.56299999999999994</v>
      </c>
      <c r="AL28" s="90">
        <v>0.58699999999999997</v>
      </c>
      <c r="AM28" s="90">
        <v>0.61199999999999999</v>
      </c>
      <c r="AN28" s="90">
        <v>0.63800000000000001</v>
      </c>
      <c r="AO28" s="90">
        <v>0.66700000000000004</v>
      </c>
      <c r="AP28" s="90">
        <v>0.69799999999999995</v>
      </c>
      <c r="AQ28" s="90">
        <v>0.73199999999999998</v>
      </c>
      <c r="AR28" s="90">
        <v>0.76800000000000002</v>
      </c>
      <c r="AS28" s="90">
        <v>0.80700000000000005</v>
      </c>
      <c r="AT28" s="90">
        <v>0.85</v>
      </c>
      <c r="AU28" s="90">
        <v>0.89700000000000002</v>
      </c>
      <c r="AV28" s="90">
        <v>0.94899999999999995</v>
      </c>
    </row>
    <row r="29" spans="1:48" x14ac:dyDescent="0.25">
      <c r="A29" s="88">
        <v>2</v>
      </c>
      <c r="B29" s="90">
        <v>0.20499999999999999</v>
      </c>
      <c r="C29" s="90">
        <v>0.21</v>
      </c>
      <c r="D29" s="90">
        <v>0.215</v>
      </c>
      <c r="E29" s="90">
        <v>0.22</v>
      </c>
      <c r="F29" s="90">
        <v>0.22500000000000001</v>
      </c>
      <c r="G29" s="90">
        <v>0.23</v>
      </c>
      <c r="H29" s="90">
        <v>0.23599999999999999</v>
      </c>
      <c r="I29" s="90">
        <v>0.24199999999999999</v>
      </c>
      <c r="J29" s="90">
        <v>0.247</v>
      </c>
      <c r="K29" s="90">
        <v>0.254</v>
      </c>
      <c r="L29" s="90">
        <v>0.26</v>
      </c>
      <c r="M29" s="90">
        <v>0.26700000000000002</v>
      </c>
      <c r="N29" s="90">
        <v>0.27400000000000002</v>
      </c>
      <c r="O29" s="90">
        <v>0.28100000000000003</v>
      </c>
      <c r="P29" s="90">
        <v>0.28799999999999998</v>
      </c>
      <c r="Q29" s="90">
        <v>0.29599999999999999</v>
      </c>
      <c r="R29" s="90">
        <v>0.30399999999999999</v>
      </c>
      <c r="S29" s="90">
        <v>0.312</v>
      </c>
      <c r="T29" s="90">
        <v>0.32100000000000001</v>
      </c>
      <c r="U29" s="90">
        <v>0.33100000000000002</v>
      </c>
      <c r="V29" s="90">
        <v>0.34</v>
      </c>
      <c r="W29" s="90">
        <v>0.35</v>
      </c>
      <c r="X29" s="90">
        <v>0.36099999999999999</v>
      </c>
      <c r="Y29" s="90">
        <v>0.372</v>
      </c>
      <c r="Z29" s="90">
        <v>0.38400000000000001</v>
      </c>
      <c r="AA29" s="90">
        <v>0.39600000000000002</v>
      </c>
      <c r="AB29" s="90">
        <v>0.40899999999999997</v>
      </c>
      <c r="AC29" s="90">
        <v>0.42299999999999999</v>
      </c>
      <c r="AD29" s="90">
        <v>0.437</v>
      </c>
      <c r="AE29" s="90">
        <v>0.45200000000000001</v>
      </c>
      <c r="AF29" s="90">
        <v>0.46800000000000003</v>
      </c>
      <c r="AG29" s="90">
        <v>0.48499999999999999</v>
      </c>
      <c r="AH29" s="90">
        <v>0.503</v>
      </c>
      <c r="AI29" s="90">
        <v>0.52300000000000002</v>
      </c>
      <c r="AJ29" s="90">
        <v>0.54300000000000004</v>
      </c>
      <c r="AK29" s="90">
        <v>0.56499999999999995</v>
      </c>
      <c r="AL29" s="90">
        <v>0.58899999999999997</v>
      </c>
      <c r="AM29" s="90">
        <v>0.61399999999999999</v>
      </c>
      <c r="AN29" s="90">
        <v>0.64100000000000001</v>
      </c>
      <c r="AO29" s="90">
        <v>0.67</v>
      </c>
      <c r="AP29" s="90">
        <v>0.70099999999999996</v>
      </c>
      <c r="AQ29" s="90">
        <v>0.73499999999999999</v>
      </c>
      <c r="AR29" s="90">
        <v>0.77100000000000002</v>
      </c>
      <c r="AS29" s="90">
        <v>0.81100000000000005</v>
      </c>
      <c r="AT29" s="90">
        <v>0.85399999999999998</v>
      </c>
      <c r="AU29" s="90">
        <v>0.90200000000000002</v>
      </c>
      <c r="AV29" s="90">
        <v>0.95299999999999996</v>
      </c>
    </row>
    <row r="30" spans="1:48" x14ac:dyDescent="0.25">
      <c r="A30" s="88">
        <v>3</v>
      </c>
      <c r="B30" s="90">
        <v>0.20599999999999999</v>
      </c>
      <c r="C30" s="90">
        <v>0.21099999999999999</v>
      </c>
      <c r="D30" s="90">
        <v>0.215</v>
      </c>
      <c r="E30" s="90">
        <v>0.22</v>
      </c>
      <c r="F30" s="90">
        <v>0.22500000000000001</v>
      </c>
      <c r="G30" s="90">
        <v>0.23100000000000001</v>
      </c>
      <c r="H30" s="90">
        <v>0.23599999999999999</v>
      </c>
      <c r="I30" s="90">
        <v>0.24199999999999999</v>
      </c>
      <c r="J30" s="90">
        <v>0.248</v>
      </c>
      <c r="K30" s="90">
        <v>0.254</v>
      </c>
      <c r="L30" s="90">
        <v>0.26100000000000001</v>
      </c>
      <c r="M30" s="90">
        <v>0.26700000000000002</v>
      </c>
      <c r="N30" s="90">
        <v>0.27400000000000002</v>
      </c>
      <c r="O30" s="90">
        <v>0.28100000000000003</v>
      </c>
      <c r="P30" s="90">
        <v>0.28899999999999998</v>
      </c>
      <c r="Q30" s="90">
        <v>0.29699999999999999</v>
      </c>
      <c r="R30" s="90">
        <v>0.30499999999999999</v>
      </c>
      <c r="S30" s="90">
        <v>0.313</v>
      </c>
      <c r="T30" s="90">
        <v>0.32200000000000001</v>
      </c>
      <c r="U30" s="90">
        <v>0.33100000000000002</v>
      </c>
      <c r="V30" s="90">
        <v>0.34100000000000003</v>
      </c>
      <c r="W30" s="90">
        <v>0.35099999999999998</v>
      </c>
      <c r="X30" s="90">
        <v>0.36199999999999999</v>
      </c>
      <c r="Y30" s="90">
        <v>0.373</v>
      </c>
      <c r="Z30" s="90">
        <v>0.38500000000000001</v>
      </c>
      <c r="AA30" s="90">
        <v>0.39700000000000002</v>
      </c>
      <c r="AB30" s="90">
        <v>0.41</v>
      </c>
      <c r="AC30" s="90">
        <v>0.42399999999999999</v>
      </c>
      <c r="AD30" s="90">
        <v>0.438</v>
      </c>
      <c r="AE30" s="90">
        <v>0.45300000000000001</v>
      </c>
      <c r="AF30" s="90">
        <v>0.47</v>
      </c>
      <c r="AG30" s="90">
        <v>0.48699999999999999</v>
      </c>
      <c r="AH30" s="90">
        <v>0.505</v>
      </c>
      <c r="AI30" s="90">
        <v>0.52400000000000002</v>
      </c>
      <c r="AJ30" s="90">
        <v>0.54500000000000004</v>
      </c>
      <c r="AK30" s="90">
        <v>0.56699999999999995</v>
      </c>
      <c r="AL30" s="90">
        <v>0.59099999999999997</v>
      </c>
      <c r="AM30" s="90">
        <v>0.61599999999999999</v>
      </c>
      <c r="AN30" s="90">
        <v>0.64300000000000002</v>
      </c>
      <c r="AO30" s="90">
        <v>0.67200000000000004</v>
      </c>
      <c r="AP30" s="90">
        <v>0.70399999999999996</v>
      </c>
      <c r="AQ30" s="90">
        <v>0.73799999999999999</v>
      </c>
      <c r="AR30" s="90">
        <v>0.77400000000000002</v>
      </c>
      <c r="AS30" s="90">
        <v>0.81499999999999995</v>
      </c>
      <c r="AT30" s="90">
        <v>0.85799999999999998</v>
      </c>
      <c r="AU30" s="90">
        <v>0.90600000000000003</v>
      </c>
      <c r="AV30" s="90">
        <v>0.95799999999999996</v>
      </c>
    </row>
    <row r="31" spans="1:48" x14ac:dyDescent="0.25">
      <c r="A31" s="88">
        <v>4</v>
      </c>
      <c r="B31" s="90">
        <v>0.20599999999999999</v>
      </c>
      <c r="C31" s="90">
        <v>0.21099999999999999</v>
      </c>
      <c r="D31" s="90">
        <v>0.216</v>
      </c>
      <c r="E31" s="90">
        <v>0.221</v>
      </c>
      <c r="F31" s="90">
        <v>0.22600000000000001</v>
      </c>
      <c r="G31" s="90">
        <v>0.23100000000000001</v>
      </c>
      <c r="H31" s="90">
        <v>0.23699999999999999</v>
      </c>
      <c r="I31" s="90">
        <v>0.24299999999999999</v>
      </c>
      <c r="J31" s="90">
        <v>0.249</v>
      </c>
      <c r="K31" s="90">
        <v>0.255</v>
      </c>
      <c r="L31" s="90">
        <v>0.26100000000000001</v>
      </c>
      <c r="M31" s="90">
        <v>0.26800000000000002</v>
      </c>
      <c r="N31" s="90">
        <v>0.27500000000000002</v>
      </c>
      <c r="O31" s="90">
        <v>0.28199999999999997</v>
      </c>
      <c r="P31" s="90">
        <v>0.28899999999999998</v>
      </c>
      <c r="Q31" s="90">
        <v>0.29699999999999999</v>
      </c>
      <c r="R31" s="90">
        <v>0.30499999999999999</v>
      </c>
      <c r="S31" s="90">
        <v>0.314</v>
      </c>
      <c r="T31" s="90">
        <v>0.32300000000000001</v>
      </c>
      <c r="U31" s="90">
        <v>0.33200000000000002</v>
      </c>
      <c r="V31" s="90">
        <v>0.34200000000000003</v>
      </c>
      <c r="W31" s="90">
        <v>0.35199999999999998</v>
      </c>
      <c r="X31" s="90">
        <v>0.36299999999999999</v>
      </c>
      <c r="Y31" s="90">
        <v>0.374</v>
      </c>
      <c r="Z31" s="90">
        <v>0.38600000000000001</v>
      </c>
      <c r="AA31" s="90">
        <v>0.39800000000000002</v>
      </c>
      <c r="AB31" s="90">
        <v>0.41099999999999998</v>
      </c>
      <c r="AC31" s="90">
        <v>0.42499999999999999</v>
      </c>
      <c r="AD31" s="90">
        <v>0.439</v>
      </c>
      <c r="AE31" s="90">
        <v>0.45500000000000002</v>
      </c>
      <c r="AF31" s="90">
        <v>0.47099999999999997</v>
      </c>
      <c r="AG31" s="90">
        <v>0.48799999999999999</v>
      </c>
      <c r="AH31" s="90">
        <v>0.50700000000000001</v>
      </c>
      <c r="AI31" s="90">
        <v>0.52600000000000002</v>
      </c>
      <c r="AJ31" s="90">
        <v>0.54700000000000004</v>
      </c>
      <c r="AK31" s="90">
        <v>0.56899999999999995</v>
      </c>
      <c r="AL31" s="90">
        <v>0.59299999999999997</v>
      </c>
      <c r="AM31" s="90">
        <v>0.61799999999999999</v>
      </c>
      <c r="AN31" s="90">
        <v>0.64500000000000002</v>
      </c>
      <c r="AO31" s="90">
        <v>0.67500000000000004</v>
      </c>
      <c r="AP31" s="90">
        <v>0.70599999999999996</v>
      </c>
      <c r="AQ31" s="90">
        <v>0.74099999999999999</v>
      </c>
      <c r="AR31" s="90">
        <v>0.77800000000000002</v>
      </c>
      <c r="AS31" s="90">
        <v>0.81799999999999995</v>
      </c>
      <c r="AT31" s="90">
        <v>0.86199999999999999</v>
      </c>
      <c r="AU31" s="90">
        <v>0.91</v>
      </c>
      <c r="AV31" s="90">
        <v>0.96299999999999997</v>
      </c>
    </row>
    <row r="32" spans="1:48" x14ac:dyDescent="0.25">
      <c r="A32" s="88">
        <v>5</v>
      </c>
      <c r="B32" s="90">
        <v>0.20699999999999999</v>
      </c>
      <c r="C32" s="90">
        <v>0.21099999999999999</v>
      </c>
      <c r="D32" s="90">
        <v>0.216</v>
      </c>
      <c r="E32" s="90">
        <v>0.221</v>
      </c>
      <c r="F32" s="90">
        <v>0.22600000000000001</v>
      </c>
      <c r="G32" s="90">
        <v>0.23200000000000001</v>
      </c>
      <c r="H32" s="90">
        <v>0.23699999999999999</v>
      </c>
      <c r="I32" s="90">
        <v>0.24299999999999999</v>
      </c>
      <c r="J32" s="90">
        <v>0.249</v>
      </c>
      <c r="K32" s="90">
        <v>0.255</v>
      </c>
      <c r="L32" s="90">
        <v>0.26200000000000001</v>
      </c>
      <c r="M32" s="90">
        <v>0.26800000000000002</v>
      </c>
      <c r="N32" s="90">
        <v>0.27500000000000002</v>
      </c>
      <c r="O32" s="90">
        <v>0.28299999999999997</v>
      </c>
      <c r="P32" s="90">
        <v>0.28999999999999998</v>
      </c>
      <c r="Q32" s="90">
        <v>0.29799999999999999</v>
      </c>
      <c r="R32" s="90">
        <v>0.30599999999999999</v>
      </c>
      <c r="S32" s="90">
        <v>0.315</v>
      </c>
      <c r="T32" s="90">
        <v>0.32400000000000001</v>
      </c>
      <c r="U32" s="90">
        <v>0.33300000000000002</v>
      </c>
      <c r="V32" s="90">
        <v>0.34300000000000003</v>
      </c>
      <c r="W32" s="90">
        <v>0.35299999999999998</v>
      </c>
      <c r="X32" s="90">
        <v>0.36399999999999999</v>
      </c>
      <c r="Y32" s="90">
        <v>0.375</v>
      </c>
      <c r="Z32" s="90">
        <v>0.38700000000000001</v>
      </c>
      <c r="AA32" s="90">
        <v>0.39900000000000002</v>
      </c>
      <c r="AB32" s="90">
        <v>0.41199999999999998</v>
      </c>
      <c r="AC32" s="90">
        <v>0.42599999999999999</v>
      </c>
      <c r="AD32" s="90">
        <v>0.441</v>
      </c>
      <c r="AE32" s="90">
        <v>0.45600000000000002</v>
      </c>
      <c r="AF32" s="90">
        <v>0.47199999999999998</v>
      </c>
      <c r="AG32" s="90">
        <v>0.49</v>
      </c>
      <c r="AH32" s="90">
        <v>0.50800000000000001</v>
      </c>
      <c r="AI32" s="90">
        <v>0.52800000000000002</v>
      </c>
      <c r="AJ32" s="90">
        <v>0.54900000000000004</v>
      </c>
      <c r="AK32" s="90">
        <v>0.57099999999999995</v>
      </c>
      <c r="AL32" s="90">
        <v>0.59499999999999997</v>
      </c>
      <c r="AM32" s="90">
        <v>0.62</v>
      </c>
      <c r="AN32" s="90">
        <v>0.64800000000000002</v>
      </c>
      <c r="AO32" s="90">
        <v>0.67700000000000005</v>
      </c>
      <c r="AP32" s="90">
        <v>0.70899999999999996</v>
      </c>
      <c r="AQ32" s="90">
        <v>0.74399999999999999</v>
      </c>
      <c r="AR32" s="90">
        <v>0.78100000000000003</v>
      </c>
      <c r="AS32" s="90">
        <v>0.82199999999999995</v>
      </c>
      <c r="AT32" s="90">
        <v>0.86599999999999999</v>
      </c>
      <c r="AU32" s="90">
        <v>0.91400000000000003</v>
      </c>
      <c r="AV32" s="90">
        <v>0.96699999999999997</v>
      </c>
    </row>
    <row r="33" spans="1:48" x14ac:dyDescent="0.25">
      <c r="A33" s="88">
        <v>6</v>
      </c>
      <c r="B33" s="90">
        <v>0.20699999999999999</v>
      </c>
      <c r="C33" s="90">
        <v>0.21199999999999999</v>
      </c>
      <c r="D33" s="90">
        <v>0.217</v>
      </c>
      <c r="E33" s="90">
        <v>0.222</v>
      </c>
      <c r="F33" s="90">
        <v>0.22700000000000001</v>
      </c>
      <c r="G33" s="90">
        <v>0.23200000000000001</v>
      </c>
      <c r="H33" s="90">
        <v>0.23799999999999999</v>
      </c>
      <c r="I33" s="90">
        <v>0.24399999999999999</v>
      </c>
      <c r="J33" s="90">
        <v>0.25</v>
      </c>
      <c r="K33" s="90">
        <v>0.25600000000000001</v>
      </c>
      <c r="L33" s="90">
        <v>0.26200000000000001</v>
      </c>
      <c r="M33" s="90">
        <v>0.26900000000000002</v>
      </c>
      <c r="N33" s="90">
        <v>0.27600000000000002</v>
      </c>
      <c r="O33" s="90">
        <v>0.28299999999999997</v>
      </c>
      <c r="P33" s="90">
        <v>0.29099999999999998</v>
      </c>
      <c r="Q33" s="90">
        <v>0.29899999999999999</v>
      </c>
      <c r="R33" s="90">
        <v>0.307</v>
      </c>
      <c r="S33" s="90">
        <v>0.315</v>
      </c>
      <c r="T33" s="90">
        <v>0.32400000000000001</v>
      </c>
      <c r="U33" s="90">
        <v>0.33400000000000002</v>
      </c>
      <c r="V33" s="90">
        <v>0.34399999999999997</v>
      </c>
      <c r="W33" s="90">
        <v>0.35399999999999998</v>
      </c>
      <c r="X33" s="90">
        <v>0.36499999999999999</v>
      </c>
      <c r="Y33" s="90">
        <v>0.376</v>
      </c>
      <c r="Z33" s="90">
        <v>0.38800000000000001</v>
      </c>
      <c r="AA33" s="90">
        <v>0.4</v>
      </c>
      <c r="AB33" s="90">
        <v>0.41299999999999998</v>
      </c>
      <c r="AC33" s="90">
        <v>0.42699999999999999</v>
      </c>
      <c r="AD33" s="90">
        <v>0.442</v>
      </c>
      <c r="AE33" s="90">
        <v>0.45700000000000002</v>
      </c>
      <c r="AF33" s="90">
        <v>0.47399999999999998</v>
      </c>
      <c r="AG33" s="90">
        <v>0.49099999999999999</v>
      </c>
      <c r="AH33" s="90">
        <v>0.51</v>
      </c>
      <c r="AI33" s="90">
        <v>0.53</v>
      </c>
      <c r="AJ33" s="90">
        <v>0.55100000000000005</v>
      </c>
      <c r="AK33" s="90">
        <v>0.57299999999999995</v>
      </c>
      <c r="AL33" s="90">
        <v>0.59699999999999998</v>
      </c>
      <c r="AM33" s="90">
        <v>0.623</v>
      </c>
      <c r="AN33" s="90">
        <v>0.65</v>
      </c>
      <c r="AO33" s="90">
        <v>0.68</v>
      </c>
      <c r="AP33" s="90">
        <v>0.71199999999999997</v>
      </c>
      <c r="AQ33" s="90">
        <v>0.747</v>
      </c>
      <c r="AR33" s="90">
        <v>0.78400000000000003</v>
      </c>
      <c r="AS33" s="90">
        <v>0.82499999999999996</v>
      </c>
      <c r="AT33" s="90">
        <v>0.87</v>
      </c>
      <c r="AU33" s="90">
        <v>0.91800000000000004</v>
      </c>
      <c r="AV33" s="90">
        <v>0.97199999999999998</v>
      </c>
    </row>
    <row r="34" spans="1:48" x14ac:dyDescent="0.25">
      <c r="A34" s="88">
        <v>7</v>
      </c>
      <c r="B34" s="90">
        <v>0.20699999999999999</v>
      </c>
      <c r="C34" s="90">
        <v>0.21199999999999999</v>
      </c>
      <c r="D34" s="90">
        <v>0.217</v>
      </c>
      <c r="E34" s="90">
        <v>0.222</v>
      </c>
      <c r="F34" s="90">
        <v>0.22700000000000001</v>
      </c>
      <c r="G34" s="90">
        <v>0.23300000000000001</v>
      </c>
      <c r="H34" s="90">
        <v>0.23799999999999999</v>
      </c>
      <c r="I34" s="90">
        <v>0.24399999999999999</v>
      </c>
      <c r="J34" s="90">
        <v>0.25</v>
      </c>
      <c r="K34" s="90">
        <v>0.25600000000000001</v>
      </c>
      <c r="L34" s="90">
        <v>0.26300000000000001</v>
      </c>
      <c r="M34" s="90">
        <v>0.26900000000000002</v>
      </c>
      <c r="N34" s="90">
        <v>0.27600000000000002</v>
      </c>
      <c r="O34" s="90">
        <v>0.28399999999999997</v>
      </c>
      <c r="P34" s="90">
        <v>0.29099999999999998</v>
      </c>
      <c r="Q34" s="90">
        <v>0.29899999999999999</v>
      </c>
      <c r="R34" s="90">
        <v>0.307</v>
      </c>
      <c r="S34" s="90">
        <v>0.316</v>
      </c>
      <c r="T34" s="90">
        <v>0.32500000000000001</v>
      </c>
      <c r="U34" s="90">
        <v>0.33400000000000002</v>
      </c>
      <c r="V34" s="90">
        <v>0.34399999999999997</v>
      </c>
      <c r="W34" s="90">
        <v>0.35499999999999998</v>
      </c>
      <c r="X34" s="90">
        <v>0.36499999999999999</v>
      </c>
      <c r="Y34" s="90">
        <v>0.377</v>
      </c>
      <c r="Z34" s="90">
        <v>0.38900000000000001</v>
      </c>
      <c r="AA34" s="90">
        <v>0.40100000000000002</v>
      </c>
      <c r="AB34" s="90">
        <v>0.41499999999999998</v>
      </c>
      <c r="AC34" s="90">
        <v>0.42799999999999999</v>
      </c>
      <c r="AD34" s="90">
        <v>0.443</v>
      </c>
      <c r="AE34" s="90">
        <v>0.45900000000000002</v>
      </c>
      <c r="AF34" s="90">
        <v>0.47499999999999998</v>
      </c>
      <c r="AG34" s="90">
        <v>0.49299999999999999</v>
      </c>
      <c r="AH34" s="90">
        <v>0.51100000000000001</v>
      </c>
      <c r="AI34" s="90">
        <v>0.53100000000000003</v>
      </c>
      <c r="AJ34" s="90">
        <v>0.55200000000000005</v>
      </c>
      <c r="AK34" s="90">
        <v>0.57499999999999996</v>
      </c>
      <c r="AL34" s="90">
        <v>0.59899999999999998</v>
      </c>
      <c r="AM34" s="90">
        <v>0.625</v>
      </c>
      <c r="AN34" s="90">
        <v>0.65300000000000002</v>
      </c>
      <c r="AO34" s="90">
        <v>0.68200000000000005</v>
      </c>
      <c r="AP34" s="90">
        <v>0.71499999999999997</v>
      </c>
      <c r="AQ34" s="90">
        <v>0.75</v>
      </c>
      <c r="AR34" s="90">
        <v>0.78800000000000003</v>
      </c>
      <c r="AS34" s="90">
        <v>0.82899999999999996</v>
      </c>
      <c r="AT34" s="90">
        <v>0.874</v>
      </c>
      <c r="AU34" s="90">
        <v>0.92300000000000004</v>
      </c>
      <c r="AV34" s="90">
        <v>0.97699999999999998</v>
      </c>
    </row>
    <row r="35" spans="1:48" x14ac:dyDescent="0.25">
      <c r="A35" s="88">
        <v>8</v>
      </c>
      <c r="B35" s="90">
        <v>0.20799999999999999</v>
      </c>
      <c r="C35" s="90">
        <v>0.21299999999999999</v>
      </c>
      <c r="D35" s="90">
        <v>0.217</v>
      </c>
      <c r="E35" s="90">
        <v>0.222</v>
      </c>
      <c r="F35" s="90">
        <v>0.22800000000000001</v>
      </c>
      <c r="G35" s="90">
        <v>0.23300000000000001</v>
      </c>
      <c r="H35" s="90">
        <v>0.23899999999999999</v>
      </c>
      <c r="I35" s="90">
        <v>0.245</v>
      </c>
      <c r="J35" s="90">
        <v>0.251</v>
      </c>
      <c r="K35" s="90">
        <v>0.25700000000000001</v>
      </c>
      <c r="L35" s="90">
        <v>0.26300000000000001</v>
      </c>
      <c r="M35" s="90">
        <v>0.27</v>
      </c>
      <c r="N35" s="90">
        <v>0.27700000000000002</v>
      </c>
      <c r="O35" s="90">
        <v>0.28399999999999997</v>
      </c>
      <c r="P35" s="90">
        <v>0.29199999999999998</v>
      </c>
      <c r="Q35" s="90">
        <v>0.3</v>
      </c>
      <c r="R35" s="90">
        <v>0.308</v>
      </c>
      <c r="S35" s="90">
        <v>0.317</v>
      </c>
      <c r="T35" s="90">
        <v>0.32600000000000001</v>
      </c>
      <c r="U35" s="90">
        <v>0.33500000000000002</v>
      </c>
      <c r="V35" s="90">
        <v>0.34499999999999997</v>
      </c>
      <c r="W35" s="90">
        <v>0.35599999999999998</v>
      </c>
      <c r="X35" s="90">
        <v>0.36599999999999999</v>
      </c>
      <c r="Y35" s="90">
        <v>0.378</v>
      </c>
      <c r="Z35" s="90">
        <v>0.39</v>
      </c>
      <c r="AA35" s="90">
        <v>0.40200000000000002</v>
      </c>
      <c r="AB35" s="90">
        <v>0.41599999999999998</v>
      </c>
      <c r="AC35" s="90">
        <v>0.43</v>
      </c>
      <c r="AD35" s="90">
        <v>0.44400000000000001</v>
      </c>
      <c r="AE35" s="90">
        <v>0.46</v>
      </c>
      <c r="AF35" s="90">
        <v>0.47699999999999998</v>
      </c>
      <c r="AG35" s="90">
        <v>0.49399999999999999</v>
      </c>
      <c r="AH35" s="90">
        <v>0.51300000000000001</v>
      </c>
      <c r="AI35" s="90">
        <v>0.53300000000000003</v>
      </c>
      <c r="AJ35" s="90">
        <v>0.55400000000000005</v>
      </c>
      <c r="AK35" s="90">
        <v>0.57699999999999996</v>
      </c>
      <c r="AL35" s="90">
        <v>0.60099999999999998</v>
      </c>
      <c r="AM35" s="90">
        <v>0.627</v>
      </c>
      <c r="AN35" s="90">
        <v>0.65500000000000003</v>
      </c>
      <c r="AO35" s="90">
        <v>0.68500000000000005</v>
      </c>
      <c r="AP35" s="90">
        <v>0.71799999999999997</v>
      </c>
      <c r="AQ35" s="90">
        <v>0.753</v>
      </c>
      <c r="AR35" s="90">
        <v>0.79100000000000004</v>
      </c>
      <c r="AS35" s="90">
        <v>0.83199999999999996</v>
      </c>
      <c r="AT35" s="90">
        <v>0.877</v>
      </c>
      <c r="AU35" s="90">
        <v>0.92700000000000005</v>
      </c>
      <c r="AV35" s="90">
        <v>0.98099999999999998</v>
      </c>
    </row>
    <row r="36" spans="1:48" x14ac:dyDescent="0.25">
      <c r="A36" s="88">
        <v>9</v>
      </c>
      <c r="B36" s="90">
        <v>0.20799999999999999</v>
      </c>
      <c r="C36" s="90">
        <v>0.21299999999999999</v>
      </c>
      <c r="D36" s="90">
        <v>0.218</v>
      </c>
      <c r="E36" s="90">
        <v>0.223</v>
      </c>
      <c r="F36" s="90">
        <v>0.22800000000000001</v>
      </c>
      <c r="G36" s="90">
        <v>0.23400000000000001</v>
      </c>
      <c r="H36" s="90">
        <v>0.23899999999999999</v>
      </c>
      <c r="I36" s="90">
        <v>0.245</v>
      </c>
      <c r="J36" s="90">
        <v>0.251</v>
      </c>
      <c r="K36" s="90">
        <v>0.25700000000000001</v>
      </c>
      <c r="L36" s="90">
        <v>0.26400000000000001</v>
      </c>
      <c r="M36" s="90">
        <v>0.27100000000000002</v>
      </c>
      <c r="N36" s="90">
        <v>0.27800000000000002</v>
      </c>
      <c r="O36" s="90">
        <v>0.28499999999999998</v>
      </c>
      <c r="P36" s="90">
        <v>0.29299999999999998</v>
      </c>
      <c r="Q36" s="90">
        <v>0.30099999999999999</v>
      </c>
      <c r="R36" s="90">
        <v>0.309</v>
      </c>
      <c r="S36" s="90">
        <v>0.318</v>
      </c>
      <c r="T36" s="90">
        <v>0.32700000000000001</v>
      </c>
      <c r="U36" s="90">
        <v>0.33600000000000002</v>
      </c>
      <c r="V36" s="90">
        <v>0.34599999999999997</v>
      </c>
      <c r="W36" s="90">
        <v>0.35599999999999998</v>
      </c>
      <c r="X36" s="90">
        <v>0.36699999999999999</v>
      </c>
      <c r="Y36" s="90">
        <v>0.379</v>
      </c>
      <c r="Z36" s="90">
        <v>0.39100000000000001</v>
      </c>
      <c r="AA36" s="90">
        <v>0.40300000000000002</v>
      </c>
      <c r="AB36" s="90">
        <v>0.41699999999999998</v>
      </c>
      <c r="AC36" s="90">
        <v>0.43099999999999999</v>
      </c>
      <c r="AD36" s="90">
        <v>0.44600000000000001</v>
      </c>
      <c r="AE36" s="90">
        <v>0.46100000000000002</v>
      </c>
      <c r="AF36" s="90">
        <v>0.47799999999999998</v>
      </c>
      <c r="AG36" s="90">
        <v>0.496</v>
      </c>
      <c r="AH36" s="90">
        <v>0.51500000000000001</v>
      </c>
      <c r="AI36" s="90">
        <v>0.53500000000000003</v>
      </c>
      <c r="AJ36" s="90">
        <v>0.55600000000000005</v>
      </c>
      <c r="AK36" s="90">
        <v>0.57899999999999996</v>
      </c>
      <c r="AL36" s="90">
        <v>0.60299999999999998</v>
      </c>
      <c r="AM36" s="90">
        <v>0.629</v>
      </c>
      <c r="AN36" s="90">
        <v>0.65700000000000003</v>
      </c>
      <c r="AO36" s="90">
        <v>0.68799999999999994</v>
      </c>
      <c r="AP36" s="90">
        <v>0.72</v>
      </c>
      <c r="AQ36" s="90">
        <v>0.75600000000000001</v>
      </c>
      <c r="AR36" s="90">
        <v>0.79400000000000004</v>
      </c>
      <c r="AS36" s="90">
        <v>0.83599999999999997</v>
      </c>
      <c r="AT36" s="90">
        <v>0.88100000000000001</v>
      </c>
      <c r="AU36" s="90">
        <v>0.93100000000000005</v>
      </c>
      <c r="AV36" s="90">
        <v>0.98599999999999999</v>
      </c>
    </row>
    <row r="37" spans="1:48" x14ac:dyDescent="0.25">
      <c r="A37" s="88">
        <v>10</v>
      </c>
      <c r="B37" s="90">
        <v>0.20899999999999999</v>
      </c>
      <c r="C37" s="90">
        <v>0.21299999999999999</v>
      </c>
      <c r="D37" s="90">
        <v>0.218</v>
      </c>
      <c r="E37" s="90">
        <v>0.223</v>
      </c>
      <c r="F37" s="90">
        <v>0.22900000000000001</v>
      </c>
      <c r="G37" s="90">
        <v>0.23400000000000001</v>
      </c>
      <c r="H37" s="90">
        <v>0.24</v>
      </c>
      <c r="I37" s="90">
        <v>0.245</v>
      </c>
      <c r="J37" s="90">
        <v>0.252</v>
      </c>
      <c r="K37" s="90">
        <v>0.25800000000000001</v>
      </c>
      <c r="L37" s="90">
        <v>0.26400000000000001</v>
      </c>
      <c r="M37" s="90">
        <v>0.27100000000000002</v>
      </c>
      <c r="N37" s="90">
        <v>0.27800000000000002</v>
      </c>
      <c r="O37" s="90">
        <v>0.28599999999999998</v>
      </c>
      <c r="P37" s="90">
        <v>0.29299999999999998</v>
      </c>
      <c r="Q37" s="90">
        <v>0.30099999999999999</v>
      </c>
      <c r="R37" s="90">
        <v>0.31</v>
      </c>
      <c r="S37" s="90">
        <v>0.318</v>
      </c>
      <c r="T37" s="90">
        <v>0.32700000000000001</v>
      </c>
      <c r="U37" s="90">
        <v>0.33700000000000002</v>
      </c>
      <c r="V37" s="90">
        <v>0.34699999999999998</v>
      </c>
      <c r="W37" s="90">
        <v>0.35699999999999998</v>
      </c>
      <c r="X37" s="90">
        <v>0.36799999999999999</v>
      </c>
      <c r="Y37" s="90">
        <v>0.38</v>
      </c>
      <c r="Z37" s="90">
        <v>0.39200000000000002</v>
      </c>
      <c r="AA37" s="90">
        <v>0.40500000000000003</v>
      </c>
      <c r="AB37" s="90">
        <v>0.41799999999999998</v>
      </c>
      <c r="AC37" s="90">
        <v>0.432</v>
      </c>
      <c r="AD37" s="90">
        <v>0.44700000000000001</v>
      </c>
      <c r="AE37" s="90">
        <v>0.46300000000000002</v>
      </c>
      <c r="AF37" s="90">
        <v>0.48</v>
      </c>
      <c r="AG37" s="90">
        <v>0.497</v>
      </c>
      <c r="AH37" s="90">
        <v>0.51600000000000001</v>
      </c>
      <c r="AI37" s="90">
        <v>0.53600000000000003</v>
      </c>
      <c r="AJ37" s="90">
        <v>0.55800000000000005</v>
      </c>
      <c r="AK37" s="90">
        <v>0.58099999999999996</v>
      </c>
      <c r="AL37" s="90">
        <v>0.60499999999999998</v>
      </c>
      <c r="AM37" s="90">
        <v>0.63100000000000001</v>
      </c>
      <c r="AN37" s="90">
        <v>0.66</v>
      </c>
      <c r="AO37" s="90">
        <v>0.69</v>
      </c>
      <c r="AP37" s="90">
        <v>0.72299999999999998</v>
      </c>
      <c r="AQ37" s="90">
        <v>0.75900000000000001</v>
      </c>
      <c r="AR37" s="90">
        <v>0.79700000000000004</v>
      </c>
      <c r="AS37" s="90">
        <v>0.83899999999999997</v>
      </c>
      <c r="AT37" s="90">
        <v>0.88500000000000001</v>
      </c>
      <c r="AU37" s="90">
        <v>0.93500000000000005</v>
      </c>
      <c r="AV37" s="90">
        <v>0.99099999999999999</v>
      </c>
    </row>
    <row r="38" spans="1:48" x14ac:dyDescent="0.25">
      <c r="A38" s="88">
        <v>11</v>
      </c>
      <c r="B38" s="90">
        <v>0.20899999999999999</v>
      </c>
      <c r="C38" s="90">
        <v>0.214</v>
      </c>
      <c r="D38" s="90">
        <v>0.219</v>
      </c>
      <c r="E38" s="90">
        <v>0.224</v>
      </c>
      <c r="F38" s="90">
        <v>0.22900000000000001</v>
      </c>
      <c r="G38" s="90">
        <v>0.23400000000000001</v>
      </c>
      <c r="H38" s="90">
        <v>0.24</v>
      </c>
      <c r="I38" s="90">
        <v>0.246</v>
      </c>
      <c r="J38" s="90">
        <v>0.252</v>
      </c>
      <c r="K38" s="90">
        <v>0.25800000000000001</v>
      </c>
      <c r="L38" s="90">
        <v>0.26500000000000001</v>
      </c>
      <c r="M38" s="90">
        <v>0.27200000000000002</v>
      </c>
      <c r="N38" s="90">
        <v>0.27900000000000003</v>
      </c>
      <c r="O38" s="90">
        <v>0.28599999999999998</v>
      </c>
      <c r="P38" s="90">
        <v>0.29399999999999998</v>
      </c>
      <c r="Q38" s="90">
        <v>0.30199999999999999</v>
      </c>
      <c r="R38" s="90">
        <v>0.31</v>
      </c>
      <c r="S38" s="90">
        <v>0.31900000000000001</v>
      </c>
      <c r="T38" s="90">
        <v>0.32800000000000001</v>
      </c>
      <c r="U38" s="90">
        <v>0.33800000000000002</v>
      </c>
      <c r="V38" s="90">
        <v>0.34799999999999998</v>
      </c>
      <c r="W38" s="90">
        <v>0.35799999999999998</v>
      </c>
      <c r="X38" s="90">
        <v>0.36899999999999999</v>
      </c>
      <c r="Y38" s="90">
        <v>0.38100000000000001</v>
      </c>
      <c r="Z38" s="90">
        <v>0.39300000000000002</v>
      </c>
      <c r="AA38" s="90">
        <v>0.40600000000000003</v>
      </c>
      <c r="AB38" s="90">
        <v>0.41899999999999998</v>
      </c>
      <c r="AC38" s="90">
        <v>0.433</v>
      </c>
      <c r="AD38" s="90">
        <v>0.44800000000000001</v>
      </c>
      <c r="AE38" s="90">
        <v>0.46400000000000002</v>
      </c>
      <c r="AF38" s="90">
        <v>0.48099999999999998</v>
      </c>
      <c r="AG38" s="90">
        <v>0.499</v>
      </c>
      <c r="AH38" s="90">
        <v>0.51800000000000002</v>
      </c>
      <c r="AI38" s="90">
        <v>0.53800000000000003</v>
      </c>
      <c r="AJ38" s="90">
        <v>0.56000000000000005</v>
      </c>
      <c r="AK38" s="90">
        <v>0.58299999999999996</v>
      </c>
      <c r="AL38" s="90">
        <v>0.60699999999999998</v>
      </c>
      <c r="AM38" s="90">
        <v>0.63400000000000001</v>
      </c>
      <c r="AN38" s="90">
        <v>0.66200000000000003</v>
      </c>
      <c r="AO38" s="90">
        <v>0.69299999999999995</v>
      </c>
      <c r="AP38" s="90">
        <v>0.72599999999999998</v>
      </c>
      <c r="AQ38" s="90">
        <v>0.76200000000000001</v>
      </c>
      <c r="AR38" s="90">
        <v>0.80100000000000005</v>
      </c>
      <c r="AS38" s="90">
        <v>0.84299999999999997</v>
      </c>
      <c r="AT38" s="90">
        <v>0.88900000000000001</v>
      </c>
      <c r="AU38" s="90">
        <v>0.94</v>
      </c>
      <c r="AV38" s="90">
        <v>0.995</v>
      </c>
    </row>
    <row r="39" spans="1:48" x14ac:dyDescent="0.25">
      <c r="A39"/>
      <c r="B39"/>
    </row>
    <row r="40" spans="1:48" x14ac:dyDescent="0.25">
      <c r="A40"/>
      <c r="B40"/>
    </row>
    <row r="41" spans="1:48" x14ac:dyDescent="0.25">
      <c r="A41"/>
      <c r="B41"/>
    </row>
    <row r="42" spans="1:48" x14ac:dyDescent="0.25">
      <c r="A42"/>
      <c r="B42"/>
    </row>
    <row r="43" spans="1:48" x14ac:dyDescent="0.25">
      <c r="A43"/>
      <c r="B43"/>
    </row>
    <row r="44" spans="1:48" ht="39.6" customHeight="1" x14ac:dyDescent="0.25">
      <c r="A44"/>
      <c r="B44"/>
    </row>
    <row r="45" spans="1:48" x14ac:dyDescent="0.25">
      <c r="A45"/>
      <c r="B45"/>
    </row>
    <row r="46" spans="1:48" ht="27.6" customHeight="1" x14ac:dyDescent="0.25">
      <c r="A46"/>
      <c r="B46"/>
    </row>
    <row r="47" spans="1:48" x14ac:dyDescent="0.25">
      <c r="A47"/>
      <c r="B47"/>
    </row>
    <row r="48" spans="1:48"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a1iH6HTHr5GZV7zLUbohZXehjpxSnV7oS/cZqTLwrpIJR3jcPE9Prj9VWfIcXEVg6Ii55t85x6E7q0gB0U4UaA==" saltValue="YDOYhBOjY6wLXNRuIhKUYg==" spinCount="100000" sheet="1" objects="1" scenarios="1"/>
  <conditionalFormatting sqref="A6:A21">
    <cfRule type="expression" dxfId="381" priority="3" stopIfTrue="1">
      <formula>MOD(ROW(),2)=0</formula>
    </cfRule>
    <cfRule type="expression" dxfId="380" priority="4" stopIfTrue="1">
      <formula>MOD(ROW(),2)&lt;&gt;0</formula>
    </cfRule>
  </conditionalFormatting>
  <conditionalFormatting sqref="A26:A38">
    <cfRule type="expression" dxfId="379" priority="9" stopIfTrue="1">
      <formula>MOD(ROW(),2)=0</formula>
    </cfRule>
    <cfRule type="expression" dxfId="378" priority="10" stopIfTrue="1">
      <formula>MOD(ROW(),2)&lt;&gt;0</formula>
    </cfRule>
  </conditionalFormatting>
  <conditionalFormatting sqref="B17:C21">
    <cfRule type="expression" dxfId="377" priority="7" stopIfTrue="1">
      <formula>MOD(ROW(),2)=0</formula>
    </cfRule>
    <cfRule type="expression" dxfId="376" priority="8" stopIfTrue="1">
      <formula>MOD(ROW(),2)&lt;&gt;0</formula>
    </cfRule>
  </conditionalFormatting>
  <conditionalFormatting sqref="B6:AV21">
    <cfRule type="expression" dxfId="375" priority="27" stopIfTrue="1">
      <formula>MOD(ROW(),2)=0</formula>
    </cfRule>
    <cfRule type="expression" dxfId="374" priority="28" stopIfTrue="1">
      <formula>MOD(ROW(),2)&lt;&gt;0</formula>
    </cfRule>
  </conditionalFormatting>
  <conditionalFormatting sqref="B26:AV38">
    <cfRule type="expression" dxfId="373" priority="21" stopIfTrue="1">
      <formula>MOD(ROW(),2)=0</formula>
    </cfRule>
    <cfRule type="expression" dxfId="372" priority="2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16"/>
  <dimension ref="A1:AQ65"/>
  <sheetViews>
    <sheetView showGridLines="0" zoomScale="85" zoomScaleNormal="85" workbookViewId="0">
      <selection activeCell="A4" sqref="A4"/>
    </sheetView>
  </sheetViews>
  <sheetFormatPr defaultColWidth="10" defaultRowHeight="13.2" x14ac:dyDescent="0.25"/>
  <cols>
    <col min="1" max="1" width="31.88671875" style="27" customWidth="1"/>
    <col min="2" max="43" width="22.88671875" style="27" customWidth="1"/>
    <col min="44" max="16384" width="10" style="27"/>
  </cols>
  <sheetData>
    <row r="1" spans="1:43" ht="21" x14ac:dyDescent="0.4">
      <c r="A1" s="39" t="s">
        <v>0</v>
      </c>
      <c r="B1" s="40"/>
      <c r="C1" s="40"/>
      <c r="D1" s="40"/>
      <c r="E1" s="40"/>
      <c r="F1" s="40"/>
      <c r="G1" s="40"/>
      <c r="H1" s="40"/>
      <c r="I1" s="40"/>
    </row>
    <row r="2" spans="1:43" ht="15.6" x14ac:dyDescent="0.3">
      <c r="A2" s="41" t="str">
        <f>IF(title="&gt; Enter workbook title here","Enter workbook title in Cover sheet",title)</f>
        <v>Fire_S - Consolidated Factor Spreadsheet</v>
      </c>
      <c r="B2" s="42"/>
      <c r="C2" s="42"/>
      <c r="D2" s="42"/>
      <c r="E2" s="42"/>
      <c r="F2" s="42"/>
      <c r="G2" s="42"/>
      <c r="H2" s="42"/>
      <c r="I2" s="42"/>
    </row>
    <row r="3" spans="1:43" ht="15.6" x14ac:dyDescent="0.3">
      <c r="A3" s="43" t="str">
        <f>TABLE_FACTOR_TYPE_1&amp;" - x-"&amp;TABLE_SERIES_NUMBER_1</f>
        <v>Pension Debit - x-329</v>
      </c>
      <c r="B3" s="42"/>
      <c r="C3" s="42"/>
      <c r="D3" s="42"/>
      <c r="E3" s="42"/>
      <c r="F3" s="42"/>
      <c r="G3" s="42"/>
      <c r="H3" s="42"/>
      <c r="I3" s="42"/>
    </row>
    <row r="4" spans="1:43" x14ac:dyDescent="0.25">
      <c r="A4" s="44"/>
    </row>
    <row r="6" spans="1:43" x14ac:dyDescent="0.25">
      <c r="A6" s="75" t="s">
        <v>484</v>
      </c>
      <c r="B6" s="162" t="s">
        <v>485</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row>
    <row r="7" spans="1:43" x14ac:dyDescent="0.25">
      <c r="A7" s="76" t="s">
        <v>486</v>
      </c>
      <c r="B7" s="162" t="s">
        <v>81</v>
      </c>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row>
    <row r="8" spans="1:43" x14ac:dyDescent="0.25">
      <c r="A8" s="76" t="s">
        <v>282</v>
      </c>
      <c r="B8" s="162">
        <v>2006</v>
      </c>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row>
    <row r="9" spans="1:43" x14ac:dyDescent="0.25">
      <c r="A9" s="76" t="s">
        <v>283</v>
      </c>
      <c r="B9" s="162" t="s">
        <v>347</v>
      </c>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row>
    <row r="10" spans="1:43" x14ac:dyDescent="0.25">
      <c r="A10" s="76" t="s">
        <v>6</v>
      </c>
      <c r="B10" s="162" t="s">
        <v>372</v>
      </c>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row>
    <row r="11" spans="1:43" x14ac:dyDescent="0.25">
      <c r="A11" s="76" t="s">
        <v>284</v>
      </c>
      <c r="B11" s="162" t="s">
        <v>349</v>
      </c>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row>
    <row r="12" spans="1:43" x14ac:dyDescent="0.25">
      <c r="A12" s="76" t="s">
        <v>285</v>
      </c>
      <c r="B12" s="162" t="s">
        <v>360</v>
      </c>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row>
    <row r="13" spans="1:43" hidden="1" x14ac:dyDescent="0.25">
      <c r="A13" s="76" t="s">
        <v>493</v>
      </c>
      <c r="B13" s="162">
        <v>1</v>
      </c>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row>
    <row r="14" spans="1:43" hidden="1" x14ac:dyDescent="0.25">
      <c r="A14" s="76" t="s">
        <v>287</v>
      </c>
      <c r="B14" s="162">
        <v>329</v>
      </c>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row>
    <row r="15" spans="1:43" x14ac:dyDescent="0.25">
      <c r="A15" s="76" t="s">
        <v>496</v>
      </c>
      <c r="B15" s="162" t="s">
        <v>373</v>
      </c>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row>
    <row r="16" spans="1:43" x14ac:dyDescent="0.25">
      <c r="A16" s="76" t="s">
        <v>288</v>
      </c>
      <c r="B16" s="162" t="s">
        <v>374</v>
      </c>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row>
    <row r="17" spans="1:43" x14ac:dyDescent="0.25">
      <c r="A17" s="76" t="s">
        <v>568</v>
      </c>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row>
    <row r="18" spans="1:43" x14ac:dyDescent="0.25">
      <c r="A18" s="76" t="s">
        <v>500</v>
      </c>
      <c r="B18" s="164">
        <v>45070</v>
      </c>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row>
    <row r="19" spans="1:43" x14ac:dyDescent="0.25">
      <c r="A19" s="76" t="s">
        <v>290</v>
      </c>
      <c r="B19" s="164">
        <v>45014</v>
      </c>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row>
    <row r="20" spans="1:43" x14ac:dyDescent="0.25">
      <c r="A20" s="76" t="s">
        <v>291</v>
      </c>
      <c r="B20" s="162" t="s">
        <v>298</v>
      </c>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row>
    <row r="21" spans="1:43" x14ac:dyDescent="0.25">
      <c r="A21" s="150" t="s">
        <v>569</v>
      </c>
      <c r="B21" s="162" t="s">
        <v>297</v>
      </c>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row>
    <row r="23" spans="1:43" x14ac:dyDescent="0.25">
      <c r="B23" s="91" t="str">
        <f>HYPERLINK("#'Factor List'!A1","Back to Factor List")</f>
        <v>Back to Factor List</v>
      </c>
    </row>
    <row r="24" spans="1:43" x14ac:dyDescent="0.25">
      <c r="B24" s="91" t="str">
        <f>HYPERLINK("#'Assumptions'!A1","Assumptions")</f>
        <v>Assumptions</v>
      </c>
    </row>
    <row r="26" spans="1:43" x14ac:dyDescent="0.25">
      <c r="A26" s="87" t="s">
        <v>611</v>
      </c>
      <c r="B26" s="87">
        <v>18</v>
      </c>
      <c r="C26" s="87">
        <v>19</v>
      </c>
      <c r="D26" s="87">
        <v>20</v>
      </c>
      <c r="E26" s="87">
        <v>21</v>
      </c>
      <c r="F26" s="87">
        <v>22</v>
      </c>
      <c r="G26" s="87">
        <v>23</v>
      </c>
      <c r="H26" s="87">
        <v>24</v>
      </c>
      <c r="I26" s="87">
        <v>25</v>
      </c>
      <c r="J26" s="87">
        <v>26</v>
      </c>
      <c r="K26" s="87">
        <v>27</v>
      </c>
      <c r="L26" s="87">
        <v>28</v>
      </c>
      <c r="M26" s="87">
        <v>29</v>
      </c>
      <c r="N26" s="87">
        <v>30</v>
      </c>
      <c r="O26" s="87">
        <v>31</v>
      </c>
      <c r="P26" s="87">
        <v>32</v>
      </c>
      <c r="Q26" s="87">
        <v>33</v>
      </c>
      <c r="R26" s="87">
        <v>34</v>
      </c>
      <c r="S26" s="87">
        <v>35</v>
      </c>
      <c r="T26" s="87">
        <v>36</v>
      </c>
      <c r="U26" s="87">
        <v>37</v>
      </c>
      <c r="V26" s="87">
        <v>38</v>
      </c>
      <c r="W26" s="87">
        <v>39</v>
      </c>
      <c r="X26" s="87">
        <v>40</v>
      </c>
      <c r="Y26" s="87">
        <v>41</v>
      </c>
      <c r="Z26" s="87">
        <v>42</v>
      </c>
      <c r="AA26" s="87">
        <v>43</v>
      </c>
      <c r="AB26" s="87">
        <v>44</v>
      </c>
      <c r="AC26" s="87">
        <v>45</v>
      </c>
      <c r="AD26" s="87">
        <v>46</v>
      </c>
      <c r="AE26" s="87">
        <v>47</v>
      </c>
      <c r="AF26" s="87">
        <v>48</v>
      </c>
      <c r="AG26" s="87">
        <v>49</v>
      </c>
      <c r="AH26" s="87">
        <v>50</v>
      </c>
      <c r="AI26" s="87">
        <v>51</v>
      </c>
      <c r="AJ26" s="87">
        <v>52</v>
      </c>
      <c r="AK26" s="87">
        <v>53</v>
      </c>
      <c r="AL26" s="87">
        <v>54</v>
      </c>
      <c r="AM26" s="87">
        <v>55</v>
      </c>
      <c r="AN26" s="87">
        <v>56</v>
      </c>
      <c r="AO26" s="87">
        <v>57</v>
      </c>
      <c r="AP26" s="87">
        <v>58</v>
      </c>
      <c r="AQ26" s="87">
        <v>59</v>
      </c>
    </row>
    <row r="27" spans="1:43" x14ac:dyDescent="0.25">
      <c r="A27" s="88">
        <v>0</v>
      </c>
      <c r="B27" s="90">
        <v>0.26</v>
      </c>
      <c r="C27" s="90">
        <v>0.26600000000000001</v>
      </c>
      <c r="D27" s="90">
        <v>0.27200000000000002</v>
      </c>
      <c r="E27" s="90">
        <v>0.27900000000000003</v>
      </c>
      <c r="F27" s="90">
        <v>0.28499999999999998</v>
      </c>
      <c r="G27" s="90">
        <v>0.29199999999999998</v>
      </c>
      <c r="H27" s="90">
        <v>0.29899999999999999</v>
      </c>
      <c r="I27" s="90">
        <v>0.307</v>
      </c>
      <c r="J27" s="90">
        <v>0.314</v>
      </c>
      <c r="K27" s="90">
        <v>0.32200000000000001</v>
      </c>
      <c r="L27" s="90">
        <v>0.33100000000000002</v>
      </c>
      <c r="M27" s="90">
        <v>0.33900000000000002</v>
      </c>
      <c r="N27" s="90">
        <v>0.34799999999999998</v>
      </c>
      <c r="O27" s="90">
        <v>0.35799999999999998</v>
      </c>
      <c r="P27" s="90">
        <v>0.36699999999999999</v>
      </c>
      <c r="Q27" s="90">
        <v>0.378</v>
      </c>
      <c r="R27" s="90">
        <v>0.38800000000000001</v>
      </c>
      <c r="S27" s="90">
        <v>0.39900000000000002</v>
      </c>
      <c r="T27" s="90">
        <v>0.41099999999999998</v>
      </c>
      <c r="U27" s="90">
        <v>0.42299999999999999</v>
      </c>
      <c r="V27" s="90">
        <v>0.435</v>
      </c>
      <c r="W27" s="90">
        <v>0.44900000000000001</v>
      </c>
      <c r="X27" s="90">
        <v>0.46200000000000002</v>
      </c>
      <c r="Y27" s="90">
        <v>0.47699999999999998</v>
      </c>
      <c r="Z27" s="90">
        <v>0.49199999999999999</v>
      </c>
      <c r="AA27" s="90">
        <v>0.50800000000000001</v>
      </c>
      <c r="AB27" s="90">
        <v>0.52500000000000002</v>
      </c>
      <c r="AC27" s="90">
        <v>0.54300000000000004</v>
      </c>
      <c r="AD27" s="90">
        <v>0.56200000000000006</v>
      </c>
      <c r="AE27" s="90">
        <v>0.58199999999999996</v>
      </c>
      <c r="AF27" s="90">
        <v>0.60299999999999998</v>
      </c>
      <c r="AG27" s="90">
        <v>0.625</v>
      </c>
      <c r="AH27" s="90">
        <v>0.64900000000000002</v>
      </c>
      <c r="AI27" s="90">
        <v>0.67400000000000004</v>
      </c>
      <c r="AJ27" s="90">
        <v>0.70099999999999996</v>
      </c>
      <c r="AK27" s="90">
        <v>0.73</v>
      </c>
      <c r="AL27" s="90">
        <v>0.76100000000000001</v>
      </c>
      <c r="AM27" s="90">
        <v>0.79400000000000004</v>
      </c>
      <c r="AN27" s="90">
        <v>0.82899999999999996</v>
      </c>
      <c r="AO27" s="90">
        <v>0.86699999999999999</v>
      </c>
      <c r="AP27" s="90">
        <v>0.90800000000000003</v>
      </c>
      <c r="AQ27" s="90">
        <v>0.95199999999999996</v>
      </c>
    </row>
    <row r="28" spans="1:43" x14ac:dyDescent="0.25">
      <c r="A28" s="88">
        <v>1</v>
      </c>
      <c r="B28" s="90">
        <v>0.26</v>
      </c>
      <c r="C28" s="90">
        <v>0.26600000000000001</v>
      </c>
      <c r="D28" s="90">
        <v>0.27300000000000002</v>
      </c>
      <c r="E28" s="90">
        <v>0.27900000000000003</v>
      </c>
      <c r="F28" s="90">
        <v>0.28599999999999998</v>
      </c>
      <c r="G28" s="90">
        <v>0.29299999999999998</v>
      </c>
      <c r="H28" s="90">
        <v>0.3</v>
      </c>
      <c r="I28" s="90">
        <v>0.307</v>
      </c>
      <c r="J28" s="90">
        <v>0.315</v>
      </c>
      <c r="K28" s="90">
        <v>0.32300000000000001</v>
      </c>
      <c r="L28" s="90">
        <v>0.33100000000000002</v>
      </c>
      <c r="M28" s="90">
        <v>0.34</v>
      </c>
      <c r="N28" s="90">
        <v>0.34899999999999998</v>
      </c>
      <c r="O28" s="90">
        <v>0.35799999999999998</v>
      </c>
      <c r="P28" s="90">
        <v>0.36799999999999999</v>
      </c>
      <c r="Q28" s="90">
        <v>0.378</v>
      </c>
      <c r="R28" s="90">
        <v>0.38900000000000001</v>
      </c>
      <c r="S28" s="90">
        <v>0.4</v>
      </c>
      <c r="T28" s="90">
        <v>0.41199999999999998</v>
      </c>
      <c r="U28" s="90">
        <v>0.42399999999999999</v>
      </c>
      <c r="V28" s="90">
        <v>0.436</v>
      </c>
      <c r="W28" s="90">
        <v>0.45</v>
      </c>
      <c r="X28" s="90">
        <v>0.46400000000000002</v>
      </c>
      <c r="Y28" s="90">
        <v>0.47799999999999998</v>
      </c>
      <c r="Z28" s="90">
        <v>0.49399999999999999</v>
      </c>
      <c r="AA28" s="90">
        <v>0.51</v>
      </c>
      <c r="AB28" s="90">
        <v>0.52700000000000002</v>
      </c>
      <c r="AC28" s="90">
        <v>0.54500000000000004</v>
      </c>
      <c r="AD28" s="90">
        <v>0.56399999999999995</v>
      </c>
      <c r="AE28" s="90">
        <v>0.58399999999999996</v>
      </c>
      <c r="AF28" s="90">
        <v>0.60499999999999998</v>
      </c>
      <c r="AG28" s="90">
        <v>0.627</v>
      </c>
      <c r="AH28" s="90">
        <v>0.65100000000000002</v>
      </c>
      <c r="AI28" s="90">
        <v>0.67700000000000005</v>
      </c>
      <c r="AJ28" s="90">
        <v>0.70399999999999996</v>
      </c>
      <c r="AK28" s="90">
        <v>0.73299999999999998</v>
      </c>
      <c r="AL28" s="90">
        <v>0.76300000000000001</v>
      </c>
      <c r="AM28" s="90">
        <v>0.79700000000000004</v>
      </c>
      <c r="AN28" s="90">
        <v>0.83199999999999996</v>
      </c>
      <c r="AO28" s="90">
        <v>0.87</v>
      </c>
      <c r="AP28" s="90">
        <v>0.91200000000000003</v>
      </c>
      <c r="AQ28" s="90">
        <v>0.95599999999999996</v>
      </c>
    </row>
    <row r="29" spans="1:43" x14ac:dyDescent="0.25">
      <c r="A29" s="88">
        <v>2</v>
      </c>
      <c r="B29" s="90">
        <v>0.26100000000000001</v>
      </c>
      <c r="C29" s="90">
        <v>0.26700000000000002</v>
      </c>
      <c r="D29" s="90">
        <v>0.27300000000000002</v>
      </c>
      <c r="E29" s="90">
        <v>0.28000000000000003</v>
      </c>
      <c r="F29" s="90">
        <v>0.28599999999999998</v>
      </c>
      <c r="G29" s="90">
        <v>0.29299999999999998</v>
      </c>
      <c r="H29" s="90">
        <v>0.30099999999999999</v>
      </c>
      <c r="I29" s="90">
        <v>0.308</v>
      </c>
      <c r="J29" s="90">
        <v>0.316</v>
      </c>
      <c r="K29" s="90">
        <v>0.32400000000000001</v>
      </c>
      <c r="L29" s="90">
        <v>0.33200000000000002</v>
      </c>
      <c r="M29" s="90">
        <v>0.34100000000000003</v>
      </c>
      <c r="N29" s="90">
        <v>0.35</v>
      </c>
      <c r="O29" s="90">
        <v>0.35899999999999999</v>
      </c>
      <c r="P29" s="90">
        <v>0.36899999999999999</v>
      </c>
      <c r="Q29" s="90">
        <v>0.379</v>
      </c>
      <c r="R29" s="90">
        <v>0.39</v>
      </c>
      <c r="S29" s="90">
        <v>0.40100000000000002</v>
      </c>
      <c r="T29" s="90">
        <v>0.41299999999999998</v>
      </c>
      <c r="U29" s="90">
        <v>0.42499999999999999</v>
      </c>
      <c r="V29" s="90">
        <v>0.438</v>
      </c>
      <c r="W29" s="90">
        <v>0.45100000000000001</v>
      </c>
      <c r="X29" s="90">
        <v>0.46500000000000002</v>
      </c>
      <c r="Y29" s="90">
        <v>0.48</v>
      </c>
      <c r="Z29" s="90">
        <v>0.495</v>
      </c>
      <c r="AA29" s="90">
        <v>0.51100000000000001</v>
      </c>
      <c r="AB29" s="90">
        <v>0.52800000000000002</v>
      </c>
      <c r="AC29" s="90">
        <v>0.54600000000000004</v>
      </c>
      <c r="AD29" s="90">
        <v>0.56499999999999995</v>
      </c>
      <c r="AE29" s="90">
        <v>0.58499999999999996</v>
      </c>
      <c r="AF29" s="90">
        <v>0.60699999999999998</v>
      </c>
      <c r="AG29" s="90">
        <v>0.629</v>
      </c>
      <c r="AH29" s="90">
        <v>0.65300000000000002</v>
      </c>
      <c r="AI29" s="90">
        <v>0.67900000000000005</v>
      </c>
      <c r="AJ29" s="90">
        <v>0.70599999999999996</v>
      </c>
      <c r="AK29" s="90">
        <v>0.73499999999999999</v>
      </c>
      <c r="AL29" s="90">
        <v>0.76600000000000001</v>
      </c>
      <c r="AM29" s="90">
        <v>0.8</v>
      </c>
      <c r="AN29" s="90">
        <v>0.83499999999999996</v>
      </c>
      <c r="AO29" s="90">
        <v>0.874</v>
      </c>
      <c r="AP29" s="90">
        <v>0.91500000000000004</v>
      </c>
      <c r="AQ29" s="90">
        <v>0.96</v>
      </c>
    </row>
    <row r="30" spans="1:43" x14ac:dyDescent="0.25">
      <c r="A30" s="88">
        <v>3</v>
      </c>
      <c r="B30" s="90">
        <v>0.26100000000000001</v>
      </c>
      <c r="C30" s="90">
        <v>0.26700000000000002</v>
      </c>
      <c r="D30" s="90">
        <v>0.27400000000000002</v>
      </c>
      <c r="E30" s="90">
        <v>0.28000000000000003</v>
      </c>
      <c r="F30" s="90">
        <v>0.28699999999999998</v>
      </c>
      <c r="G30" s="90">
        <v>0.29399999999999998</v>
      </c>
      <c r="H30" s="90">
        <v>0.30099999999999999</v>
      </c>
      <c r="I30" s="90">
        <v>0.309</v>
      </c>
      <c r="J30" s="90">
        <v>0.316</v>
      </c>
      <c r="K30" s="90">
        <v>0.32500000000000001</v>
      </c>
      <c r="L30" s="90">
        <v>0.33300000000000002</v>
      </c>
      <c r="M30" s="90">
        <v>0.34200000000000003</v>
      </c>
      <c r="N30" s="90">
        <v>0.35099999999999998</v>
      </c>
      <c r="O30" s="90">
        <v>0.36</v>
      </c>
      <c r="P30" s="90">
        <v>0.37</v>
      </c>
      <c r="Q30" s="90">
        <v>0.38</v>
      </c>
      <c r="R30" s="90">
        <v>0.39100000000000001</v>
      </c>
      <c r="S30" s="90">
        <v>0.40200000000000002</v>
      </c>
      <c r="T30" s="90">
        <v>0.41399999999999998</v>
      </c>
      <c r="U30" s="90">
        <v>0.42599999999999999</v>
      </c>
      <c r="V30" s="90">
        <v>0.439</v>
      </c>
      <c r="W30" s="90">
        <v>0.45200000000000001</v>
      </c>
      <c r="X30" s="90">
        <v>0.46600000000000003</v>
      </c>
      <c r="Y30" s="90">
        <v>0.48099999999999998</v>
      </c>
      <c r="Z30" s="90">
        <v>0.496</v>
      </c>
      <c r="AA30" s="90">
        <v>0.51300000000000001</v>
      </c>
      <c r="AB30" s="90">
        <v>0.53</v>
      </c>
      <c r="AC30" s="90">
        <v>0.54800000000000004</v>
      </c>
      <c r="AD30" s="90">
        <v>0.56699999999999995</v>
      </c>
      <c r="AE30" s="90">
        <v>0.58699999999999997</v>
      </c>
      <c r="AF30" s="90">
        <v>0.60899999999999999</v>
      </c>
      <c r="AG30" s="90">
        <v>0.63100000000000001</v>
      </c>
      <c r="AH30" s="90">
        <v>0.65500000000000003</v>
      </c>
      <c r="AI30" s="90">
        <v>0.68100000000000005</v>
      </c>
      <c r="AJ30" s="90">
        <v>0.70899999999999996</v>
      </c>
      <c r="AK30" s="90">
        <v>0.73799999999999999</v>
      </c>
      <c r="AL30" s="90">
        <v>0.76900000000000002</v>
      </c>
      <c r="AM30" s="90">
        <v>0.80200000000000005</v>
      </c>
      <c r="AN30" s="90">
        <v>0.83799999999999997</v>
      </c>
      <c r="AO30" s="90">
        <v>0.877</v>
      </c>
      <c r="AP30" s="90">
        <v>0.91900000000000004</v>
      </c>
      <c r="AQ30" s="90">
        <v>0.96399999999999997</v>
      </c>
    </row>
    <row r="31" spans="1:43" x14ac:dyDescent="0.25">
      <c r="A31" s="88">
        <v>4</v>
      </c>
      <c r="B31" s="90">
        <v>0.26200000000000001</v>
      </c>
      <c r="C31" s="90">
        <v>0.26800000000000002</v>
      </c>
      <c r="D31" s="90">
        <v>0.27400000000000002</v>
      </c>
      <c r="E31" s="90">
        <v>0.28100000000000003</v>
      </c>
      <c r="F31" s="90">
        <v>0.28799999999999998</v>
      </c>
      <c r="G31" s="90">
        <v>0.29499999999999998</v>
      </c>
      <c r="H31" s="90">
        <v>0.30199999999999999</v>
      </c>
      <c r="I31" s="90">
        <v>0.309</v>
      </c>
      <c r="J31" s="90">
        <v>0.317</v>
      </c>
      <c r="K31" s="90">
        <v>0.32500000000000001</v>
      </c>
      <c r="L31" s="90">
        <v>0.33400000000000002</v>
      </c>
      <c r="M31" s="90">
        <v>0.34200000000000003</v>
      </c>
      <c r="N31" s="90">
        <v>0.35099999999999998</v>
      </c>
      <c r="O31" s="90">
        <v>0.36099999999999999</v>
      </c>
      <c r="P31" s="90">
        <v>0.371</v>
      </c>
      <c r="Q31" s="90">
        <v>0.38100000000000001</v>
      </c>
      <c r="R31" s="90">
        <v>0.39200000000000002</v>
      </c>
      <c r="S31" s="90">
        <v>0.40300000000000002</v>
      </c>
      <c r="T31" s="90">
        <v>0.41499999999999998</v>
      </c>
      <c r="U31" s="90">
        <v>0.42699999999999999</v>
      </c>
      <c r="V31" s="90">
        <v>0.44</v>
      </c>
      <c r="W31" s="90">
        <v>0.45300000000000001</v>
      </c>
      <c r="X31" s="90">
        <v>0.46700000000000003</v>
      </c>
      <c r="Y31" s="90">
        <v>0.48199999999999998</v>
      </c>
      <c r="Z31" s="90">
        <v>0.498</v>
      </c>
      <c r="AA31" s="90">
        <v>0.51400000000000001</v>
      </c>
      <c r="AB31" s="90">
        <v>0.53100000000000003</v>
      </c>
      <c r="AC31" s="90">
        <v>0.54900000000000004</v>
      </c>
      <c r="AD31" s="90">
        <v>0.56899999999999995</v>
      </c>
      <c r="AE31" s="90">
        <v>0.58899999999999997</v>
      </c>
      <c r="AF31" s="90">
        <v>0.61</v>
      </c>
      <c r="AG31" s="90">
        <v>0.63300000000000001</v>
      </c>
      <c r="AH31" s="90">
        <v>0.65800000000000003</v>
      </c>
      <c r="AI31" s="90">
        <v>0.68300000000000005</v>
      </c>
      <c r="AJ31" s="90">
        <v>0.71099999999999997</v>
      </c>
      <c r="AK31" s="90">
        <v>0.74</v>
      </c>
      <c r="AL31" s="90">
        <v>0.77200000000000002</v>
      </c>
      <c r="AM31" s="90">
        <v>0.80500000000000005</v>
      </c>
      <c r="AN31" s="90">
        <v>0.84199999999999997</v>
      </c>
      <c r="AO31" s="90">
        <v>0.88100000000000001</v>
      </c>
      <c r="AP31" s="90">
        <v>0.92300000000000004</v>
      </c>
      <c r="AQ31" s="90">
        <v>0.96799999999999997</v>
      </c>
    </row>
    <row r="32" spans="1:43" x14ac:dyDescent="0.25">
      <c r="A32" s="88">
        <v>5</v>
      </c>
      <c r="B32" s="90">
        <v>0.26200000000000001</v>
      </c>
      <c r="C32" s="90">
        <v>0.26800000000000002</v>
      </c>
      <c r="D32" s="90">
        <v>0.27500000000000002</v>
      </c>
      <c r="E32" s="90">
        <v>0.28100000000000003</v>
      </c>
      <c r="F32" s="90">
        <v>0.28799999999999998</v>
      </c>
      <c r="G32" s="90">
        <v>0.29499999999999998</v>
      </c>
      <c r="H32" s="90">
        <v>0.30199999999999999</v>
      </c>
      <c r="I32" s="90">
        <v>0.31</v>
      </c>
      <c r="J32" s="90">
        <v>0.318</v>
      </c>
      <c r="K32" s="90">
        <v>0.32600000000000001</v>
      </c>
      <c r="L32" s="90">
        <v>0.33400000000000002</v>
      </c>
      <c r="M32" s="90">
        <v>0.34300000000000003</v>
      </c>
      <c r="N32" s="90">
        <v>0.35199999999999998</v>
      </c>
      <c r="O32" s="90">
        <v>0.36199999999999999</v>
      </c>
      <c r="P32" s="90">
        <v>0.372</v>
      </c>
      <c r="Q32" s="90">
        <v>0.38200000000000001</v>
      </c>
      <c r="R32" s="90">
        <v>0.39300000000000002</v>
      </c>
      <c r="S32" s="90">
        <v>0.40400000000000003</v>
      </c>
      <c r="T32" s="90">
        <v>0.41599999999999998</v>
      </c>
      <c r="U32" s="90">
        <v>0.42799999999999999</v>
      </c>
      <c r="V32" s="90">
        <v>0.441</v>
      </c>
      <c r="W32" s="90">
        <v>0.45400000000000001</v>
      </c>
      <c r="X32" s="90">
        <v>0.46800000000000003</v>
      </c>
      <c r="Y32" s="90">
        <v>0.48299999999999998</v>
      </c>
      <c r="Z32" s="90">
        <v>0.499</v>
      </c>
      <c r="AA32" s="90">
        <v>0.51500000000000001</v>
      </c>
      <c r="AB32" s="90">
        <v>0.53300000000000003</v>
      </c>
      <c r="AC32" s="90">
        <v>0.55100000000000005</v>
      </c>
      <c r="AD32" s="90">
        <v>0.56999999999999995</v>
      </c>
      <c r="AE32" s="90">
        <v>0.59099999999999997</v>
      </c>
      <c r="AF32" s="90">
        <v>0.61199999999999999</v>
      </c>
      <c r="AG32" s="90">
        <v>0.63500000000000001</v>
      </c>
      <c r="AH32" s="90">
        <v>0.66</v>
      </c>
      <c r="AI32" s="90">
        <v>0.68600000000000005</v>
      </c>
      <c r="AJ32" s="90">
        <v>0.71299999999999997</v>
      </c>
      <c r="AK32" s="90">
        <v>0.74299999999999999</v>
      </c>
      <c r="AL32" s="90">
        <v>0.77400000000000002</v>
      </c>
      <c r="AM32" s="90">
        <v>0.80800000000000005</v>
      </c>
      <c r="AN32" s="90">
        <v>0.84499999999999997</v>
      </c>
      <c r="AO32" s="90">
        <v>0.88400000000000001</v>
      </c>
      <c r="AP32" s="90">
        <v>0.92600000000000005</v>
      </c>
      <c r="AQ32" s="90">
        <v>0.97199999999999998</v>
      </c>
    </row>
    <row r="33" spans="1:43" x14ac:dyDescent="0.25">
      <c r="A33" s="88">
        <v>6</v>
      </c>
      <c r="B33" s="90">
        <v>0.26300000000000001</v>
      </c>
      <c r="C33" s="90">
        <v>0.26900000000000002</v>
      </c>
      <c r="D33" s="90">
        <v>0.27500000000000002</v>
      </c>
      <c r="E33" s="90">
        <v>0.28199999999999997</v>
      </c>
      <c r="F33" s="90">
        <v>0.28899999999999998</v>
      </c>
      <c r="G33" s="90">
        <v>0.29599999999999999</v>
      </c>
      <c r="H33" s="90">
        <v>0.30299999999999999</v>
      </c>
      <c r="I33" s="90">
        <v>0.311</v>
      </c>
      <c r="J33" s="90">
        <v>0.318</v>
      </c>
      <c r="K33" s="90">
        <v>0.32700000000000001</v>
      </c>
      <c r="L33" s="90">
        <v>0.33500000000000002</v>
      </c>
      <c r="M33" s="90">
        <v>0.34399999999999997</v>
      </c>
      <c r="N33" s="90">
        <v>0.35299999999999998</v>
      </c>
      <c r="O33" s="90">
        <v>0.36299999999999999</v>
      </c>
      <c r="P33" s="90">
        <v>0.372</v>
      </c>
      <c r="Q33" s="90">
        <v>0.38300000000000001</v>
      </c>
      <c r="R33" s="90">
        <v>0.39400000000000002</v>
      </c>
      <c r="S33" s="90">
        <v>0.40500000000000003</v>
      </c>
      <c r="T33" s="90">
        <v>0.41699999999999998</v>
      </c>
      <c r="U33" s="90">
        <v>0.42899999999999999</v>
      </c>
      <c r="V33" s="90">
        <v>0.442</v>
      </c>
      <c r="W33" s="90">
        <v>0.45500000000000002</v>
      </c>
      <c r="X33" s="90">
        <v>0.47</v>
      </c>
      <c r="Y33" s="90">
        <v>0.48499999999999999</v>
      </c>
      <c r="Z33" s="90">
        <v>0.5</v>
      </c>
      <c r="AA33" s="90">
        <v>0.51700000000000002</v>
      </c>
      <c r="AB33" s="90">
        <v>0.53400000000000003</v>
      </c>
      <c r="AC33" s="90">
        <v>0.55300000000000005</v>
      </c>
      <c r="AD33" s="90">
        <v>0.57199999999999995</v>
      </c>
      <c r="AE33" s="90">
        <v>0.59199999999999997</v>
      </c>
      <c r="AF33" s="90">
        <v>0.61399999999999999</v>
      </c>
      <c r="AG33" s="90">
        <v>0.63700000000000001</v>
      </c>
      <c r="AH33" s="90">
        <v>0.66200000000000003</v>
      </c>
      <c r="AI33" s="90">
        <v>0.68799999999999994</v>
      </c>
      <c r="AJ33" s="90">
        <v>0.71599999999999997</v>
      </c>
      <c r="AK33" s="90">
        <v>0.745</v>
      </c>
      <c r="AL33" s="90">
        <v>0.77700000000000002</v>
      </c>
      <c r="AM33" s="90">
        <v>0.81100000000000005</v>
      </c>
      <c r="AN33" s="90">
        <v>0.84799999999999998</v>
      </c>
      <c r="AO33" s="90">
        <v>0.88700000000000001</v>
      </c>
      <c r="AP33" s="90">
        <v>0.93</v>
      </c>
      <c r="AQ33" s="90">
        <v>0.97599999999999998</v>
      </c>
    </row>
    <row r="34" spans="1:43" x14ac:dyDescent="0.25">
      <c r="A34" s="88">
        <v>7</v>
      </c>
      <c r="B34" s="90">
        <v>0.26300000000000001</v>
      </c>
      <c r="C34" s="90">
        <v>0.27</v>
      </c>
      <c r="D34" s="90">
        <v>0.27600000000000002</v>
      </c>
      <c r="E34" s="90">
        <v>0.28199999999999997</v>
      </c>
      <c r="F34" s="90">
        <v>0.28899999999999998</v>
      </c>
      <c r="G34" s="90">
        <v>0.29599999999999999</v>
      </c>
      <c r="H34" s="90">
        <v>0.30399999999999999</v>
      </c>
      <c r="I34" s="90">
        <v>0.311</v>
      </c>
      <c r="J34" s="90">
        <v>0.31900000000000001</v>
      </c>
      <c r="K34" s="90">
        <v>0.32700000000000001</v>
      </c>
      <c r="L34" s="90">
        <v>0.33600000000000002</v>
      </c>
      <c r="M34" s="90">
        <v>0.34499999999999997</v>
      </c>
      <c r="N34" s="90">
        <v>0.35399999999999998</v>
      </c>
      <c r="O34" s="90">
        <v>0.36299999999999999</v>
      </c>
      <c r="P34" s="90">
        <v>0.373</v>
      </c>
      <c r="Q34" s="90">
        <v>0.38400000000000001</v>
      </c>
      <c r="R34" s="90">
        <v>0.39500000000000002</v>
      </c>
      <c r="S34" s="90">
        <v>0.40600000000000003</v>
      </c>
      <c r="T34" s="90">
        <v>0.41799999999999998</v>
      </c>
      <c r="U34" s="90">
        <v>0.43</v>
      </c>
      <c r="V34" s="90">
        <v>0.443</v>
      </c>
      <c r="W34" s="90">
        <v>0.45700000000000002</v>
      </c>
      <c r="X34" s="90">
        <v>0.47099999999999997</v>
      </c>
      <c r="Y34" s="90">
        <v>0.48599999999999999</v>
      </c>
      <c r="Z34" s="90">
        <v>0.502</v>
      </c>
      <c r="AA34" s="90">
        <v>0.51800000000000002</v>
      </c>
      <c r="AB34" s="90">
        <v>0.53600000000000003</v>
      </c>
      <c r="AC34" s="90">
        <v>0.55400000000000005</v>
      </c>
      <c r="AD34" s="90">
        <v>0.57399999999999995</v>
      </c>
      <c r="AE34" s="90">
        <v>0.59399999999999997</v>
      </c>
      <c r="AF34" s="90">
        <v>0.61599999999999999</v>
      </c>
      <c r="AG34" s="90">
        <v>0.63900000000000001</v>
      </c>
      <c r="AH34" s="90">
        <v>0.66400000000000003</v>
      </c>
      <c r="AI34" s="90">
        <v>0.69</v>
      </c>
      <c r="AJ34" s="90">
        <v>0.71799999999999997</v>
      </c>
      <c r="AK34" s="90">
        <v>0.748</v>
      </c>
      <c r="AL34" s="90">
        <v>0.78</v>
      </c>
      <c r="AM34" s="90">
        <v>0.81399999999999995</v>
      </c>
      <c r="AN34" s="90">
        <v>0.85099999999999998</v>
      </c>
      <c r="AO34" s="90">
        <v>0.89100000000000001</v>
      </c>
      <c r="AP34" s="90">
        <v>0.93400000000000005</v>
      </c>
      <c r="AQ34" s="90">
        <v>0.98</v>
      </c>
    </row>
    <row r="35" spans="1:43" x14ac:dyDescent="0.25">
      <c r="A35" s="88">
        <v>8</v>
      </c>
      <c r="B35" s="90">
        <v>0.26400000000000001</v>
      </c>
      <c r="C35" s="90">
        <v>0.27</v>
      </c>
      <c r="D35" s="90">
        <v>0.27600000000000002</v>
      </c>
      <c r="E35" s="90">
        <v>0.28299999999999997</v>
      </c>
      <c r="F35" s="90">
        <v>0.28999999999999998</v>
      </c>
      <c r="G35" s="90">
        <v>0.29699999999999999</v>
      </c>
      <c r="H35" s="90">
        <v>0.30399999999999999</v>
      </c>
      <c r="I35" s="90">
        <v>0.312</v>
      </c>
      <c r="J35" s="90">
        <v>0.32</v>
      </c>
      <c r="K35" s="90">
        <v>0.32800000000000001</v>
      </c>
      <c r="L35" s="90">
        <v>0.33600000000000002</v>
      </c>
      <c r="M35" s="90">
        <v>0.34499999999999997</v>
      </c>
      <c r="N35" s="90">
        <v>0.35499999999999998</v>
      </c>
      <c r="O35" s="90">
        <v>0.36399999999999999</v>
      </c>
      <c r="P35" s="90">
        <v>0.374</v>
      </c>
      <c r="Q35" s="90">
        <v>0.38500000000000001</v>
      </c>
      <c r="R35" s="90">
        <v>0.39500000000000002</v>
      </c>
      <c r="S35" s="90">
        <v>0.40699999999999997</v>
      </c>
      <c r="T35" s="90">
        <v>0.41899999999999998</v>
      </c>
      <c r="U35" s="90">
        <v>0.43099999999999999</v>
      </c>
      <c r="V35" s="90">
        <v>0.44400000000000001</v>
      </c>
      <c r="W35" s="90">
        <v>0.45800000000000002</v>
      </c>
      <c r="X35" s="90">
        <v>0.47199999999999998</v>
      </c>
      <c r="Y35" s="90">
        <v>0.48699999999999999</v>
      </c>
      <c r="Z35" s="90">
        <v>0.503</v>
      </c>
      <c r="AA35" s="90">
        <v>0.52</v>
      </c>
      <c r="AB35" s="90">
        <v>0.53700000000000003</v>
      </c>
      <c r="AC35" s="90">
        <v>0.55600000000000005</v>
      </c>
      <c r="AD35" s="90">
        <v>0.57499999999999996</v>
      </c>
      <c r="AE35" s="90">
        <v>0.59599999999999997</v>
      </c>
      <c r="AF35" s="90">
        <v>0.61799999999999999</v>
      </c>
      <c r="AG35" s="90">
        <v>0.64100000000000001</v>
      </c>
      <c r="AH35" s="90">
        <v>0.66600000000000004</v>
      </c>
      <c r="AI35" s="90">
        <v>0.69199999999999995</v>
      </c>
      <c r="AJ35" s="90">
        <v>0.72</v>
      </c>
      <c r="AK35" s="90">
        <v>0.751</v>
      </c>
      <c r="AL35" s="90">
        <v>0.78300000000000003</v>
      </c>
      <c r="AM35" s="90">
        <v>0.81699999999999995</v>
      </c>
      <c r="AN35" s="90">
        <v>0.85399999999999998</v>
      </c>
      <c r="AO35" s="90">
        <v>0.89400000000000002</v>
      </c>
      <c r="AP35" s="90">
        <v>0.93700000000000006</v>
      </c>
      <c r="AQ35" s="90">
        <v>0.98399999999999999</v>
      </c>
    </row>
    <row r="36" spans="1:43" x14ac:dyDescent="0.25">
      <c r="A36" s="88">
        <v>9</v>
      </c>
      <c r="B36" s="90">
        <v>0.26400000000000001</v>
      </c>
      <c r="C36" s="90">
        <v>0.27100000000000002</v>
      </c>
      <c r="D36" s="90">
        <v>0.27700000000000002</v>
      </c>
      <c r="E36" s="90">
        <v>0.28399999999999997</v>
      </c>
      <c r="F36" s="90">
        <v>0.28999999999999998</v>
      </c>
      <c r="G36" s="90">
        <v>0.29799999999999999</v>
      </c>
      <c r="H36" s="90">
        <v>0.30499999999999999</v>
      </c>
      <c r="I36" s="90">
        <v>0.313</v>
      </c>
      <c r="J36" s="90">
        <v>0.32</v>
      </c>
      <c r="K36" s="90">
        <v>0.32900000000000001</v>
      </c>
      <c r="L36" s="90">
        <v>0.33700000000000002</v>
      </c>
      <c r="M36" s="90">
        <v>0.34599999999999997</v>
      </c>
      <c r="N36" s="90">
        <v>0.35499999999999998</v>
      </c>
      <c r="O36" s="90">
        <v>0.36499999999999999</v>
      </c>
      <c r="P36" s="90">
        <v>0.375</v>
      </c>
      <c r="Q36" s="90">
        <v>0.38500000000000001</v>
      </c>
      <c r="R36" s="90">
        <v>0.39600000000000002</v>
      </c>
      <c r="S36" s="90">
        <v>0.40799999999999997</v>
      </c>
      <c r="T36" s="90">
        <v>0.42</v>
      </c>
      <c r="U36" s="90">
        <v>0.432</v>
      </c>
      <c r="V36" s="90">
        <v>0.44500000000000001</v>
      </c>
      <c r="W36" s="90">
        <v>0.45900000000000002</v>
      </c>
      <c r="X36" s="90">
        <v>0.47299999999999998</v>
      </c>
      <c r="Y36" s="90">
        <v>0.48799999999999999</v>
      </c>
      <c r="Z36" s="90">
        <v>0.504</v>
      </c>
      <c r="AA36" s="90">
        <v>0.52100000000000002</v>
      </c>
      <c r="AB36" s="90">
        <v>0.53900000000000003</v>
      </c>
      <c r="AC36" s="90">
        <v>0.55700000000000005</v>
      </c>
      <c r="AD36" s="90">
        <v>0.57699999999999996</v>
      </c>
      <c r="AE36" s="90">
        <v>0.59799999999999998</v>
      </c>
      <c r="AF36" s="90">
        <v>0.62</v>
      </c>
      <c r="AG36" s="90">
        <v>0.64300000000000002</v>
      </c>
      <c r="AH36" s="90">
        <v>0.66800000000000004</v>
      </c>
      <c r="AI36" s="90">
        <v>0.69499999999999995</v>
      </c>
      <c r="AJ36" s="90">
        <v>0.72299999999999998</v>
      </c>
      <c r="AK36" s="90">
        <v>0.753</v>
      </c>
      <c r="AL36" s="90">
        <v>0.78500000000000003</v>
      </c>
      <c r="AM36" s="90">
        <v>0.82</v>
      </c>
      <c r="AN36" s="90">
        <v>0.85699999999999998</v>
      </c>
      <c r="AO36" s="90">
        <v>0.89800000000000002</v>
      </c>
      <c r="AP36" s="90">
        <v>0.94099999999999995</v>
      </c>
      <c r="AQ36" s="90">
        <v>0.98799999999999999</v>
      </c>
    </row>
    <row r="37" spans="1:43" x14ac:dyDescent="0.25">
      <c r="A37" s="88">
        <v>10</v>
      </c>
      <c r="B37" s="90">
        <v>0.26500000000000001</v>
      </c>
      <c r="C37" s="90">
        <v>0.27100000000000002</v>
      </c>
      <c r="D37" s="90">
        <v>0.27700000000000002</v>
      </c>
      <c r="E37" s="90">
        <v>0.28399999999999997</v>
      </c>
      <c r="F37" s="90">
        <v>0.29099999999999998</v>
      </c>
      <c r="G37" s="90">
        <v>0.29799999999999999</v>
      </c>
      <c r="H37" s="90">
        <v>0.30599999999999999</v>
      </c>
      <c r="I37" s="90">
        <v>0.313</v>
      </c>
      <c r="J37" s="90">
        <v>0.32100000000000001</v>
      </c>
      <c r="K37" s="90">
        <v>0.32900000000000001</v>
      </c>
      <c r="L37" s="90">
        <v>0.33800000000000002</v>
      </c>
      <c r="M37" s="90">
        <v>0.34699999999999998</v>
      </c>
      <c r="N37" s="90">
        <v>0.35599999999999998</v>
      </c>
      <c r="O37" s="90">
        <v>0.36599999999999999</v>
      </c>
      <c r="P37" s="90">
        <v>0.376</v>
      </c>
      <c r="Q37" s="90">
        <v>0.38600000000000001</v>
      </c>
      <c r="R37" s="90">
        <v>0.39700000000000002</v>
      </c>
      <c r="S37" s="90">
        <v>0.40899999999999997</v>
      </c>
      <c r="T37" s="90">
        <v>0.42099999999999999</v>
      </c>
      <c r="U37" s="90">
        <v>0.433</v>
      </c>
      <c r="V37" s="90">
        <v>0.44600000000000001</v>
      </c>
      <c r="W37" s="90">
        <v>0.46</v>
      </c>
      <c r="X37" s="90">
        <v>0.47499999999999998</v>
      </c>
      <c r="Y37" s="90">
        <v>0.49</v>
      </c>
      <c r="Z37" s="90">
        <v>0.50600000000000001</v>
      </c>
      <c r="AA37" s="90">
        <v>0.52200000000000002</v>
      </c>
      <c r="AB37" s="90">
        <v>0.54</v>
      </c>
      <c r="AC37" s="90">
        <v>0.55900000000000005</v>
      </c>
      <c r="AD37" s="90">
        <v>0.57899999999999996</v>
      </c>
      <c r="AE37" s="90">
        <v>0.59899999999999998</v>
      </c>
      <c r="AF37" s="90">
        <v>0.622</v>
      </c>
      <c r="AG37" s="90">
        <v>0.64500000000000002</v>
      </c>
      <c r="AH37" s="90">
        <v>0.67</v>
      </c>
      <c r="AI37" s="90">
        <v>0.69699999999999995</v>
      </c>
      <c r="AJ37" s="90">
        <v>0.72499999999999998</v>
      </c>
      <c r="AK37" s="90">
        <v>0.75600000000000001</v>
      </c>
      <c r="AL37" s="90">
        <v>0.78800000000000003</v>
      </c>
      <c r="AM37" s="90">
        <v>0.82299999999999995</v>
      </c>
      <c r="AN37" s="90">
        <v>0.86099999999999999</v>
      </c>
      <c r="AO37" s="90">
        <v>0.90100000000000002</v>
      </c>
      <c r="AP37" s="90">
        <v>0.94499999999999995</v>
      </c>
      <c r="AQ37" s="90">
        <v>0.99199999999999999</v>
      </c>
    </row>
    <row r="38" spans="1:43" x14ac:dyDescent="0.25">
      <c r="A38" s="88">
        <v>11</v>
      </c>
      <c r="B38" s="90">
        <v>0.26500000000000001</v>
      </c>
      <c r="C38" s="90">
        <v>0.27200000000000002</v>
      </c>
      <c r="D38" s="90">
        <v>0.27800000000000002</v>
      </c>
      <c r="E38" s="90">
        <v>0.28499999999999998</v>
      </c>
      <c r="F38" s="90">
        <v>0.29199999999999998</v>
      </c>
      <c r="G38" s="90">
        <v>0.29899999999999999</v>
      </c>
      <c r="H38" s="90">
        <v>0.30599999999999999</v>
      </c>
      <c r="I38" s="90">
        <v>0.314</v>
      </c>
      <c r="J38" s="90">
        <v>0.32200000000000001</v>
      </c>
      <c r="K38" s="90">
        <v>0.33</v>
      </c>
      <c r="L38" s="90">
        <v>0.33900000000000002</v>
      </c>
      <c r="M38" s="90">
        <v>0.34799999999999998</v>
      </c>
      <c r="N38" s="90">
        <v>0.35699999999999998</v>
      </c>
      <c r="O38" s="90">
        <v>0.36699999999999999</v>
      </c>
      <c r="P38" s="90">
        <v>0.377</v>
      </c>
      <c r="Q38" s="90">
        <v>0.38700000000000001</v>
      </c>
      <c r="R38" s="90">
        <v>0.39800000000000002</v>
      </c>
      <c r="S38" s="90">
        <v>0.41</v>
      </c>
      <c r="T38" s="90">
        <v>0.42199999999999999</v>
      </c>
      <c r="U38" s="90">
        <v>0.434</v>
      </c>
      <c r="V38" s="90">
        <v>0.44700000000000001</v>
      </c>
      <c r="W38" s="90">
        <v>0.46100000000000002</v>
      </c>
      <c r="X38" s="90">
        <v>0.47599999999999998</v>
      </c>
      <c r="Y38" s="90">
        <v>0.49099999999999999</v>
      </c>
      <c r="Z38" s="90">
        <v>0.50700000000000001</v>
      </c>
      <c r="AA38" s="90">
        <v>0.52400000000000002</v>
      </c>
      <c r="AB38" s="90">
        <v>0.54200000000000004</v>
      </c>
      <c r="AC38" s="90">
        <v>0.56000000000000005</v>
      </c>
      <c r="AD38" s="90">
        <v>0.57999999999999996</v>
      </c>
      <c r="AE38" s="90">
        <v>0.60099999999999998</v>
      </c>
      <c r="AF38" s="90">
        <v>0.624</v>
      </c>
      <c r="AG38" s="90">
        <v>0.64700000000000002</v>
      </c>
      <c r="AH38" s="90">
        <v>0.67200000000000004</v>
      </c>
      <c r="AI38" s="90">
        <v>0.69899999999999995</v>
      </c>
      <c r="AJ38" s="90">
        <v>0.72799999999999998</v>
      </c>
      <c r="AK38" s="90">
        <v>0.75800000000000001</v>
      </c>
      <c r="AL38" s="90">
        <v>0.79100000000000004</v>
      </c>
      <c r="AM38" s="90">
        <v>0.82599999999999996</v>
      </c>
      <c r="AN38" s="90">
        <v>0.86399999999999999</v>
      </c>
      <c r="AO38" s="90">
        <v>0.90400000000000003</v>
      </c>
      <c r="AP38" s="90">
        <v>0.94799999999999995</v>
      </c>
      <c r="AQ38" s="90">
        <v>0.996</v>
      </c>
    </row>
    <row r="39" spans="1:43" x14ac:dyDescent="0.25">
      <c r="A39"/>
      <c r="B39"/>
    </row>
    <row r="40" spans="1:43" x14ac:dyDescent="0.25">
      <c r="A40"/>
      <c r="B40"/>
    </row>
    <row r="41" spans="1:43" x14ac:dyDescent="0.25">
      <c r="A41"/>
      <c r="B41"/>
    </row>
    <row r="42" spans="1:43" x14ac:dyDescent="0.25">
      <c r="A42"/>
      <c r="B42"/>
    </row>
    <row r="43" spans="1:43" x14ac:dyDescent="0.25">
      <c r="A43"/>
      <c r="B43"/>
    </row>
    <row r="44" spans="1:43" ht="39.6" customHeight="1" x14ac:dyDescent="0.25">
      <c r="A44"/>
      <c r="B44"/>
    </row>
    <row r="45" spans="1:43" x14ac:dyDescent="0.25">
      <c r="A45"/>
      <c r="B45"/>
    </row>
    <row r="46" spans="1:43" ht="27.6" customHeight="1" x14ac:dyDescent="0.25">
      <c r="A46"/>
      <c r="B46"/>
    </row>
    <row r="47" spans="1:43" x14ac:dyDescent="0.25">
      <c r="A47"/>
      <c r="B47"/>
    </row>
    <row r="48" spans="1:4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tAgGJ5eOmemDXLdLaWJjS3WKm+CRMe/5Dk/iV38GYDjC2NenCnfa3BsXy3C4WfnuvULkteIzKUR2TcaWz7VREw==" saltValue="QtH+0+FFFZyf7BTL5jh0vQ==" spinCount="100000" sheet="1" objects="1" scenarios="1"/>
  <conditionalFormatting sqref="A6:A21">
    <cfRule type="expression" dxfId="371" priority="3" stopIfTrue="1">
      <formula>MOD(ROW(),2)=0</formula>
    </cfRule>
    <cfRule type="expression" dxfId="370" priority="4" stopIfTrue="1">
      <formula>MOD(ROW(),2)&lt;&gt;0</formula>
    </cfRule>
  </conditionalFormatting>
  <conditionalFormatting sqref="A26:A38">
    <cfRule type="expression" dxfId="369" priority="9" stopIfTrue="1">
      <formula>MOD(ROW(),2)=0</formula>
    </cfRule>
    <cfRule type="expression" dxfId="368" priority="10" stopIfTrue="1">
      <formula>MOD(ROW(),2)&lt;&gt;0</formula>
    </cfRule>
  </conditionalFormatting>
  <conditionalFormatting sqref="B17:C21">
    <cfRule type="expression" dxfId="367" priority="7" stopIfTrue="1">
      <formula>MOD(ROW(),2)=0</formula>
    </cfRule>
    <cfRule type="expression" dxfId="366" priority="8" stopIfTrue="1">
      <formula>MOD(ROW(),2)&lt;&gt;0</formula>
    </cfRule>
  </conditionalFormatting>
  <conditionalFormatting sqref="B6:AQ21 B26:AQ38">
    <cfRule type="expression" dxfId="365" priority="25" stopIfTrue="1">
      <formula>MOD(ROW(),2)=0</formula>
    </cfRule>
    <cfRule type="expression" dxfId="364" priority="2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17"/>
  <dimension ref="A1:I65"/>
  <sheetViews>
    <sheetView showGridLines="0" zoomScale="85" zoomScaleNormal="85" workbookViewId="0">
      <selection activeCell="A4" sqref="A4"/>
    </sheetView>
  </sheetViews>
  <sheetFormatPr defaultColWidth="10" defaultRowHeight="13.2" x14ac:dyDescent="0.25"/>
  <cols>
    <col min="1" max="1" width="31.88671875" style="27" customWidth="1"/>
    <col min="2" max="2" width="32.88671875" style="27" customWidth="1"/>
    <col min="3" max="3" width="10.1093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Pension Debit - x-330</v>
      </c>
      <c r="B3" s="42"/>
      <c r="C3" s="42"/>
      <c r="D3" s="42"/>
      <c r="E3" s="42"/>
      <c r="F3" s="42"/>
      <c r="G3" s="42"/>
      <c r="H3" s="42"/>
      <c r="I3" s="42"/>
    </row>
    <row r="4" spans="1:9" x14ac:dyDescent="0.25">
      <c r="A4" s="44"/>
    </row>
    <row r="6" spans="1:9" x14ac:dyDescent="0.25">
      <c r="A6" s="75" t="s">
        <v>484</v>
      </c>
      <c r="B6" s="162" t="s">
        <v>485</v>
      </c>
    </row>
    <row r="7" spans="1:9" x14ac:dyDescent="0.25">
      <c r="A7" s="76" t="s">
        <v>486</v>
      </c>
      <c r="B7" s="162" t="s">
        <v>81</v>
      </c>
    </row>
    <row r="8" spans="1:9" x14ac:dyDescent="0.25">
      <c r="A8" s="76" t="s">
        <v>282</v>
      </c>
      <c r="B8" s="162">
        <v>2015</v>
      </c>
    </row>
    <row r="9" spans="1:9" x14ac:dyDescent="0.25">
      <c r="A9" s="76" t="s">
        <v>283</v>
      </c>
      <c r="B9" s="162" t="s">
        <v>347</v>
      </c>
    </row>
    <row r="10" spans="1:9" x14ac:dyDescent="0.25">
      <c r="A10" s="76" t="s">
        <v>6</v>
      </c>
      <c r="B10" s="162" t="s">
        <v>375</v>
      </c>
    </row>
    <row r="11" spans="1:9" x14ac:dyDescent="0.25">
      <c r="A11" s="76" t="s">
        <v>284</v>
      </c>
      <c r="B11" s="162" t="s">
        <v>349</v>
      </c>
    </row>
    <row r="12" spans="1:9" x14ac:dyDescent="0.25">
      <c r="A12" s="76" t="s">
        <v>285</v>
      </c>
      <c r="B12" s="162" t="s">
        <v>376</v>
      </c>
    </row>
    <row r="13" spans="1:9" hidden="1" x14ac:dyDescent="0.25">
      <c r="A13" s="76" t="s">
        <v>493</v>
      </c>
      <c r="B13" s="162">
        <v>0</v>
      </c>
    </row>
    <row r="14" spans="1:9" hidden="1" x14ac:dyDescent="0.25">
      <c r="A14" s="76" t="s">
        <v>287</v>
      </c>
      <c r="B14" s="162">
        <v>330</v>
      </c>
    </row>
    <row r="15" spans="1:9" x14ac:dyDescent="0.25">
      <c r="A15" s="76" t="s">
        <v>496</v>
      </c>
      <c r="B15" s="162" t="s">
        <v>377</v>
      </c>
    </row>
    <row r="16" spans="1:9" x14ac:dyDescent="0.25">
      <c r="A16" s="76" t="s">
        <v>288</v>
      </c>
      <c r="B16" s="162" t="s">
        <v>378</v>
      </c>
    </row>
    <row r="17" spans="1:2" x14ac:dyDescent="0.25">
      <c r="A17" s="76" t="s">
        <v>568</v>
      </c>
      <c r="B17" s="162"/>
    </row>
    <row r="18" spans="1:2" x14ac:dyDescent="0.25">
      <c r="A18" s="76" t="s">
        <v>500</v>
      </c>
      <c r="B18" s="164">
        <v>45070</v>
      </c>
    </row>
    <row r="19" spans="1:2" x14ac:dyDescent="0.25">
      <c r="A19" s="76" t="s">
        <v>290</v>
      </c>
      <c r="B19" s="164">
        <v>45014</v>
      </c>
    </row>
    <row r="20" spans="1:2" x14ac:dyDescent="0.25">
      <c r="A20" s="76" t="s">
        <v>291</v>
      </c>
      <c r="B20" s="162" t="s">
        <v>298</v>
      </c>
    </row>
    <row r="21" spans="1:2" x14ac:dyDescent="0.25">
      <c r="A21" s="150" t="s">
        <v>569</v>
      </c>
      <c r="B21" s="162" t="s">
        <v>297</v>
      </c>
    </row>
    <row r="23" spans="1:2" x14ac:dyDescent="0.25">
      <c r="B23" s="91" t="str">
        <f>HYPERLINK("#'Factor List'!A1","Back to Factor List")</f>
        <v>Back to Factor List</v>
      </c>
    </row>
    <row r="24" spans="1:2" x14ac:dyDescent="0.25">
      <c r="B24" s="91" t="str">
        <f>HYPERLINK("#'Assumptions'!A1","Assumptions")</f>
        <v>Assumptions</v>
      </c>
    </row>
    <row r="26" spans="1:2" x14ac:dyDescent="0.25">
      <c r="A26" s="87" t="s">
        <v>612</v>
      </c>
      <c r="B26" s="87" t="s">
        <v>613</v>
      </c>
    </row>
    <row r="27" spans="1:2" x14ac:dyDescent="0.25">
      <c r="A27" s="88">
        <v>0</v>
      </c>
      <c r="B27" s="90">
        <v>1</v>
      </c>
    </row>
    <row r="28" spans="1:2" x14ac:dyDescent="0.25">
      <c r="A28" s="88">
        <v>1</v>
      </c>
      <c r="B28" s="90">
        <v>0.94</v>
      </c>
    </row>
    <row r="29" spans="1:2" x14ac:dyDescent="0.25">
      <c r="A29" s="88">
        <v>2</v>
      </c>
      <c r="B29" s="90">
        <v>0.88600000000000001</v>
      </c>
    </row>
    <row r="30" spans="1:2" x14ac:dyDescent="0.25">
      <c r="A30" s="88">
        <v>3</v>
      </c>
      <c r="B30" s="90">
        <v>0.83599999999999997</v>
      </c>
    </row>
    <row r="31" spans="1:2" x14ac:dyDescent="0.25">
      <c r="A31" s="88">
        <v>4</v>
      </c>
      <c r="B31" s="90">
        <v>0.79100000000000004</v>
      </c>
    </row>
    <row r="32" spans="1:2" x14ac:dyDescent="0.25">
      <c r="A32" s="88">
        <v>5</v>
      </c>
      <c r="B32" s="90">
        <v>0.75</v>
      </c>
    </row>
    <row r="33" spans="1:2" x14ac:dyDescent="0.25">
      <c r="A33" s="88">
        <v>6</v>
      </c>
      <c r="B33" s="90">
        <v>0.71299999999999997</v>
      </c>
    </row>
    <row r="34" spans="1:2" x14ac:dyDescent="0.25">
      <c r="A34" s="88">
        <v>7</v>
      </c>
      <c r="B34" s="90">
        <v>0.67800000000000005</v>
      </c>
    </row>
    <row r="35" spans="1:2" x14ac:dyDescent="0.25">
      <c r="A35" s="88">
        <v>8</v>
      </c>
      <c r="B35" s="90">
        <v>0.64700000000000002</v>
      </c>
    </row>
    <row r="36" spans="1:2" x14ac:dyDescent="0.25">
      <c r="A36" s="88">
        <v>9</v>
      </c>
      <c r="B36" s="90">
        <v>0.61699999999999999</v>
      </c>
    </row>
    <row r="37" spans="1:2" x14ac:dyDescent="0.25">
      <c r="A37" s="88">
        <v>10</v>
      </c>
      <c r="B37" s="90">
        <v>0.59</v>
      </c>
    </row>
    <row r="38" spans="1:2" x14ac:dyDescent="0.25">
      <c r="A38" s="88">
        <v>11</v>
      </c>
      <c r="B38" s="90">
        <v>0.56499999999999995</v>
      </c>
    </row>
    <row r="39" spans="1:2" x14ac:dyDescent="0.25">
      <c r="A39" s="88">
        <v>12</v>
      </c>
      <c r="B39" s="90">
        <v>0.54200000000000004</v>
      </c>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zKDds9uMvicrn55x7RKDHs9znSwmXhGAGgC7I0G/SRehF4gPCJY0NuuxUY/vkt5zZ8ubCDTWDVPEas5irGDgXw==" saltValue="MfqlwtfvzX5oAnwFi30YiA==" spinCount="100000" sheet="1" objects="1" scenarios="1"/>
  <conditionalFormatting sqref="A6:A21">
    <cfRule type="expression" dxfId="363" priority="3" stopIfTrue="1">
      <formula>MOD(ROW(),2)=0</formula>
    </cfRule>
    <cfRule type="expression" dxfId="362" priority="4" stopIfTrue="1">
      <formula>MOD(ROW(),2)&lt;&gt;0</formula>
    </cfRule>
  </conditionalFormatting>
  <conditionalFormatting sqref="A26:A39">
    <cfRule type="expression" dxfId="361" priority="9" stopIfTrue="1">
      <formula>MOD(ROW(),2)=0</formula>
    </cfRule>
    <cfRule type="expression" dxfId="360" priority="10" stopIfTrue="1">
      <formula>MOD(ROW(),2)&lt;&gt;0</formula>
    </cfRule>
  </conditionalFormatting>
  <conditionalFormatting sqref="B6:B21">
    <cfRule type="expression" dxfId="359" priority="23" stopIfTrue="1">
      <formula>MOD(ROW(),2)=0</formula>
    </cfRule>
    <cfRule type="expression" dxfId="358" priority="24" stopIfTrue="1">
      <formula>MOD(ROW(),2)&lt;&gt;0</formula>
    </cfRule>
  </conditionalFormatting>
  <conditionalFormatting sqref="B17:B21">
    <cfRule type="expression" dxfId="357" priority="7" stopIfTrue="1">
      <formula>MOD(ROW(),2)=0</formula>
    </cfRule>
    <cfRule type="expression" dxfId="356" priority="8" stopIfTrue="1">
      <formula>MOD(ROW(),2)&lt;&gt;0</formula>
    </cfRule>
  </conditionalFormatting>
  <conditionalFormatting sqref="B26:B39">
    <cfRule type="expression" dxfId="355" priority="11" stopIfTrue="1">
      <formula>MOD(ROW(),2)=0</formula>
    </cfRule>
    <cfRule type="expression" dxfId="354"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18"/>
  <dimension ref="A1:I77"/>
  <sheetViews>
    <sheetView showGridLines="0" zoomScale="85" zoomScaleNormal="85" workbookViewId="0">
      <selection activeCell="A4" sqref="A4"/>
    </sheetView>
  </sheetViews>
  <sheetFormatPr defaultColWidth="10" defaultRowHeight="13.2" x14ac:dyDescent="0.25"/>
  <cols>
    <col min="1" max="1" width="31.88671875" style="27" customWidth="1"/>
    <col min="2" max="2" width="32.44140625" style="27" customWidth="1"/>
    <col min="3" max="3" width="10.1093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Pension Debit - x-331</v>
      </c>
      <c r="B3" s="42"/>
      <c r="C3" s="42"/>
      <c r="D3" s="42"/>
      <c r="E3" s="42"/>
      <c r="F3" s="42"/>
      <c r="G3" s="42"/>
      <c r="H3" s="42"/>
      <c r="I3" s="42"/>
    </row>
    <row r="4" spans="1:9" x14ac:dyDescent="0.25">
      <c r="A4" s="44"/>
    </row>
    <row r="6" spans="1:9" x14ac:dyDescent="0.25">
      <c r="A6" s="75" t="s">
        <v>484</v>
      </c>
      <c r="B6" s="162" t="s">
        <v>485</v>
      </c>
    </row>
    <row r="7" spans="1:9" x14ac:dyDescent="0.25">
      <c r="A7" s="76" t="s">
        <v>486</v>
      </c>
      <c r="B7" s="162" t="s">
        <v>81</v>
      </c>
    </row>
    <row r="8" spans="1:9" x14ac:dyDescent="0.25">
      <c r="A8" s="76" t="s">
        <v>282</v>
      </c>
      <c r="B8" s="162">
        <v>2015</v>
      </c>
    </row>
    <row r="9" spans="1:9" x14ac:dyDescent="0.25">
      <c r="A9" s="76" t="s">
        <v>283</v>
      </c>
      <c r="B9" s="162" t="s">
        <v>347</v>
      </c>
    </row>
    <row r="10" spans="1:9" x14ac:dyDescent="0.25">
      <c r="A10" s="76" t="s">
        <v>6</v>
      </c>
      <c r="B10" s="162" t="s">
        <v>379</v>
      </c>
    </row>
    <row r="11" spans="1:9" x14ac:dyDescent="0.25">
      <c r="A11" s="76" t="s">
        <v>284</v>
      </c>
      <c r="B11" s="162" t="s">
        <v>349</v>
      </c>
    </row>
    <row r="12" spans="1:9" x14ac:dyDescent="0.25">
      <c r="A12" s="76" t="s">
        <v>285</v>
      </c>
      <c r="B12" s="162" t="s">
        <v>376</v>
      </c>
    </row>
    <row r="13" spans="1:9" hidden="1" x14ac:dyDescent="0.25">
      <c r="A13" s="76" t="s">
        <v>493</v>
      </c>
      <c r="B13" s="162">
        <v>0</v>
      </c>
    </row>
    <row r="14" spans="1:9" hidden="1" x14ac:dyDescent="0.25">
      <c r="A14" s="76" t="s">
        <v>287</v>
      </c>
      <c r="B14" s="162">
        <v>331</v>
      </c>
    </row>
    <row r="15" spans="1:9" x14ac:dyDescent="0.25">
      <c r="A15" s="76" t="s">
        <v>496</v>
      </c>
      <c r="B15" s="162" t="s">
        <v>380</v>
      </c>
    </row>
    <row r="16" spans="1:9" x14ac:dyDescent="0.25">
      <c r="A16" s="76" t="s">
        <v>288</v>
      </c>
      <c r="B16" s="162" t="s">
        <v>381</v>
      </c>
    </row>
    <row r="17" spans="1:2" ht="52.5" customHeight="1" x14ac:dyDescent="0.25">
      <c r="A17" s="76" t="s">
        <v>568</v>
      </c>
      <c r="B17" s="162"/>
    </row>
    <row r="18" spans="1:2" x14ac:dyDescent="0.25">
      <c r="A18" s="76" t="s">
        <v>500</v>
      </c>
      <c r="B18" s="164">
        <v>45070</v>
      </c>
    </row>
    <row r="19" spans="1:2" x14ac:dyDescent="0.25">
      <c r="A19" s="76" t="s">
        <v>290</v>
      </c>
      <c r="B19" s="164">
        <v>45014</v>
      </c>
    </row>
    <row r="20" spans="1:2" x14ac:dyDescent="0.25">
      <c r="A20" s="76" t="s">
        <v>291</v>
      </c>
      <c r="B20" s="162" t="s">
        <v>298</v>
      </c>
    </row>
    <row r="21" spans="1:2" x14ac:dyDescent="0.25">
      <c r="A21" s="150" t="s">
        <v>569</v>
      </c>
      <c r="B21" s="162" t="s">
        <v>297</v>
      </c>
    </row>
    <row r="23" spans="1:2" x14ac:dyDescent="0.25">
      <c r="B23" s="91" t="str">
        <f>HYPERLINK("#'Factor List'!A1","Back to Factor List")</f>
        <v>Back to Factor List</v>
      </c>
    </row>
    <row r="24" spans="1:2" x14ac:dyDescent="0.25">
      <c r="B24" s="91" t="str">
        <f>HYPERLINK("#'Assumptions'!A1","Assumptions")</f>
        <v>Assumptions</v>
      </c>
    </row>
    <row r="26" spans="1:2" x14ac:dyDescent="0.25">
      <c r="A26" s="87" t="s">
        <v>612</v>
      </c>
      <c r="B26" s="87" t="s">
        <v>613</v>
      </c>
    </row>
    <row r="27" spans="1:2" x14ac:dyDescent="0.25">
      <c r="A27" s="88">
        <v>0</v>
      </c>
      <c r="B27" s="90">
        <v>1</v>
      </c>
    </row>
    <row r="28" spans="1:2" x14ac:dyDescent="0.25">
      <c r="A28" s="88">
        <v>1</v>
      </c>
      <c r="B28" s="90">
        <v>0.94</v>
      </c>
    </row>
    <row r="29" spans="1:2" x14ac:dyDescent="0.25">
      <c r="A29" s="88">
        <v>2</v>
      </c>
      <c r="B29" s="90">
        <v>0.88600000000000001</v>
      </c>
    </row>
    <row r="30" spans="1:2" x14ac:dyDescent="0.25">
      <c r="A30" s="88">
        <v>3</v>
      </c>
      <c r="B30" s="90">
        <v>0.83599999999999997</v>
      </c>
    </row>
    <row r="31" spans="1:2" x14ac:dyDescent="0.25">
      <c r="A31" s="88">
        <v>4</v>
      </c>
      <c r="B31" s="90">
        <v>0.79100000000000004</v>
      </c>
    </row>
    <row r="32" spans="1:2" x14ac:dyDescent="0.25">
      <c r="A32" s="88">
        <v>5</v>
      </c>
      <c r="B32" s="90">
        <v>0.75</v>
      </c>
    </row>
    <row r="33" spans="1:2" x14ac:dyDescent="0.25">
      <c r="A33" s="88">
        <v>6</v>
      </c>
      <c r="B33" s="90">
        <v>0.71299999999999997</v>
      </c>
    </row>
    <row r="34" spans="1:2" x14ac:dyDescent="0.25">
      <c r="A34" s="88">
        <v>7</v>
      </c>
      <c r="B34" s="90">
        <v>0.67800000000000005</v>
      </c>
    </row>
    <row r="35" spans="1:2" x14ac:dyDescent="0.25">
      <c r="A35" s="88">
        <v>8</v>
      </c>
      <c r="B35" s="90">
        <v>0.64700000000000002</v>
      </c>
    </row>
    <row r="36" spans="1:2" x14ac:dyDescent="0.25">
      <c r="A36" s="88">
        <v>9</v>
      </c>
      <c r="B36" s="90">
        <v>0.61699999999999999</v>
      </c>
    </row>
    <row r="37" spans="1:2" x14ac:dyDescent="0.25">
      <c r="A37" s="88">
        <v>10</v>
      </c>
      <c r="B37" s="90">
        <v>0.59</v>
      </c>
    </row>
    <row r="38" spans="1:2" x14ac:dyDescent="0.25">
      <c r="A38" s="88">
        <v>11</v>
      </c>
      <c r="B38" s="90">
        <v>0.56499999999999995</v>
      </c>
    </row>
    <row r="39" spans="1:2" x14ac:dyDescent="0.25">
      <c r="A39" s="88">
        <v>12</v>
      </c>
      <c r="B39" s="90">
        <v>0.54200000000000004</v>
      </c>
    </row>
    <row r="40" spans="1:2" x14ac:dyDescent="0.25">
      <c r="A40" s="88">
        <v>13</v>
      </c>
      <c r="B40" s="90">
        <v>0.52</v>
      </c>
    </row>
    <row r="41" spans="1:2" x14ac:dyDescent="0.25">
      <c r="A41" s="88">
        <v>14</v>
      </c>
      <c r="B41" s="90">
        <v>0.499</v>
      </c>
    </row>
    <row r="42" spans="1:2" x14ac:dyDescent="0.25">
      <c r="A42" s="88">
        <v>15</v>
      </c>
      <c r="B42" s="90">
        <v>0.48</v>
      </c>
    </row>
    <row r="43" spans="1:2" x14ac:dyDescent="0.25">
      <c r="A43" s="88">
        <v>16</v>
      </c>
      <c r="B43" s="90">
        <v>0.46200000000000002</v>
      </c>
    </row>
    <row r="44" spans="1:2" x14ac:dyDescent="0.25">
      <c r="A44" s="88">
        <v>17</v>
      </c>
      <c r="B44" s="90">
        <v>0.44600000000000001</v>
      </c>
    </row>
    <row r="45" spans="1:2" x14ac:dyDescent="0.25">
      <c r="A45" s="88">
        <v>18</v>
      </c>
      <c r="B45" s="90">
        <v>0.43</v>
      </c>
    </row>
    <row r="46" spans="1:2" x14ac:dyDescent="0.25">
      <c r="A46" s="88">
        <v>19</v>
      </c>
      <c r="B46" s="90">
        <v>0.41499999999999998</v>
      </c>
    </row>
    <row r="47" spans="1:2" x14ac:dyDescent="0.25">
      <c r="A47" s="88">
        <v>20</v>
      </c>
      <c r="B47" s="90">
        <v>0.40100000000000002</v>
      </c>
    </row>
    <row r="48" spans="1:2" x14ac:dyDescent="0.25">
      <c r="A48" s="88">
        <v>21</v>
      </c>
      <c r="B48" s="90">
        <v>0.38800000000000001</v>
      </c>
    </row>
    <row r="49" spans="1:2" x14ac:dyDescent="0.25">
      <c r="A49" s="88">
        <v>22</v>
      </c>
      <c r="B49" s="90">
        <v>0.375</v>
      </c>
    </row>
    <row r="50" spans="1:2" x14ac:dyDescent="0.25">
      <c r="A50" s="88">
        <v>23</v>
      </c>
      <c r="B50" s="90">
        <v>0.36299999999999999</v>
      </c>
    </row>
    <row r="51" spans="1:2" x14ac:dyDescent="0.25">
      <c r="A51" s="88">
        <v>24</v>
      </c>
      <c r="B51" s="90">
        <v>0.35199999999999998</v>
      </c>
    </row>
    <row r="52" spans="1:2" x14ac:dyDescent="0.25">
      <c r="A52" s="88">
        <v>25</v>
      </c>
      <c r="B52" s="90">
        <v>0.34100000000000003</v>
      </c>
    </row>
    <row r="53" spans="1:2" x14ac:dyDescent="0.25">
      <c r="A53" s="88">
        <v>26</v>
      </c>
      <c r="B53" s="90">
        <v>0.33100000000000002</v>
      </c>
    </row>
    <row r="54" spans="1:2" x14ac:dyDescent="0.25">
      <c r="A54" s="88">
        <v>27</v>
      </c>
      <c r="B54" s="90">
        <v>0.32100000000000001</v>
      </c>
    </row>
    <row r="55" spans="1:2" x14ac:dyDescent="0.25">
      <c r="A55" s="88">
        <v>28</v>
      </c>
      <c r="B55" s="90">
        <v>0.312</v>
      </c>
    </row>
    <row r="56" spans="1:2" x14ac:dyDescent="0.25">
      <c r="A56" s="88">
        <v>29</v>
      </c>
      <c r="B56" s="90">
        <v>0.30299999999999999</v>
      </c>
    </row>
    <row r="57" spans="1:2" x14ac:dyDescent="0.25">
      <c r="A57" s="88">
        <v>30</v>
      </c>
      <c r="B57" s="90">
        <v>0.29399999999999998</v>
      </c>
    </row>
    <row r="58" spans="1:2" x14ac:dyDescent="0.25">
      <c r="A58" s="88">
        <v>31</v>
      </c>
      <c r="B58" s="90">
        <v>0.28599999999999998</v>
      </c>
    </row>
    <row r="59" spans="1:2" x14ac:dyDescent="0.25">
      <c r="A59" s="88">
        <v>32</v>
      </c>
      <c r="B59" s="90">
        <v>0.27800000000000002</v>
      </c>
    </row>
    <row r="60" spans="1:2" x14ac:dyDescent="0.25">
      <c r="A60" s="88">
        <v>33</v>
      </c>
      <c r="B60" s="90">
        <v>0.27100000000000002</v>
      </c>
    </row>
    <row r="61" spans="1:2" x14ac:dyDescent="0.25">
      <c r="A61" s="88">
        <v>34</v>
      </c>
      <c r="B61" s="90">
        <v>0.26400000000000001</v>
      </c>
    </row>
    <row r="62" spans="1:2" x14ac:dyDescent="0.25">
      <c r="A62" s="88">
        <v>35</v>
      </c>
      <c r="B62" s="90">
        <v>0.25700000000000001</v>
      </c>
    </row>
    <row r="63" spans="1:2" x14ac:dyDescent="0.25">
      <c r="A63" s="88">
        <v>36</v>
      </c>
      <c r="B63" s="90">
        <v>0.251</v>
      </c>
    </row>
    <row r="64" spans="1:2" x14ac:dyDescent="0.25">
      <c r="A64" s="88">
        <v>37</v>
      </c>
      <c r="B64" s="90">
        <v>0.24399999999999999</v>
      </c>
    </row>
    <row r="65" spans="1:2" x14ac:dyDescent="0.25">
      <c r="A65" s="88">
        <v>38</v>
      </c>
      <c r="B65" s="90">
        <v>0.23799999999999999</v>
      </c>
    </row>
    <row r="66" spans="1:2" x14ac:dyDescent="0.25">
      <c r="A66" s="88">
        <v>39</v>
      </c>
      <c r="B66" s="90">
        <v>0.23200000000000001</v>
      </c>
    </row>
    <row r="67" spans="1:2" x14ac:dyDescent="0.25">
      <c r="A67" s="88">
        <v>40</v>
      </c>
      <c r="B67" s="90">
        <v>0.22700000000000001</v>
      </c>
    </row>
    <row r="68" spans="1:2" x14ac:dyDescent="0.25">
      <c r="A68" s="88">
        <v>41</v>
      </c>
      <c r="B68" s="90">
        <v>0.221</v>
      </c>
    </row>
    <row r="69" spans="1:2" x14ac:dyDescent="0.25">
      <c r="A69" s="88">
        <v>42</v>
      </c>
      <c r="B69" s="90">
        <v>0.216</v>
      </c>
    </row>
    <row r="70" spans="1:2" x14ac:dyDescent="0.25">
      <c r="A70" s="88">
        <v>43</v>
      </c>
      <c r="B70" s="90">
        <v>0.21099999999999999</v>
      </c>
    </row>
    <row r="71" spans="1:2" x14ac:dyDescent="0.25">
      <c r="A71" s="88">
        <v>44</v>
      </c>
      <c r="B71" s="90">
        <v>0.20599999999999999</v>
      </c>
    </row>
    <row r="72" spans="1:2" x14ac:dyDescent="0.25">
      <c r="A72" s="88">
        <v>45</v>
      </c>
      <c r="B72" s="90">
        <v>0.20200000000000001</v>
      </c>
    </row>
    <row r="73" spans="1:2" x14ac:dyDescent="0.25">
      <c r="A73" s="88">
        <v>46</v>
      </c>
      <c r="B73" s="90">
        <v>0.19700000000000001</v>
      </c>
    </row>
    <row r="74" spans="1:2" x14ac:dyDescent="0.25">
      <c r="A74" s="88">
        <v>47</v>
      </c>
      <c r="B74" s="90">
        <v>0.193</v>
      </c>
    </row>
    <row r="75" spans="1:2" x14ac:dyDescent="0.25">
      <c r="A75" s="88">
        <v>48</v>
      </c>
      <c r="B75" s="90">
        <v>0.188</v>
      </c>
    </row>
    <row r="76" spans="1:2" x14ac:dyDescent="0.25">
      <c r="A76" s="88">
        <v>49</v>
      </c>
      <c r="B76" s="90">
        <v>0.184</v>
      </c>
    </row>
    <row r="77" spans="1:2" x14ac:dyDescent="0.25">
      <c r="A77" s="88">
        <v>50</v>
      </c>
      <c r="B77" s="90">
        <v>0.18</v>
      </c>
    </row>
  </sheetData>
  <sheetProtection algorithmName="SHA-512" hashValue="XVzrJ18Ws8kVOQ/C8sX/iS/9Je54BPK8CrURViH+h4EfJegfp5wk2rwyXchnaf9nESs/8p8vO2RTcMZUCp7ihw==" saltValue="Sj665OjeN7986S/l7PwbOg==" spinCount="100000" sheet="1" objects="1" scenarios="1"/>
  <conditionalFormatting sqref="A6:A21">
    <cfRule type="expression" dxfId="353" priority="3" stopIfTrue="1">
      <formula>MOD(ROW(),2)=0</formula>
    </cfRule>
    <cfRule type="expression" dxfId="352" priority="4" stopIfTrue="1">
      <formula>MOD(ROW(),2)&lt;&gt;0</formula>
    </cfRule>
  </conditionalFormatting>
  <conditionalFormatting sqref="A26:A77">
    <cfRule type="expression" dxfId="351" priority="9" stopIfTrue="1">
      <formula>MOD(ROW(),2)=0</formula>
    </cfRule>
    <cfRule type="expression" dxfId="350" priority="10" stopIfTrue="1">
      <formula>MOD(ROW(),2)&lt;&gt;0</formula>
    </cfRule>
  </conditionalFormatting>
  <conditionalFormatting sqref="B6:B21">
    <cfRule type="expression" dxfId="349" priority="25" stopIfTrue="1">
      <formula>MOD(ROW(),2)=0</formula>
    </cfRule>
    <cfRule type="expression" dxfId="348" priority="26" stopIfTrue="1">
      <formula>MOD(ROW(),2)&lt;&gt;0</formula>
    </cfRule>
  </conditionalFormatting>
  <conditionalFormatting sqref="B17:B21">
    <cfRule type="expression" dxfId="347" priority="7" stopIfTrue="1">
      <formula>MOD(ROW(),2)=0</formula>
    </cfRule>
    <cfRule type="expression" dxfId="346" priority="8" stopIfTrue="1">
      <formula>MOD(ROW(),2)&lt;&gt;0</formula>
    </cfRule>
  </conditionalFormatting>
  <conditionalFormatting sqref="B26:B77">
    <cfRule type="expression" dxfId="345" priority="11" stopIfTrue="1">
      <formula>MOD(ROW(),2)=0</formula>
    </cfRule>
    <cfRule type="expression" dxfId="344"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91"/>
  <dimension ref="A1:M65"/>
  <sheetViews>
    <sheetView showGridLines="0" zoomScale="85" zoomScaleNormal="85" workbookViewId="0">
      <selection activeCell="A4" sqref="A4"/>
    </sheetView>
  </sheetViews>
  <sheetFormatPr defaultColWidth="10" defaultRowHeight="13.2" x14ac:dyDescent="0.25"/>
  <cols>
    <col min="1" max="1" width="31.88671875" style="27" customWidth="1"/>
    <col min="2" max="13" width="22.88671875" style="27" customWidth="1"/>
    <col min="14" max="16384" width="10" style="27"/>
  </cols>
  <sheetData>
    <row r="1" spans="1:13" ht="21" x14ac:dyDescent="0.4">
      <c r="A1" s="39" t="s">
        <v>0</v>
      </c>
      <c r="B1" s="40"/>
      <c r="C1" s="40"/>
      <c r="D1" s="40"/>
      <c r="E1" s="40"/>
      <c r="F1" s="40"/>
      <c r="G1" s="40"/>
      <c r="H1" s="40"/>
      <c r="I1" s="40"/>
    </row>
    <row r="2" spans="1:13" ht="15.6" x14ac:dyDescent="0.3">
      <c r="A2" s="41" t="str">
        <f>IF(title="&gt; Enter workbook title here","Enter workbook title in Cover sheet",title)</f>
        <v>Fire_S - Consolidated Factor Spreadsheet</v>
      </c>
      <c r="B2" s="42"/>
      <c r="C2" s="42"/>
      <c r="D2" s="42"/>
      <c r="E2" s="42"/>
      <c r="F2" s="42"/>
      <c r="G2" s="42"/>
      <c r="H2" s="42"/>
      <c r="I2" s="42"/>
    </row>
    <row r="3" spans="1:13" ht="15.6" x14ac:dyDescent="0.3">
      <c r="A3" s="43" t="str">
        <f>TABLE_FACTOR_TYPE_1&amp;" - x-"&amp;TABLE_SERIES_NUMBER_1</f>
        <v>ERF - x-401</v>
      </c>
      <c r="B3" s="42"/>
      <c r="C3" s="42"/>
      <c r="D3" s="42"/>
      <c r="E3" s="42"/>
      <c r="F3" s="42"/>
      <c r="G3" s="42"/>
      <c r="H3" s="42"/>
      <c r="I3" s="42"/>
    </row>
    <row r="4" spans="1:13" x14ac:dyDescent="0.25">
      <c r="A4" s="44"/>
    </row>
    <row r="6" spans="1:13" x14ac:dyDescent="0.25">
      <c r="A6" s="75" t="s">
        <v>484</v>
      </c>
      <c r="B6" s="162" t="s">
        <v>485</v>
      </c>
      <c r="C6" s="162"/>
      <c r="D6" s="162"/>
      <c r="E6" s="162"/>
      <c r="F6" s="162"/>
      <c r="G6" s="162"/>
      <c r="H6" s="162"/>
      <c r="I6" s="162"/>
      <c r="J6" s="162"/>
      <c r="K6" s="162"/>
      <c r="L6" s="162"/>
      <c r="M6" s="162"/>
    </row>
    <row r="7" spans="1:13" x14ac:dyDescent="0.25">
      <c r="A7" s="76" t="s">
        <v>486</v>
      </c>
      <c r="B7" s="162" t="s">
        <v>81</v>
      </c>
      <c r="C7" s="162"/>
      <c r="D7" s="162"/>
      <c r="E7" s="162"/>
      <c r="F7" s="162"/>
      <c r="G7" s="162"/>
      <c r="H7" s="162"/>
      <c r="I7" s="162"/>
      <c r="J7" s="162"/>
      <c r="K7" s="162"/>
      <c r="L7" s="162"/>
      <c r="M7" s="162"/>
    </row>
    <row r="8" spans="1:13" x14ac:dyDescent="0.25">
      <c r="A8" s="76" t="s">
        <v>282</v>
      </c>
      <c r="B8" s="162">
        <v>2006</v>
      </c>
      <c r="C8" s="162"/>
      <c r="D8" s="162"/>
      <c r="E8" s="162"/>
      <c r="F8" s="162"/>
      <c r="G8" s="162"/>
      <c r="H8" s="162"/>
      <c r="I8" s="162"/>
      <c r="J8" s="162"/>
      <c r="K8" s="162"/>
      <c r="L8" s="162"/>
      <c r="M8" s="162"/>
    </row>
    <row r="9" spans="1:13" x14ac:dyDescent="0.25">
      <c r="A9" s="76" t="s">
        <v>283</v>
      </c>
      <c r="B9" s="162" t="s">
        <v>382</v>
      </c>
      <c r="C9" s="162"/>
      <c r="D9" s="162"/>
      <c r="E9" s="162"/>
      <c r="F9" s="162"/>
      <c r="G9" s="162"/>
      <c r="H9" s="162"/>
      <c r="I9" s="162"/>
      <c r="J9" s="162"/>
      <c r="K9" s="162"/>
      <c r="L9" s="162"/>
      <c r="M9" s="162"/>
    </row>
    <row r="10" spans="1:13" x14ac:dyDescent="0.25">
      <c r="A10" s="76" t="s">
        <v>6</v>
      </c>
      <c r="B10" s="162" t="s">
        <v>650</v>
      </c>
      <c r="C10" s="162"/>
      <c r="D10" s="162"/>
      <c r="E10" s="162"/>
      <c r="F10" s="162"/>
      <c r="G10" s="162"/>
      <c r="H10" s="162"/>
      <c r="I10" s="162"/>
      <c r="J10" s="162"/>
      <c r="K10" s="162"/>
      <c r="L10" s="162"/>
      <c r="M10" s="162"/>
    </row>
    <row r="11" spans="1:13" x14ac:dyDescent="0.25">
      <c r="A11" s="76" t="s">
        <v>284</v>
      </c>
      <c r="B11" s="162" t="s">
        <v>349</v>
      </c>
      <c r="C11" s="162"/>
      <c r="D11" s="162"/>
      <c r="E11" s="162"/>
      <c r="F11" s="162"/>
      <c r="G11" s="162"/>
      <c r="H11" s="162"/>
      <c r="I11" s="162"/>
      <c r="J11" s="162"/>
      <c r="K11" s="162"/>
      <c r="L11" s="162"/>
      <c r="M11" s="162"/>
    </row>
    <row r="12" spans="1:13" x14ac:dyDescent="0.25">
      <c r="A12" s="76" t="s">
        <v>285</v>
      </c>
      <c r="B12" s="162" t="s">
        <v>360</v>
      </c>
      <c r="C12" s="162"/>
      <c r="D12" s="162"/>
      <c r="E12" s="162"/>
      <c r="F12" s="162"/>
      <c r="G12" s="162"/>
      <c r="H12" s="162"/>
      <c r="I12" s="162"/>
      <c r="J12" s="162"/>
      <c r="K12" s="162"/>
      <c r="L12" s="162"/>
      <c r="M12" s="162"/>
    </row>
    <row r="13" spans="1:13" hidden="1" x14ac:dyDescent="0.25">
      <c r="A13" s="76" t="s">
        <v>493</v>
      </c>
      <c r="B13" s="162">
        <v>1</v>
      </c>
      <c r="C13" s="162"/>
      <c r="D13" s="162"/>
      <c r="E13" s="162"/>
      <c r="F13" s="162"/>
      <c r="G13" s="162"/>
      <c r="H13" s="162"/>
      <c r="I13" s="162"/>
      <c r="J13" s="162"/>
      <c r="K13" s="162"/>
      <c r="L13" s="162"/>
      <c r="M13" s="162"/>
    </row>
    <row r="14" spans="1:13" hidden="1" x14ac:dyDescent="0.25">
      <c r="A14" s="76" t="s">
        <v>287</v>
      </c>
      <c r="B14" s="162">
        <v>401</v>
      </c>
      <c r="C14" s="162"/>
      <c r="D14" s="162"/>
      <c r="E14" s="162"/>
      <c r="F14" s="162"/>
      <c r="G14" s="162"/>
      <c r="H14" s="162"/>
      <c r="I14" s="162"/>
      <c r="J14" s="162"/>
      <c r="K14" s="162"/>
      <c r="L14" s="162"/>
      <c r="M14" s="162"/>
    </row>
    <row r="15" spans="1:13" x14ac:dyDescent="0.25">
      <c r="A15" s="76" t="s">
        <v>496</v>
      </c>
      <c r="B15" s="162" t="s">
        <v>383</v>
      </c>
      <c r="C15" s="162"/>
      <c r="D15" s="162"/>
      <c r="E15" s="162"/>
      <c r="F15" s="162"/>
      <c r="G15" s="162"/>
      <c r="H15" s="162"/>
      <c r="I15" s="162"/>
      <c r="J15" s="162"/>
      <c r="K15" s="162"/>
      <c r="L15" s="162"/>
      <c r="M15" s="162"/>
    </row>
    <row r="16" spans="1:13" x14ac:dyDescent="0.25">
      <c r="A16" s="76" t="s">
        <v>288</v>
      </c>
      <c r="B16" s="162" t="s">
        <v>384</v>
      </c>
      <c r="C16" s="162"/>
      <c r="D16" s="162"/>
      <c r="E16" s="162"/>
      <c r="F16" s="162"/>
      <c r="G16" s="162"/>
      <c r="H16" s="162"/>
      <c r="I16" s="162"/>
      <c r="J16" s="162"/>
      <c r="K16" s="162"/>
      <c r="L16" s="162"/>
      <c r="M16" s="162"/>
    </row>
    <row r="17" spans="1:13" x14ac:dyDescent="0.25">
      <c r="A17" s="165" t="s">
        <v>568</v>
      </c>
      <c r="B17" s="162"/>
      <c r="C17" s="162"/>
      <c r="D17" s="162"/>
      <c r="E17" s="162"/>
      <c r="F17" s="162"/>
      <c r="G17" s="162"/>
      <c r="H17" s="162"/>
      <c r="I17" s="162"/>
      <c r="J17" s="162"/>
      <c r="K17" s="162"/>
      <c r="L17" s="162"/>
      <c r="M17" s="162"/>
    </row>
    <row r="18" spans="1:13" x14ac:dyDescent="0.25">
      <c r="A18" s="165" t="s">
        <v>500</v>
      </c>
      <c r="B18" s="164">
        <v>45106</v>
      </c>
      <c r="C18" s="162"/>
      <c r="D18" s="162"/>
      <c r="E18" s="162"/>
      <c r="F18" s="162"/>
      <c r="G18" s="162"/>
      <c r="H18" s="162"/>
      <c r="I18" s="162"/>
      <c r="J18" s="162"/>
      <c r="K18" s="162"/>
      <c r="L18" s="162"/>
      <c r="M18" s="162"/>
    </row>
    <row r="19" spans="1:13" x14ac:dyDescent="0.25">
      <c r="A19" s="165" t="s">
        <v>290</v>
      </c>
      <c r="B19" s="164">
        <v>45110</v>
      </c>
      <c r="C19" s="162"/>
      <c r="D19" s="162"/>
      <c r="E19" s="162"/>
      <c r="F19" s="162"/>
      <c r="G19" s="162"/>
      <c r="H19" s="162"/>
      <c r="I19" s="162"/>
      <c r="J19" s="162"/>
      <c r="K19" s="162"/>
      <c r="L19" s="162"/>
      <c r="M19" s="162"/>
    </row>
    <row r="20" spans="1:13" x14ac:dyDescent="0.25">
      <c r="A20" s="165" t="s">
        <v>291</v>
      </c>
      <c r="B20" s="162" t="s">
        <v>298</v>
      </c>
      <c r="C20" s="162"/>
      <c r="D20" s="162"/>
      <c r="E20" s="162"/>
      <c r="F20" s="162"/>
      <c r="G20" s="162"/>
      <c r="H20" s="162"/>
      <c r="I20" s="162"/>
      <c r="J20" s="162"/>
      <c r="K20" s="162"/>
      <c r="L20" s="162"/>
      <c r="M20" s="162"/>
    </row>
    <row r="21" spans="1:13" x14ac:dyDescent="0.25">
      <c r="A21" s="150" t="s">
        <v>569</v>
      </c>
      <c r="B21" s="162" t="s">
        <v>297</v>
      </c>
      <c r="C21" s="162"/>
      <c r="D21" s="162"/>
      <c r="E21" s="162"/>
      <c r="F21" s="162"/>
      <c r="G21" s="162"/>
      <c r="H21" s="162"/>
      <c r="I21" s="162"/>
      <c r="J21" s="162"/>
      <c r="K21" s="162"/>
      <c r="L21" s="162"/>
      <c r="M21" s="162"/>
    </row>
    <row r="23" spans="1:13" x14ac:dyDescent="0.25">
      <c r="B23" s="91" t="str">
        <f>HYPERLINK("#'Factor List'!A1","Back to Factor List")</f>
        <v>Back to Factor List</v>
      </c>
    </row>
    <row r="24" spans="1:13" x14ac:dyDescent="0.25">
      <c r="B24" s="91" t="str">
        <f>HYPERLINK("#'Assumptions'!A1","Assumptions")</f>
        <v>Assumptions</v>
      </c>
    </row>
    <row r="26" spans="1:13" x14ac:dyDescent="0.25">
      <c r="A26" s="87" t="s">
        <v>614</v>
      </c>
      <c r="B26" s="87">
        <v>0</v>
      </c>
      <c r="C26" s="87">
        <v>1</v>
      </c>
      <c r="D26" s="87">
        <v>2</v>
      </c>
      <c r="E26" s="87">
        <v>3</v>
      </c>
      <c r="F26" s="87">
        <v>4</v>
      </c>
      <c r="G26" s="87">
        <v>5</v>
      </c>
      <c r="H26" s="87">
        <v>6</v>
      </c>
      <c r="I26" s="87">
        <v>7</v>
      </c>
      <c r="J26" s="87">
        <v>8</v>
      </c>
      <c r="K26" s="87">
        <v>9</v>
      </c>
      <c r="L26" s="87">
        <v>10</v>
      </c>
      <c r="M26" s="87">
        <v>11</v>
      </c>
    </row>
    <row r="27" spans="1:13" x14ac:dyDescent="0.25">
      <c r="A27" s="88">
        <v>55</v>
      </c>
      <c r="B27" s="90">
        <v>0.60899999999999999</v>
      </c>
      <c r="C27" s="90">
        <v>0.61199999999999999</v>
      </c>
      <c r="D27" s="90">
        <v>0.61399999999999999</v>
      </c>
      <c r="E27" s="90">
        <v>0.61599999999999999</v>
      </c>
      <c r="F27" s="90">
        <v>0.61799999999999999</v>
      </c>
      <c r="G27" s="90">
        <v>0.62</v>
      </c>
      <c r="H27" s="90">
        <v>0.623</v>
      </c>
      <c r="I27" s="90">
        <v>0.625</v>
      </c>
      <c r="J27" s="90">
        <v>0.627</v>
      </c>
      <c r="K27" s="90">
        <v>0.629</v>
      </c>
      <c r="L27" s="90">
        <v>0.63100000000000001</v>
      </c>
      <c r="M27" s="90">
        <v>0.63400000000000001</v>
      </c>
    </row>
    <row r="28" spans="1:13" x14ac:dyDescent="0.25">
      <c r="A28" s="88">
        <v>56</v>
      </c>
      <c r="B28" s="90">
        <v>0.63600000000000001</v>
      </c>
      <c r="C28" s="90">
        <v>0.63800000000000001</v>
      </c>
      <c r="D28" s="90">
        <v>0.64100000000000001</v>
      </c>
      <c r="E28" s="90">
        <v>0.64300000000000002</v>
      </c>
      <c r="F28" s="90">
        <v>0.64500000000000002</v>
      </c>
      <c r="G28" s="90">
        <v>0.64800000000000002</v>
      </c>
      <c r="H28" s="90">
        <v>0.65</v>
      </c>
      <c r="I28" s="90">
        <v>0.65300000000000002</v>
      </c>
      <c r="J28" s="90">
        <v>0.65500000000000003</v>
      </c>
      <c r="K28" s="90">
        <v>0.65700000000000003</v>
      </c>
      <c r="L28" s="90">
        <v>0.66</v>
      </c>
      <c r="M28" s="90">
        <v>0.66200000000000003</v>
      </c>
    </row>
    <row r="29" spans="1:13" x14ac:dyDescent="0.25">
      <c r="A29" s="88">
        <v>57</v>
      </c>
      <c r="B29" s="90">
        <v>0.66500000000000004</v>
      </c>
      <c r="C29" s="90">
        <v>0.66700000000000004</v>
      </c>
      <c r="D29" s="90">
        <v>0.67</v>
      </c>
      <c r="E29" s="90">
        <v>0.67200000000000004</v>
      </c>
      <c r="F29" s="90">
        <v>0.67500000000000004</v>
      </c>
      <c r="G29" s="90">
        <v>0.67700000000000005</v>
      </c>
      <c r="H29" s="90">
        <v>0.68</v>
      </c>
      <c r="I29" s="90">
        <v>0.68200000000000005</v>
      </c>
      <c r="J29" s="90">
        <v>0.68500000000000005</v>
      </c>
      <c r="K29" s="90">
        <v>0.68799999999999994</v>
      </c>
      <c r="L29" s="90">
        <v>0.69</v>
      </c>
      <c r="M29" s="90">
        <v>0.69299999999999995</v>
      </c>
    </row>
    <row r="30" spans="1:13" x14ac:dyDescent="0.25">
      <c r="A30" s="88">
        <v>58</v>
      </c>
      <c r="B30" s="90">
        <v>0.69499999999999995</v>
      </c>
      <c r="C30" s="90">
        <v>0.69799999999999995</v>
      </c>
      <c r="D30" s="90">
        <v>0.70099999999999996</v>
      </c>
      <c r="E30" s="90">
        <v>0.70399999999999996</v>
      </c>
      <c r="F30" s="90">
        <v>0.70599999999999996</v>
      </c>
      <c r="G30" s="90">
        <v>0.70899999999999996</v>
      </c>
      <c r="H30" s="90">
        <v>0.71199999999999997</v>
      </c>
      <c r="I30" s="90">
        <v>0.71499999999999997</v>
      </c>
      <c r="J30" s="90">
        <v>0.71799999999999997</v>
      </c>
      <c r="K30" s="90">
        <v>0.72</v>
      </c>
      <c r="L30" s="90">
        <v>0.72299999999999998</v>
      </c>
      <c r="M30" s="90">
        <v>0.72599999999999998</v>
      </c>
    </row>
    <row r="31" spans="1:13" x14ac:dyDescent="0.25">
      <c r="A31" s="88">
        <v>59</v>
      </c>
      <c r="B31" s="90">
        <v>0.72899999999999998</v>
      </c>
      <c r="C31" s="90">
        <v>0.73199999999999998</v>
      </c>
      <c r="D31" s="90">
        <v>0.73499999999999999</v>
      </c>
      <c r="E31" s="90">
        <v>0.73799999999999999</v>
      </c>
      <c r="F31" s="90">
        <v>0.74099999999999999</v>
      </c>
      <c r="G31" s="90">
        <v>0.74399999999999999</v>
      </c>
      <c r="H31" s="90">
        <v>0.747</v>
      </c>
      <c r="I31" s="90">
        <v>0.75</v>
      </c>
      <c r="J31" s="90">
        <v>0.753</v>
      </c>
      <c r="K31" s="90">
        <v>0.75600000000000001</v>
      </c>
      <c r="L31" s="90">
        <v>0.75900000000000001</v>
      </c>
      <c r="M31" s="90">
        <v>0.76200000000000001</v>
      </c>
    </row>
    <row r="32" spans="1:13" x14ac:dyDescent="0.25">
      <c r="A32" s="88">
        <v>60</v>
      </c>
      <c r="B32" s="90">
        <v>0.76500000000000001</v>
      </c>
      <c r="C32" s="90">
        <v>0.76800000000000002</v>
      </c>
      <c r="D32" s="90">
        <v>0.77100000000000002</v>
      </c>
      <c r="E32" s="90">
        <v>0.77400000000000002</v>
      </c>
      <c r="F32" s="90">
        <v>0.77800000000000002</v>
      </c>
      <c r="G32" s="90">
        <v>0.78100000000000003</v>
      </c>
      <c r="H32" s="90">
        <v>0.78400000000000003</v>
      </c>
      <c r="I32" s="90">
        <v>0.78800000000000003</v>
      </c>
      <c r="J32" s="90">
        <v>0.79100000000000004</v>
      </c>
      <c r="K32" s="90">
        <v>0.79400000000000004</v>
      </c>
      <c r="L32" s="90">
        <v>0.79700000000000004</v>
      </c>
      <c r="M32" s="90">
        <v>0.80100000000000005</v>
      </c>
    </row>
    <row r="33" spans="1:13" x14ac:dyDescent="0.25">
      <c r="A33" s="88">
        <v>61</v>
      </c>
      <c r="B33" s="90">
        <v>0.80400000000000005</v>
      </c>
      <c r="C33" s="90">
        <v>0.80700000000000005</v>
      </c>
      <c r="D33" s="90">
        <v>0.81100000000000005</v>
      </c>
      <c r="E33" s="90">
        <v>0.81499999999999995</v>
      </c>
      <c r="F33" s="90">
        <v>0.81799999999999995</v>
      </c>
      <c r="G33" s="90">
        <v>0.82199999999999995</v>
      </c>
      <c r="H33" s="90">
        <v>0.82499999999999996</v>
      </c>
      <c r="I33" s="90">
        <v>0.82899999999999996</v>
      </c>
      <c r="J33" s="90">
        <v>0.83199999999999996</v>
      </c>
      <c r="K33" s="90">
        <v>0.83599999999999997</v>
      </c>
      <c r="L33" s="90">
        <v>0.83899999999999997</v>
      </c>
      <c r="M33" s="90">
        <v>0.84299999999999997</v>
      </c>
    </row>
    <row r="34" spans="1:13" x14ac:dyDescent="0.25">
      <c r="A34" s="88">
        <v>62</v>
      </c>
      <c r="B34" s="90">
        <v>0.84599999999999997</v>
      </c>
      <c r="C34" s="90">
        <v>0.85</v>
      </c>
      <c r="D34" s="90">
        <v>0.85399999999999998</v>
      </c>
      <c r="E34" s="90">
        <v>0.85799999999999998</v>
      </c>
      <c r="F34" s="90">
        <v>0.86199999999999999</v>
      </c>
      <c r="G34" s="90">
        <v>0.86599999999999999</v>
      </c>
      <c r="H34" s="90">
        <v>0.87</v>
      </c>
      <c r="I34" s="90">
        <v>0.874</v>
      </c>
      <c r="J34" s="90">
        <v>0.877</v>
      </c>
      <c r="K34" s="90">
        <v>0.88100000000000001</v>
      </c>
      <c r="L34" s="90">
        <v>0.88500000000000001</v>
      </c>
      <c r="M34" s="90">
        <v>0.88900000000000001</v>
      </c>
    </row>
    <row r="35" spans="1:13" x14ac:dyDescent="0.25">
      <c r="A35" s="88">
        <v>63</v>
      </c>
      <c r="B35" s="90">
        <v>0.89300000000000002</v>
      </c>
      <c r="C35" s="90">
        <v>0.89700000000000002</v>
      </c>
      <c r="D35" s="90">
        <v>0.90200000000000002</v>
      </c>
      <c r="E35" s="90">
        <v>0.90600000000000003</v>
      </c>
      <c r="F35" s="90">
        <v>0.91</v>
      </c>
      <c r="G35" s="90">
        <v>0.91400000000000003</v>
      </c>
      <c r="H35" s="90">
        <v>0.91800000000000004</v>
      </c>
      <c r="I35" s="90">
        <v>0.92300000000000004</v>
      </c>
      <c r="J35" s="90">
        <v>0.92700000000000005</v>
      </c>
      <c r="K35" s="90">
        <v>0.93100000000000005</v>
      </c>
      <c r="L35" s="90">
        <v>0.93500000000000005</v>
      </c>
      <c r="M35" s="90">
        <v>0.94</v>
      </c>
    </row>
    <row r="36" spans="1:13" x14ac:dyDescent="0.25">
      <c r="A36" s="88">
        <v>64</v>
      </c>
      <c r="B36" s="90">
        <v>0.94399999999999995</v>
      </c>
      <c r="C36" s="90">
        <v>0.94899999999999995</v>
      </c>
      <c r="D36" s="90">
        <v>0.95299999999999996</v>
      </c>
      <c r="E36" s="90">
        <v>0.95799999999999996</v>
      </c>
      <c r="F36" s="90">
        <v>0.96299999999999997</v>
      </c>
      <c r="G36" s="90">
        <v>0.96699999999999997</v>
      </c>
      <c r="H36" s="90">
        <v>0.97199999999999998</v>
      </c>
      <c r="I36" s="90">
        <v>0.97699999999999998</v>
      </c>
      <c r="J36" s="90">
        <v>0.98099999999999998</v>
      </c>
      <c r="K36" s="90">
        <v>0.98599999999999999</v>
      </c>
      <c r="L36" s="90">
        <v>0.99099999999999999</v>
      </c>
      <c r="M36" s="90">
        <v>0.995</v>
      </c>
    </row>
    <row r="37" spans="1:13" x14ac:dyDescent="0.25">
      <c r="A37" s="88">
        <v>65</v>
      </c>
      <c r="B37" s="90">
        <v>1</v>
      </c>
      <c r="C37" s="90"/>
      <c r="D37" s="90"/>
      <c r="E37" s="90"/>
      <c r="F37" s="90"/>
      <c r="G37" s="90"/>
      <c r="H37" s="90"/>
      <c r="I37" s="90"/>
      <c r="J37" s="90"/>
      <c r="K37" s="90"/>
      <c r="L37" s="90"/>
      <c r="M37" s="90"/>
    </row>
    <row r="38" spans="1:13" x14ac:dyDescent="0.25">
      <c r="A38"/>
      <c r="B38"/>
    </row>
    <row r="39" spans="1:13" x14ac:dyDescent="0.25">
      <c r="A39"/>
      <c r="B39"/>
    </row>
    <row r="40" spans="1:13" x14ac:dyDescent="0.25">
      <c r="A40"/>
      <c r="B40"/>
    </row>
    <row r="41" spans="1:13" x14ac:dyDescent="0.25">
      <c r="A41"/>
      <c r="B41"/>
    </row>
    <row r="42" spans="1:13" x14ac:dyDescent="0.25">
      <c r="A42"/>
      <c r="B42"/>
    </row>
    <row r="43" spans="1:13" x14ac:dyDescent="0.25">
      <c r="A43"/>
      <c r="B43"/>
    </row>
    <row r="44" spans="1:13" ht="39.6" customHeight="1" x14ac:dyDescent="0.25">
      <c r="A44"/>
      <c r="B44"/>
    </row>
    <row r="45" spans="1:13" x14ac:dyDescent="0.25">
      <c r="A45"/>
      <c r="B45"/>
    </row>
    <row r="46" spans="1:13" ht="27.6" customHeight="1"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gZZseXmZVkcKIpMmNqE86VZ1CK6KLD+L2NK1pLJp+bYNuKB2oMg6ICvECbNsSaac0glnKyCKMn206oNU8Lg3lQ==" saltValue="f5JQGUmA/pGWZmZfL/f7CQ==" spinCount="100000" sheet="1" objects="1" scenarios="1"/>
  <conditionalFormatting sqref="A6:A21">
    <cfRule type="expression" dxfId="343" priority="3" stopIfTrue="1">
      <formula>MOD(ROW(),2)=0</formula>
    </cfRule>
    <cfRule type="expression" dxfId="342" priority="4" stopIfTrue="1">
      <formula>MOD(ROW(),2)&lt;&gt;0</formula>
    </cfRule>
  </conditionalFormatting>
  <conditionalFormatting sqref="A26:A37">
    <cfRule type="expression" dxfId="341" priority="7" stopIfTrue="1">
      <formula>MOD(ROW(),2)=0</formula>
    </cfRule>
    <cfRule type="expression" dxfId="340" priority="8" stopIfTrue="1">
      <formula>MOD(ROW(),2)&lt;&gt;0</formula>
    </cfRule>
  </conditionalFormatting>
  <conditionalFormatting sqref="B17:B21">
    <cfRule type="expression" dxfId="339" priority="13" stopIfTrue="1">
      <formula>MOD(ROW(),2)=0</formula>
    </cfRule>
    <cfRule type="expression" dxfId="338" priority="14" stopIfTrue="1">
      <formula>MOD(ROW(),2)&lt;&gt;0</formula>
    </cfRule>
  </conditionalFormatting>
  <conditionalFormatting sqref="B6:M21 B26:M37">
    <cfRule type="expression" dxfId="337" priority="21" stopIfTrue="1">
      <formula>MOD(ROW(),2)=0</formula>
    </cfRule>
    <cfRule type="expression" dxfId="336" priority="2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92"/>
  <dimension ref="A1:M65"/>
  <sheetViews>
    <sheetView showGridLines="0" zoomScale="85" zoomScaleNormal="85" workbookViewId="0">
      <selection activeCell="A4" sqref="A4"/>
    </sheetView>
  </sheetViews>
  <sheetFormatPr defaultColWidth="10" defaultRowHeight="13.2" x14ac:dyDescent="0.25"/>
  <cols>
    <col min="1" max="1" width="31.88671875" style="27" customWidth="1"/>
    <col min="2" max="13" width="22.88671875" style="27" customWidth="1"/>
    <col min="14" max="16384" width="10" style="27"/>
  </cols>
  <sheetData>
    <row r="1" spans="1:13" ht="21" x14ac:dyDescent="0.4">
      <c r="A1" s="39" t="s">
        <v>0</v>
      </c>
      <c r="B1" s="40"/>
      <c r="C1" s="40"/>
      <c r="D1" s="40"/>
      <c r="E1" s="40"/>
      <c r="F1" s="40"/>
      <c r="G1" s="40"/>
      <c r="H1" s="40"/>
      <c r="I1" s="40"/>
    </row>
    <row r="2" spans="1:13" ht="15.6" x14ac:dyDescent="0.3">
      <c r="A2" s="41" t="str">
        <f>IF(title="&gt; Enter workbook title here","Enter workbook title in Cover sheet",title)</f>
        <v>Fire_S - Consolidated Factor Spreadsheet</v>
      </c>
      <c r="B2" s="42"/>
      <c r="C2" s="42"/>
      <c r="D2" s="42"/>
      <c r="E2" s="42"/>
      <c r="F2" s="42"/>
      <c r="G2" s="42"/>
      <c r="H2" s="42"/>
      <c r="I2" s="42"/>
    </row>
    <row r="3" spans="1:13" ht="15.6" x14ac:dyDescent="0.3">
      <c r="A3" s="43" t="str">
        <f>TABLE_FACTOR_TYPE_1&amp;" - x-"&amp;TABLE_SERIES_NUMBER_1</f>
        <v>ERF - x-402</v>
      </c>
      <c r="B3" s="42"/>
      <c r="C3" s="42"/>
      <c r="D3" s="42"/>
      <c r="E3" s="42"/>
      <c r="F3" s="42"/>
      <c r="G3" s="42"/>
      <c r="H3" s="42"/>
      <c r="I3" s="42"/>
    </row>
    <row r="4" spans="1:13" x14ac:dyDescent="0.25">
      <c r="A4" s="44"/>
    </row>
    <row r="6" spans="1:13" x14ac:dyDescent="0.25">
      <c r="A6" s="75" t="s">
        <v>484</v>
      </c>
      <c r="B6" s="162" t="s">
        <v>485</v>
      </c>
      <c r="C6" s="162"/>
      <c r="D6" s="162"/>
      <c r="E6" s="162"/>
      <c r="F6" s="162"/>
      <c r="G6" s="162"/>
      <c r="H6" s="162"/>
      <c r="I6" s="162"/>
      <c r="J6" s="162"/>
      <c r="K6" s="162"/>
      <c r="L6" s="162"/>
      <c r="M6" s="162"/>
    </row>
    <row r="7" spans="1:13" x14ac:dyDescent="0.25">
      <c r="A7" s="76" t="s">
        <v>486</v>
      </c>
      <c r="B7" s="162" t="s">
        <v>81</v>
      </c>
      <c r="C7" s="162"/>
      <c r="D7" s="162"/>
      <c r="E7" s="162"/>
      <c r="F7" s="162"/>
      <c r="G7" s="162"/>
      <c r="H7" s="162"/>
      <c r="I7" s="162"/>
      <c r="J7" s="162"/>
      <c r="K7" s="162"/>
      <c r="L7" s="162"/>
      <c r="M7" s="162"/>
    </row>
    <row r="8" spans="1:13" x14ac:dyDescent="0.25">
      <c r="A8" s="76" t="s">
        <v>282</v>
      </c>
      <c r="B8" s="162">
        <v>2015</v>
      </c>
      <c r="C8" s="162"/>
      <c r="D8" s="162"/>
      <c r="E8" s="162"/>
      <c r="F8" s="162"/>
      <c r="G8" s="162"/>
      <c r="H8" s="162"/>
      <c r="I8" s="162"/>
      <c r="J8" s="162"/>
      <c r="K8" s="162"/>
      <c r="L8" s="162"/>
      <c r="M8" s="162"/>
    </row>
    <row r="9" spans="1:13" x14ac:dyDescent="0.25">
      <c r="A9" s="76" t="s">
        <v>283</v>
      </c>
      <c r="B9" s="162" t="s">
        <v>382</v>
      </c>
      <c r="C9" s="162"/>
      <c r="D9" s="162"/>
      <c r="E9" s="162"/>
      <c r="F9" s="162"/>
      <c r="G9" s="162"/>
      <c r="H9" s="162"/>
      <c r="I9" s="162"/>
      <c r="J9" s="162"/>
      <c r="K9" s="162"/>
      <c r="L9" s="162"/>
      <c r="M9" s="162"/>
    </row>
    <row r="10" spans="1:13" x14ac:dyDescent="0.25">
      <c r="A10" s="76" t="s">
        <v>6</v>
      </c>
      <c r="B10" s="162" t="s">
        <v>651</v>
      </c>
      <c r="C10" s="162"/>
      <c r="D10" s="162"/>
      <c r="E10" s="162"/>
      <c r="F10" s="162"/>
      <c r="G10" s="162"/>
      <c r="H10" s="162"/>
      <c r="I10" s="162"/>
      <c r="J10" s="162"/>
      <c r="K10" s="162"/>
      <c r="L10" s="162"/>
      <c r="M10" s="162"/>
    </row>
    <row r="11" spans="1:13" x14ac:dyDescent="0.25">
      <c r="A11" s="76" t="s">
        <v>284</v>
      </c>
      <c r="B11" s="162" t="s">
        <v>349</v>
      </c>
      <c r="C11" s="162"/>
      <c r="D11" s="162"/>
      <c r="E11" s="162"/>
      <c r="F11" s="162"/>
      <c r="G11" s="162"/>
      <c r="H11" s="162"/>
      <c r="I11" s="162"/>
      <c r="J11" s="162"/>
      <c r="K11" s="162"/>
      <c r="L11" s="162"/>
      <c r="M11" s="162"/>
    </row>
    <row r="12" spans="1:13" x14ac:dyDescent="0.25">
      <c r="A12" s="76" t="s">
        <v>285</v>
      </c>
      <c r="B12" s="162" t="s">
        <v>385</v>
      </c>
      <c r="C12" s="162"/>
      <c r="D12" s="162"/>
      <c r="E12" s="162"/>
      <c r="F12" s="162"/>
      <c r="G12" s="162"/>
      <c r="H12" s="162"/>
      <c r="I12" s="162"/>
      <c r="J12" s="162"/>
      <c r="K12" s="162"/>
      <c r="L12" s="162"/>
      <c r="M12" s="162"/>
    </row>
    <row r="13" spans="1:13" hidden="1" x14ac:dyDescent="0.25">
      <c r="A13" s="76" t="s">
        <v>493</v>
      </c>
      <c r="B13" s="162">
        <v>0</v>
      </c>
      <c r="C13" s="162"/>
      <c r="D13" s="162"/>
      <c r="E13" s="162"/>
      <c r="F13" s="162"/>
      <c r="G13" s="162"/>
      <c r="H13" s="162"/>
      <c r="I13" s="162"/>
      <c r="J13" s="162"/>
      <c r="K13" s="162"/>
      <c r="L13" s="162"/>
      <c r="M13" s="162"/>
    </row>
    <row r="14" spans="1:13" hidden="1" x14ac:dyDescent="0.25">
      <c r="A14" s="76" t="s">
        <v>287</v>
      </c>
      <c r="B14" s="162">
        <v>402</v>
      </c>
      <c r="C14" s="162"/>
      <c r="D14" s="162"/>
      <c r="E14" s="162"/>
      <c r="F14" s="162"/>
      <c r="G14" s="162"/>
      <c r="H14" s="162"/>
      <c r="I14" s="162"/>
      <c r="J14" s="162"/>
      <c r="K14" s="162"/>
      <c r="L14" s="162"/>
      <c r="M14" s="162"/>
    </row>
    <row r="15" spans="1:13" x14ac:dyDescent="0.25">
      <c r="A15" s="76" t="s">
        <v>496</v>
      </c>
      <c r="B15" s="162" t="s">
        <v>386</v>
      </c>
      <c r="C15" s="162"/>
      <c r="D15" s="162"/>
      <c r="E15" s="162"/>
      <c r="F15" s="162"/>
      <c r="G15" s="162"/>
      <c r="H15" s="162"/>
      <c r="I15" s="162"/>
      <c r="J15" s="162"/>
      <c r="K15" s="162"/>
      <c r="L15" s="162"/>
      <c r="M15" s="162"/>
    </row>
    <row r="16" spans="1:13" x14ac:dyDescent="0.25">
      <c r="A16" s="76" t="s">
        <v>288</v>
      </c>
      <c r="B16" s="162">
        <v>2.1</v>
      </c>
      <c r="C16" s="162"/>
      <c r="D16" s="162"/>
      <c r="E16" s="162"/>
      <c r="F16" s="162"/>
      <c r="G16" s="162"/>
      <c r="H16" s="162"/>
      <c r="I16" s="162"/>
      <c r="J16" s="162"/>
      <c r="K16" s="162"/>
      <c r="L16" s="162"/>
      <c r="M16" s="162"/>
    </row>
    <row r="17" spans="1:13" x14ac:dyDescent="0.25">
      <c r="A17" s="165" t="s">
        <v>568</v>
      </c>
      <c r="B17" s="162"/>
      <c r="C17" s="162"/>
      <c r="D17" s="162"/>
      <c r="E17" s="162"/>
      <c r="F17" s="162"/>
      <c r="G17" s="162"/>
      <c r="H17" s="162"/>
      <c r="I17" s="162"/>
      <c r="J17" s="162"/>
      <c r="K17" s="162"/>
      <c r="L17" s="162"/>
      <c r="M17" s="162"/>
    </row>
    <row r="18" spans="1:13" x14ac:dyDescent="0.25">
      <c r="A18" s="165" t="s">
        <v>500</v>
      </c>
      <c r="B18" s="164">
        <v>45106</v>
      </c>
      <c r="C18" s="162"/>
      <c r="D18" s="162"/>
      <c r="E18" s="162"/>
      <c r="F18" s="162"/>
      <c r="G18" s="162"/>
      <c r="H18" s="162"/>
      <c r="I18" s="162"/>
      <c r="J18" s="162"/>
      <c r="K18" s="162"/>
      <c r="L18" s="162"/>
      <c r="M18" s="162"/>
    </row>
    <row r="19" spans="1:13" x14ac:dyDescent="0.25">
      <c r="A19" s="165" t="s">
        <v>290</v>
      </c>
      <c r="B19" s="164">
        <v>45110</v>
      </c>
      <c r="C19" s="162"/>
      <c r="D19" s="162"/>
      <c r="E19" s="162"/>
      <c r="F19" s="162"/>
      <c r="G19" s="162"/>
      <c r="H19" s="162"/>
      <c r="I19" s="162"/>
      <c r="J19" s="162"/>
      <c r="K19" s="162"/>
      <c r="L19" s="162"/>
      <c r="M19" s="162"/>
    </row>
    <row r="20" spans="1:13" x14ac:dyDescent="0.25">
      <c r="A20" s="165" t="s">
        <v>291</v>
      </c>
      <c r="B20" s="162" t="s">
        <v>298</v>
      </c>
      <c r="C20" s="162"/>
      <c r="D20" s="162"/>
      <c r="E20" s="162"/>
      <c r="F20" s="162"/>
      <c r="G20" s="162"/>
      <c r="H20" s="162"/>
      <c r="I20" s="162"/>
      <c r="J20" s="162"/>
      <c r="K20" s="162"/>
      <c r="L20" s="162"/>
      <c r="M20" s="162"/>
    </row>
    <row r="21" spans="1:13" x14ac:dyDescent="0.25">
      <c r="A21" s="150" t="s">
        <v>569</v>
      </c>
      <c r="B21" s="162" t="s">
        <v>297</v>
      </c>
      <c r="C21" s="162"/>
      <c r="D21" s="162"/>
      <c r="E21" s="162"/>
      <c r="F21" s="162"/>
      <c r="G21" s="162"/>
      <c r="H21" s="162"/>
      <c r="I21" s="162"/>
      <c r="J21" s="162"/>
      <c r="K21" s="162"/>
      <c r="L21" s="162"/>
      <c r="M21" s="162"/>
    </row>
    <row r="23" spans="1:13" x14ac:dyDescent="0.25">
      <c r="B23" s="91" t="str">
        <f>HYPERLINK("#'Factor List'!A1","Back to Factor List")</f>
        <v>Back to Factor List</v>
      </c>
    </row>
    <row r="24" spans="1:13" x14ac:dyDescent="0.25">
      <c r="B24" s="91" t="str">
        <f>HYPERLINK("#'Assumptions'!A1","Assumptions")</f>
        <v>Assumptions</v>
      </c>
    </row>
    <row r="26" spans="1:13" x14ac:dyDescent="0.25">
      <c r="A26" s="87" t="s">
        <v>615</v>
      </c>
      <c r="B26" s="87">
        <v>0</v>
      </c>
      <c r="C26" s="87">
        <v>1</v>
      </c>
      <c r="D26" s="87">
        <v>2</v>
      </c>
      <c r="E26" s="87">
        <v>3</v>
      </c>
      <c r="F26" s="87">
        <v>4</v>
      </c>
      <c r="G26" s="87">
        <v>5</v>
      </c>
      <c r="H26" s="87">
        <v>6</v>
      </c>
      <c r="I26" s="87">
        <v>7</v>
      </c>
      <c r="J26" s="87">
        <v>8</v>
      </c>
      <c r="K26" s="87">
        <v>9</v>
      </c>
      <c r="L26" s="87">
        <v>10</v>
      </c>
      <c r="M26" s="87">
        <v>11</v>
      </c>
    </row>
    <row r="27" spans="1:13" x14ac:dyDescent="0.25">
      <c r="A27" s="88">
        <v>5</v>
      </c>
      <c r="B27" s="90">
        <v>0.86599999999999999</v>
      </c>
      <c r="C27" s="90"/>
      <c r="D27" s="90"/>
      <c r="E27" s="90"/>
      <c r="F27" s="90"/>
      <c r="G27" s="90"/>
      <c r="H27" s="90"/>
      <c r="I27" s="90"/>
      <c r="J27" s="90"/>
      <c r="K27" s="90"/>
      <c r="L27" s="90"/>
      <c r="M27" s="90"/>
    </row>
    <row r="28" spans="1:13" x14ac:dyDescent="0.25">
      <c r="A28" s="88">
        <v>4</v>
      </c>
      <c r="B28" s="90">
        <v>0.88900000000000001</v>
      </c>
      <c r="C28" s="90">
        <v>0.88700000000000001</v>
      </c>
      <c r="D28" s="90">
        <v>0.88500000000000001</v>
      </c>
      <c r="E28" s="90">
        <v>0.88300000000000001</v>
      </c>
      <c r="F28" s="90">
        <v>0.88100000000000001</v>
      </c>
      <c r="G28" s="90">
        <v>0.88</v>
      </c>
      <c r="H28" s="90">
        <v>0.878</v>
      </c>
      <c r="I28" s="90">
        <v>0.876</v>
      </c>
      <c r="J28" s="90">
        <v>0.874</v>
      </c>
      <c r="K28" s="90">
        <v>0.872</v>
      </c>
      <c r="L28" s="90">
        <v>0.87</v>
      </c>
      <c r="M28" s="90">
        <v>0.86799999999999999</v>
      </c>
    </row>
    <row r="29" spans="1:13" x14ac:dyDescent="0.25">
      <c r="A29" s="88">
        <v>3</v>
      </c>
      <c r="B29" s="90">
        <v>0.91400000000000003</v>
      </c>
      <c r="C29" s="90">
        <v>0.91200000000000003</v>
      </c>
      <c r="D29" s="90">
        <v>0.91</v>
      </c>
      <c r="E29" s="90">
        <v>0.90700000000000003</v>
      </c>
      <c r="F29" s="90">
        <v>0.90500000000000003</v>
      </c>
      <c r="G29" s="90">
        <v>0.90300000000000002</v>
      </c>
      <c r="H29" s="90">
        <v>0.90100000000000002</v>
      </c>
      <c r="I29" s="90">
        <v>0.89900000000000002</v>
      </c>
      <c r="J29" s="90">
        <v>0.89700000000000002</v>
      </c>
      <c r="K29" s="90">
        <v>0.89500000000000002</v>
      </c>
      <c r="L29" s="90">
        <v>0.89300000000000002</v>
      </c>
      <c r="M29" s="90">
        <v>0.89100000000000001</v>
      </c>
    </row>
    <row r="30" spans="1:13" x14ac:dyDescent="0.25">
      <c r="A30" s="88">
        <v>2</v>
      </c>
      <c r="B30" s="90">
        <v>0.94</v>
      </c>
      <c r="C30" s="90">
        <v>0.93799999999999994</v>
      </c>
      <c r="D30" s="90">
        <v>0.93600000000000005</v>
      </c>
      <c r="E30" s="90">
        <v>0.93400000000000005</v>
      </c>
      <c r="F30" s="90">
        <v>0.93100000000000005</v>
      </c>
      <c r="G30" s="90">
        <v>0.92900000000000005</v>
      </c>
      <c r="H30" s="90">
        <v>0.92700000000000005</v>
      </c>
      <c r="I30" s="90">
        <v>0.92500000000000004</v>
      </c>
      <c r="J30" s="90">
        <v>0.92200000000000004</v>
      </c>
      <c r="K30" s="90">
        <v>0.92</v>
      </c>
      <c r="L30" s="90">
        <v>0.91800000000000004</v>
      </c>
      <c r="M30" s="90">
        <v>0.91600000000000004</v>
      </c>
    </row>
    <row r="31" spans="1:13" x14ac:dyDescent="0.25">
      <c r="A31" s="88">
        <v>1</v>
      </c>
      <c r="B31" s="90">
        <v>0.96899999999999997</v>
      </c>
      <c r="C31" s="90">
        <v>0.96699999999999997</v>
      </c>
      <c r="D31" s="90">
        <v>0.96399999999999997</v>
      </c>
      <c r="E31" s="90">
        <v>0.96199999999999997</v>
      </c>
      <c r="F31" s="90">
        <v>0.95899999999999996</v>
      </c>
      <c r="G31" s="90">
        <v>0.95699999999999996</v>
      </c>
      <c r="H31" s="90">
        <v>0.95499999999999996</v>
      </c>
      <c r="I31" s="90">
        <v>0.95199999999999996</v>
      </c>
      <c r="J31" s="90">
        <v>0.95</v>
      </c>
      <c r="K31" s="90">
        <v>0.94699999999999995</v>
      </c>
      <c r="L31" s="90">
        <v>0.94499999999999995</v>
      </c>
      <c r="M31" s="90">
        <v>0.94299999999999995</v>
      </c>
    </row>
    <row r="32" spans="1:13" x14ac:dyDescent="0.25">
      <c r="A32" s="88">
        <v>0</v>
      </c>
      <c r="B32" s="90">
        <v>1</v>
      </c>
      <c r="C32" s="90">
        <v>0.997</v>
      </c>
      <c r="D32" s="90">
        <v>0.995</v>
      </c>
      <c r="E32" s="90">
        <v>0.99199999999999999</v>
      </c>
      <c r="F32" s="90">
        <v>0.99</v>
      </c>
      <c r="G32" s="90">
        <v>0.98699999999999999</v>
      </c>
      <c r="H32" s="90">
        <v>0.98399999999999999</v>
      </c>
      <c r="I32" s="90">
        <v>0.98199999999999998</v>
      </c>
      <c r="J32" s="90">
        <v>0.97899999999999998</v>
      </c>
      <c r="K32" s="90">
        <v>0.97699999999999998</v>
      </c>
      <c r="L32" s="90">
        <v>0.97399999999999998</v>
      </c>
      <c r="M32" s="90">
        <v>0.97099999999999997</v>
      </c>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FZbcP/6wkCjY9blJhccd5SP181ec+fdHR6mCwm+IS0UO58/cJHMuhqaBHT8z0QyLTrS3gkIQkNuXJ19c7eSjhw==" saltValue="g36uH0CV3xHM5sGasIX24Q==" spinCount="100000" sheet="1" objects="1" scenarios="1"/>
  <conditionalFormatting sqref="A6:A21">
    <cfRule type="expression" dxfId="335" priority="3" stopIfTrue="1">
      <formula>MOD(ROW(),2)=0</formula>
    </cfRule>
    <cfRule type="expression" dxfId="334" priority="4" stopIfTrue="1">
      <formula>MOD(ROW(),2)&lt;&gt;0</formula>
    </cfRule>
  </conditionalFormatting>
  <conditionalFormatting sqref="A26:A32">
    <cfRule type="expression" dxfId="333" priority="7" stopIfTrue="1">
      <formula>MOD(ROW(),2)=0</formula>
    </cfRule>
    <cfRule type="expression" dxfId="332" priority="8" stopIfTrue="1">
      <formula>MOD(ROW(),2)&lt;&gt;0</formula>
    </cfRule>
  </conditionalFormatting>
  <conditionalFormatting sqref="B17:B21">
    <cfRule type="expression" dxfId="331" priority="13" stopIfTrue="1">
      <formula>MOD(ROW(),2)=0</formula>
    </cfRule>
    <cfRule type="expression" dxfId="330" priority="14" stopIfTrue="1">
      <formula>MOD(ROW(),2)&lt;&gt;0</formula>
    </cfRule>
  </conditionalFormatting>
  <conditionalFormatting sqref="B6:M21 B26:M32">
    <cfRule type="expression" dxfId="329" priority="21" stopIfTrue="1">
      <formula>MOD(ROW(),2)=0</formula>
    </cfRule>
    <cfRule type="expression" dxfId="328" priority="2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93"/>
  <dimension ref="A1:M65"/>
  <sheetViews>
    <sheetView showGridLines="0" zoomScale="85" zoomScaleNormal="85" workbookViewId="0">
      <selection activeCell="A4" sqref="A4"/>
    </sheetView>
  </sheetViews>
  <sheetFormatPr defaultColWidth="10" defaultRowHeight="13.2" x14ac:dyDescent="0.25"/>
  <cols>
    <col min="1" max="1" width="31.88671875" style="27" customWidth="1"/>
    <col min="2" max="13" width="22.88671875" style="27" customWidth="1"/>
    <col min="14" max="16384" width="10" style="27"/>
  </cols>
  <sheetData>
    <row r="1" spans="1:13" ht="21" x14ac:dyDescent="0.4">
      <c r="A1" s="39" t="s">
        <v>0</v>
      </c>
      <c r="B1" s="40"/>
      <c r="C1" s="40"/>
      <c r="D1" s="40"/>
      <c r="E1" s="40"/>
      <c r="F1" s="40"/>
      <c r="G1" s="40"/>
      <c r="H1" s="40"/>
      <c r="I1" s="40"/>
    </row>
    <row r="2" spans="1:13" ht="15.6" x14ac:dyDescent="0.3">
      <c r="A2" s="41" t="str">
        <f>IF(title="&gt; Enter workbook title here","Enter workbook title in Cover sheet",title)</f>
        <v>Fire_S - Consolidated Factor Spreadsheet</v>
      </c>
      <c r="B2" s="42"/>
      <c r="C2" s="42"/>
      <c r="D2" s="42"/>
      <c r="E2" s="42"/>
      <c r="F2" s="42"/>
      <c r="G2" s="42"/>
      <c r="H2" s="42"/>
      <c r="I2" s="42"/>
    </row>
    <row r="3" spans="1:13" ht="15.6" x14ac:dyDescent="0.3">
      <c r="A3" s="43" t="str">
        <f>TABLE_FACTOR_TYPE_1&amp;" - x-"&amp;TABLE_SERIES_NUMBER_1</f>
        <v>ERF - x-403</v>
      </c>
      <c r="B3" s="42"/>
      <c r="C3" s="42"/>
      <c r="D3" s="42"/>
      <c r="E3" s="42"/>
      <c r="F3" s="42"/>
      <c r="G3" s="42"/>
      <c r="H3" s="42"/>
      <c r="I3" s="42"/>
    </row>
    <row r="4" spans="1:13" x14ac:dyDescent="0.25">
      <c r="A4" s="44"/>
    </row>
    <row r="6" spans="1:13" x14ac:dyDescent="0.25">
      <c r="A6" s="75" t="s">
        <v>484</v>
      </c>
      <c r="B6" s="162" t="s">
        <v>485</v>
      </c>
      <c r="C6" s="162"/>
      <c r="D6" s="162"/>
      <c r="E6" s="162"/>
      <c r="F6" s="162"/>
      <c r="G6" s="162"/>
      <c r="H6" s="162"/>
      <c r="I6" s="162"/>
      <c r="J6" s="162"/>
      <c r="K6" s="162"/>
      <c r="L6" s="162"/>
      <c r="M6" s="162"/>
    </row>
    <row r="7" spans="1:13" x14ac:dyDescent="0.25">
      <c r="A7" s="76" t="s">
        <v>486</v>
      </c>
      <c r="B7" s="162" t="s">
        <v>81</v>
      </c>
      <c r="C7" s="162"/>
      <c r="D7" s="162"/>
      <c r="E7" s="162"/>
      <c r="F7" s="162"/>
      <c r="G7" s="162"/>
      <c r="H7" s="162"/>
      <c r="I7" s="162"/>
      <c r="J7" s="162"/>
      <c r="K7" s="162"/>
      <c r="L7" s="162"/>
      <c r="M7" s="162"/>
    </row>
    <row r="8" spans="1:13" x14ac:dyDescent="0.25">
      <c r="A8" s="76" t="s">
        <v>282</v>
      </c>
      <c r="B8" s="162">
        <v>2015</v>
      </c>
      <c r="C8" s="162"/>
      <c r="D8" s="162"/>
      <c r="E8" s="162"/>
      <c r="F8" s="162"/>
      <c r="G8" s="162"/>
      <c r="H8" s="162"/>
      <c r="I8" s="162"/>
      <c r="J8" s="162"/>
      <c r="K8" s="162"/>
      <c r="L8" s="162"/>
      <c r="M8" s="162"/>
    </row>
    <row r="9" spans="1:13" x14ac:dyDescent="0.25">
      <c r="A9" s="76" t="s">
        <v>283</v>
      </c>
      <c r="B9" s="162" t="s">
        <v>382</v>
      </c>
      <c r="C9" s="162"/>
      <c r="D9" s="162"/>
      <c r="E9" s="162"/>
      <c r="F9" s="162"/>
      <c r="G9" s="162"/>
      <c r="H9" s="162"/>
      <c r="I9" s="162"/>
      <c r="J9" s="162"/>
      <c r="K9" s="162"/>
      <c r="L9" s="162"/>
      <c r="M9" s="162"/>
    </row>
    <row r="10" spans="1:13" x14ac:dyDescent="0.25">
      <c r="A10" s="76" t="s">
        <v>6</v>
      </c>
      <c r="B10" s="162" t="s">
        <v>652</v>
      </c>
      <c r="C10" s="162"/>
      <c r="D10" s="162"/>
      <c r="E10" s="162"/>
      <c r="F10" s="162"/>
      <c r="G10" s="162"/>
      <c r="H10" s="162"/>
      <c r="I10" s="162"/>
      <c r="J10" s="162"/>
      <c r="K10" s="162"/>
      <c r="L10" s="162"/>
      <c r="M10" s="162"/>
    </row>
    <row r="11" spans="1:13" x14ac:dyDescent="0.25">
      <c r="A11" s="76" t="s">
        <v>284</v>
      </c>
      <c r="B11" s="162" t="s">
        <v>349</v>
      </c>
      <c r="C11" s="162"/>
      <c r="D11" s="162"/>
      <c r="E11" s="162"/>
      <c r="F11" s="162"/>
      <c r="G11" s="162"/>
      <c r="H11" s="162"/>
      <c r="I11" s="162"/>
      <c r="J11" s="162"/>
      <c r="K11" s="162"/>
      <c r="L11" s="162"/>
      <c r="M11" s="162"/>
    </row>
    <row r="12" spans="1:13" x14ac:dyDescent="0.25">
      <c r="A12" s="76" t="s">
        <v>285</v>
      </c>
      <c r="B12" s="162" t="s">
        <v>387</v>
      </c>
      <c r="C12" s="162"/>
      <c r="D12" s="162"/>
      <c r="E12" s="162"/>
      <c r="F12" s="162"/>
      <c r="G12" s="162"/>
      <c r="H12" s="162"/>
      <c r="I12" s="162"/>
      <c r="J12" s="162"/>
      <c r="K12" s="162"/>
      <c r="L12" s="162"/>
      <c r="M12" s="162"/>
    </row>
    <row r="13" spans="1:13" hidden="1" x14ac:dyDescent="0.25">
      <c r="A13" s="76" t="s">
        <v>493</v>
      </c>
      <c r="B13" s="162">
        <v>0</v>
      </c>
      <c r="C13" s="162"/>
      <c r="D13" s="162"/>
      <c r="E13" s="162"/>
      <c r="F13" s="162"/>
      <c r="G13" s="162"/>
      <c r="H13" s="162"/>
      <c r="I13" s="162"/>
      <c r="J13" s="162"/>
      <c r="K13" s="162"/>
      <c r="L13" s="162"/>
      <c r="M13" s="162"/>
    </row>
    <row r="14" spans="1:13" hidden="1" x14ac:dyDescent="0.25">
      <c r="A14" s="76" t="s">
        <v>287</v>
      </c>
      <c r="B14" s="162">
        <v>403</v>
      </c>
      <c r="C14" s="162"/>
      <c r="D14" s="162"/>
      <c r="E14" s="162"/>
      <c r="F14" s="162"/>
      <c r="G14" s="162"/>
      <c r="H14" s="162"/>
      <c r="I14" s="162"/>
      <c r="J14" s="162"/>
      <c r="K14" s="162"/>
      <c r="L14" s="162"/>
      <c r="M14" s="162"/>
    </row>
    <row r="15" spans="1:13" x14ac:dyDescent="0.25">
      <c r="A15" s="76" t="s">
        <v>496</v>
      </c>
      <c r="B15" s="162" t="s">
        <v>388</v>
      </c>
      <c r="C15" s="162"/>
      <c r="D15" s="162"/>
      <c r="E15" s="162"/>
      <c r="F15" s="162"/>
      <c r="G15" s="162"/>
      <c r="H15" s="162"/>
      <c r="I15" s="162"/>
      <c r="J15" s="162"/>
      <c r="K15" s="162"/>
      <c r="L15" s="162"/>
      <c r="M15" s="162"/>
    </row>
    <row r="16" spans="1:13" x14ac:dyDescent="0.25">
      <c r="A16" s="76" t="s">
        <v>288</v>
      </c>
      <c r="B16" s="162">
        <v>2.4</v>
      </c>
      <c r="C16" s="162"/>
      <c r="D16" s="162"/>
      <c r="E16" s="162"/>
      <c r="F16" s="162"/>
      <c r="G16" s="162"/>
      <c r="H16" s="162"/>
      <c r="I16" s="162"/>
      <c r="J16" s="162"/>
      <c r="K16" s="162"/>
      <c r="L16" s="162"/>
      <c r="M16" s="162"/>
    </row>
    <row r="17" spans="1:13" x14ac:dyDescent="0.25">
      <c r="A17" s="165" t="s">
        <v>568</v>
      </c>
      <c r="B17" s="162"/>
      <c r="C17" s="162"/>
      <c r="D17" s="162"/>
      <c r="E17" s="162"/>
      <c r="F17" s="162"/>
      <c r="G17" s="162"/>
      <c r="H17" s="162"/>
      <c r="I17" s="162"/>
      <c r="J17" s="162"/>
      <c r="K17" s="162"/>
      <c r="L17" s="162"/>
      <c r="M17" s="162"/>
    </row>
    <row r="18" spans="1:13" x14ac:dyDescent="0.25">
      <c r="A18" s="165" t="s">
        <v>500</v>
      </c>
      <c r="B18" s="164">
        <v>45106</v>
      </c>
      <c r="C18" s="162"/>
      <c r="D18" s="162"/>
      <c r="E18" s="162"/>
      <c r="F18" s="162"/>
      <c r="G18" s="162"/>
      <c r="H18" s="162"/>
      <c r="I18" s="162"/>
      <c r="J18" s="162"/>
      <c r="K18" s="162"/>
      <c r="L18" s="162"/>
      <c r="M18" s="162"/>
    </row>
    <row r="19" spans="1:13" x14ac:dyDescent="0.25">
      <c r="A19" s="165" t="s">
        <v>290</v>
      </c>
      <c r="B19" s="164">
        <v>45110</v>
      </c>
      <c r="C19" s="162"/>
      <c r="D19" s="162"/>
      <c r="E19" s="162"/>
      <c r="F19" s="162"/>
      <c r="G19" s="162"/>
      <c r="H19" s="162"/>
      <c r="I19" s="162"/>
      <c r="J19" s="162"/>
      <c r="K19" s="162"/>
      <c r="L19" s="162"/>
      <c r="M19" s="162"/>
    </row>
    <row r="20" spans="1:13" x14ac:dyDescent="0.25">
      <c r="A20" s="165" t="s">
        <v>291</v>
      </c>
      <c r="B20" s="162" t="s">
        <v>298</v>
      </c>
      <c r="C20" s="162"/>
      <c r="D20" s="162"/>
      <c r="E20" s="162"/>
      <c r="F20" s="162"/>
      <c r="G20" s="162"/>
      <c r="H20" s="162"/>
      <c r="I20" s="162"/>
      <c r="J20" s="162"/>
      <c r="K20" s="162"/>
      <c r="L20" s="162"/>
      <c r="M20" s="162"/>
    </row>
    <row r="21" spans="1:13" x14ac:dyDescent="0.25">
      <c r="A21" s="150" t="s">
        <v>569</v>
      </c>
      <c r="B21" s="162" t="s">
        <v>297</v>
      </c>
      <c r="C21" s="162"/>
      <c r="D21" s="162"/>
      <c r="E21" s="162"/>
      <c r="F21" s="162"/>
      <c r="G21" s="162"/>
      <c r="H21" s="162"/>
      <c r="I21" s="162"/>
      <c r="J21" s="162"/>
      <c r="K21" s="162"/>
      <c r="L21" s="162"/>
      <c r="M21" s="162"/>
    </row>
    <row r="23" spans="1:13" x14ac:dyDescent="0.25">
      <c r="B23" s="91" t="str">
        <f>HYPERLINK("#'Factor List'!A1","Back to Factor List")</f>
        <v>Back to Factor List</v>
      </c>
    </row>
    <row r="24" spans="1:13" x14ac:dyDescent="0.25">
      <c r="B24" s="91" t="str">
        <f>HYPERLINK("#'Assumptions'!A1","Assumptions")</f>
        <v>Assumptions</v>
      </c>
    </row>
    <row r="26" spans="1:13" x14ac:dyDescent="0.25">
      <c r="A26" s="87" t="s">
        <v>615</v>
      </c>
      <c r="B26" s="87">
        <v>0</v>
      </c>
      <c r="C26" s="87">
        <v>1</v>
      </c>
      <c r="D26" s="87">
        <v>2</v>
      </c>
      <c r="E26" s="87">
        <v>3</v>
      </c>
      <c r="F26" s="87">
        <v>4</v>
      </c>
      <c r="G26" s="87">
        <v>5</v>
      </c>
      <c r="H26" s="87">
        <v>6</v>
      </c>
      <c r="I26" s="87">
        <v>7</v>
      </c>
      <c r="J26" s="87">
        <v>8</v>
      </c>
      <c r="K26" s="87">
        <v>9</v>
      </c>
      <c r="L26" s="87">
        <v>10</v>
      </c>
      <c r="M26" s="87">
        <v>11</v>
      </c>
    </row>
    <row r="27" spans="1:13" x14ac:dyDescent="0.25">
      <c r="A27" s="88">
        <v>13</v>
      </c>
      <c r="B27" s="90">
        <v>0.52</v>
      </c>
      <c r="C27" s="90"/>
      <c r="D27" s="90"/>
      <c r="E27" s="90"/>
      <c r="F27" s="90"/>
      <c r="G27" s="90"/>
      <c r="H27" s="90"/>
      <c r="I27" s="90"/>
      <c r="J27" s="90"/>
      <c r="K27" s="90"/>
      <c r="L27" s="90"/>
      <c r="M27" s="90"/>
    </row>
    <row r="28" spans="1:13" x14ac:dyDescent="0.25">
      <c r="A28" s="88">
        <v>12</v>
      </c>
      <c r="B28" s="90">
        <v>0.54200000000000004</v>
      </c>
      <c r="C28" s="90">
        <v>0.54</v>
      </c>
      <c r="D28" s="90">
        <v>0.53800000000000003</v>
      </c>
      <c r="E28" s="90">
        <v>0.53600000000000003</v>
      </c>
      <c r="F28" s="90">
        <v>0.53400000000000003</v>
      </c>
      <c r="G28" s="90">
        <v>0.53300000000000003</v>
      </c>
      <c r="H28" s="90">
        <v>0.53100000000000003</v>
      </c>
      <c r="I28" s="90">
        <v>0.52900000000000003</v>
      </c>
      <c r="J28" s="90">
        <v>0.52700000000000002</v>
      </c>
      <c r="K28" s="90">
        <v>0.52500000000000002</v>
      </c>
      <c r="L28" s="90">
        <v>0.52300000000000002</v>
      </c>
      <c r="M28" s="90">
        <v>0.52200000000000002</v>
      </c>
    </row>
    <row r="29" spans="1:13" x14ac:dyDescent="0.25">
      <c r="A29" s="88">
        <v>11</v>
      </c>
      <c r="B29" s="90">
        <v>0.56499999999999995</v>
      </c>
      <c r="C29" s="90">
        <v>0.56299999999999994</v>
      </c>
      <c r="D29" s="90">
        <v>0.56100000000000005</v>
      </c>
      <c r="E29" s="90">
        <v>0.55900000000000005</v>
      </c>
      <c r="F29" s="90">
        <v>0.55700000000000005</v>
      </c>
      <c r="G29" s="90">
        <v>0.55500000000000005</v>
      </c>
      <c r="H29" s="90">
        <v>0.55300000000000005</v>
      </c>
      <c r="I29" s="90">
        <v>0.55100000000000005</v>
      </c>
      <c r="J29" s="90">
        <v>0.54900000000000004</v>
      </c>
      <c r="K29" s="90">
        <v>0.54800000000000004</v>
      </c>
      <c r="L29" s="90">
        <v>0.54600000000000004</v>
      </c>
      <c r="M29" s="90">
        <v>0.54400000000000004</v>
      </c>
    </row>
    <row r="30" spans="1:13" x14ac:dyDescent="0.25">
      <c r="A30" s="88">
        <v>10</v>
      </c>
      <c r="B30" s="90">
        <v>0.59</v>
      </c>
      <c r="C30" s="90">
        <v>0.58799999999999997</v>
      </c>
      <c r="D30" s="90">
        <v>0.58599999999999997</v>
      </c>
      <c r="E30" s="90">
        <v>0.58399999999999996</v>
      </c>
      <c r="F30" s="90">
        <v>0.58199999999999996</v>
      </c>
      <c r="G30" s="90">
        <v>0.57999999999999996</v>
      </c>
      <c r="H30" s="90">
        <v>0.57799999999999996</v>
      </c>
      <c r="I30" s="90">
        <v>0.57599999999999996</v>
      </c>
      <c r="J30" s="90">
        <v>0.57299999999999995</v>
      </c>
      <c r="K30" s="90">
        <v>0.57099999999999995</v>
      </c>
      <c r="L30" s="90">
        <v>0.56899999999999995</v>
      </c>
      <c r="M30" s="90">
        <v>0.56699999999999995</v>
      </c>
    </row>
    <row r="31" spans="1:13" x14ac:dyDescent="0.25">
      <c r="A31" s="88">
        <v>9</v>
      </c>
      <c r="B31" s="90">
        <v>0.61699999999999999</v>
      </c>
      <c r="C31" s="90">
        <v>0.61499999999999999</v>
      </c>
      <c r="D31" s="90">
        <v>0.61299999999999999</v>
      </c>
      <c r="E31" s="90">
        <v>0.61099999999999999</v>
      </c>
      <c r="F31" s="90">
        <v>0.60799999999999998</v>
      </c>
      <c r="G31" s="90">
        <v>0.60599999999999998</v>
      </c>
      <c r="H31" s="90">
        <v>0.60399999999999998</v>
      </c>
      <c r="I31" s="90">
        <v>0.60199999999999998</v>
      </c>
      <c r="J31" s="90">
        <v>0.59899999999999998</v>
      </c>
      <c r="K31" s="90">
        <v>0.59699999999999998</v>
      </c>
      <c r="L31" s="90">
        <v>0.59499999999999997</v>
      </c>
      <c r="M31" s="90">
        <v>0.59299999999999997</v>
      </c>
    </row>
    <row r="32" spans="1:13" x14ac:dyDescent="0.25">
      <c r="A32" s="88">
        <v>8</v>
      </c>
      <c r="B32" s="90">
        <v>0.64700000000000002</v>
      </c>
      <c r="C32" s="90">
        <v>0.64400000000000002</v>
      </c>
      <c r="D32" s="90">
        <v>0.64200000000000002</v>
      </c>
      <c r="E32" s="90">
        <v>0.63900000000000001</v>
      </c>
      <c r="F32" s="90">
        <v>0.63700000000000001</v>
      </c>
      <c r="G32" s="90">
        <v>0.63500000000000001</v>
      </c>
      <c r="H32" s="90">
        <v>0.63200000000000001</v>
      </c>
      <c r="I32" s="90">
        <v>0.63</v>
      </c>
      <c r="J32" s="90">
        <v>0.627</v>
      </c>
      <c r="K32" s="90">
        <v>0.625</v>
      </c>
      <c r="L32" s="90">
        <v>0.622</v>
      </c>
      <c r="M32" s="90">
        <v>0.62</v>
      </c>
    </row>
    <row r="33" spans="1:13" x14ac:dyDescent="0.25">
      <c r="A33" s="88">
        <v>7</v>
      </c>
      <c r="B33" s="90">
        <v>0.67800000000000005</v>
      </c>
      <c r="C33" s="90">
        <v>0.67600000000000005</v>
      </c>
      <c r="D33" s="90">
        <v>0.67300000000000004</v>
      </c>
      <c r="E33" s="90">
        <v>0.67100000000000004</v>
      </c>
      <c r="F33" s="90">
        <v>0.66800000000000004</v>
      </c>
      <c r="G33" s="90">
        <v>0.66500000000000004</v>
      </c>
      <c r="H33" s="90">
        <v>0.66300000000000003</v>
      </c>
      <c r="I33" s="90">
        <v>0.66</v>
      </c>
      <c r="J33" s="90">
        <v>0.65700000000000003</v>
      </c>
      <c r="K33" s="90">
        <v>0.65500000000000003</v>
      </c>
      <c r="L33" s="90">
        <v>0.65200000000000002</v>
      </c>
      <c r="M33" s="90">
        <v>0.64900000000000002</v>
      </c>
    </row>
    <row r="34" spans="1:13" x14ac:dyDescent="0.25">
      <c r="A34" s="88">
        <v>6</v>
      </c>
      <c r="B34" s="90">
        <v>0.71299999999999997</v>
      </c>
      <c r="C34" s="90">
        <v>0.71</v>
      </c>
      <c r="D34" s="90">
        <v>0.70699999999999996</v>
      </c>
      <c r="E34" s="90">
        <v>0.70399999999999996</v>
      </c>
      <c r="F34" s="90">
        <v>0.70099999999999996</v>
      </c>
      <c r="G34" s="90">
        <v>0.69899999999999995</v>
      </c>
      <c r="H34" s="90">
        <v>0.69599999999999995</v>
      </c>
      <c r="I34" s="90">
        <v>0.69299999999999995</v>
      </c>
      <c r="J34" s="90">
        <v>0.69</v>
      </c>
      <c r="K34" s="90">
        <v>0.68700000000000006</v>
      </c>
      <c r="L34" s="90">
        <v>0.68400000000000005</v>
      </c>
      <c r="M34" s="90">
        <v>0.68100000000000005</v>
      </c>
    </row>
    <row r="35" spans="1:13" x14ac:dyDescent="0.25">
      <c r="A35" s="88">
        <v>5</v>
      </c>
      <c r="B35" s="90">
        <v>0.75</v>
      </c>
      <c r="C35" s="90">
        <v>0.747</v>
      </c>
      <c r="D35" s="90">
        <v>0.74399999999999999</v>
      </c>
      <c r="E35" s="90">
        <v>0.74099999999999999</v>
      </c>
      <c r="F35" s="90">
        <v>0.73799999999999999</v>
      </c>
      <c r="G35" s="90">
        <v>0.73499999999999999</v>
      </c>
      <c r="H35" s="90">
        <v>0.73199999999999998</v>
      </c>
      <c r="I35" s="90">
        <v>0.72899999999999998</v>
      </c>
      <c r="J35" s="90">
        <v>0.72499999999999998</v>
      </c>
      <c r="K35" s="90">
        <v>0.72199999999999998</v>
      </c>
      <c r="L35" s="90">
        <v>0.71899999999999997</v>
      </c>
      <c r="M35" s="90">
        <v>0.71599999999999997</v>
      </c>
    </row>
    <row r="36" spans="1:13" x14ac:dyDescent="0.25">
      <c r="A36" s="88">
        <v>4</v>
      </c>
      <c r="B36" s="90">
        <v>0.79100000000000004</v>
      </c>
      <c r="C36" s="90">
        <v>0.78800000000000003</v>
      </c>
      <c r="D36" s="90">
        <v>0.78500000000000003</v>
      </c>
      <c r="E36" s="90">
        <v>0.78100000000000003</v>
      </c>
      <c r="F36" s="90">
        <v>0.77800000000000002</v>
      </c>
      <c r="G36" s="90">
        <v>0.77400000000000002</v>
      </c>
      <c r="H36" s="90">
        <v>0.77100000000000002</v>
      </c>
      <c r="I36" s="90">
        <v>0.76700000000000002</v>
      </c>
      <c r="J36" s="90">
        <v>0.76400000000000001</v>
      </c>
      <c r="K36" s="90">
        <v>0.76100000000000001</v>
      </c>
      <c r="L36" s="90">
        <v>0.75700000000000001</v>
      </c>
      <c r="M36" s="90">
        <v>0.754</v>
      </c>
    </row>
    <row r="37" spans="1:13" x14ac:dyDescent="0.25">
      <c r="A37" s="88">
        <v>3</v>
      </c>
      <c r="B37" s="90">
        <v>0.83599999999999997</v>
      </c>
      <c r="C37" s="90">
        <v>0.83199999999999996</v>
      </c>
      <c r="D37" s="90">
        <v>0.82899999999999996</v>
      </c>
      <c r="E37" s="90">
        <v>0.82499999999999996</v>
      </c>
      <c r="F37" s="90">
        <v>0.82099999999999995</v>
      </c>
      <c r="G37" s="90">
        <v>0.81799999999999995</v>
      </c>
      <c r="H37" s="90">
        <v>0.81399999999999995</v>
      </c>
      <c r="I37" s="90">
        <v>0.81</v>
      </c>
      <c r="J37" s="90">
        <v>0.80600000000000005</v>
      </c>
      <c r="K37" s="90">
        <v>0.80300000000000005</v>
      </c>
      <c r="L37" s="90">
        <v>0.79900000000000004</v>
      </c>
      <c r="M37" s="90">
        <v>0.79500000000000004</v>
      </c>
    </row>
    <row r="38" spans="1:13" x14ac:dyDescent="0.25">
      <c r="A38" s="88">
        <v>2</v>
      </c>
      <c r="B38" s="90">
        <v>0.88600000000000001</v>
      </c>
      <c r="C38" s="90">
        <v>0.88100000000000001</v>
      </c>
      <c r="D38" s="90">
        <v>0.877</v>
      </c>
      <c r="E38" s="90">
        <v>0.873</v>
      </c>
      <c r="F38" s="90">
        <v>0.86899999999999999</v>
      </c>
      <c r="G38" s="90">
        <v>0.86499999999999999</v>
      </c>
      <c r="H38" s="90">
        <v>0.86099999999999999</v>
      </c>
      <c r="I38" s="90">
        <v>0.85699999999999998</v>
      </c>
      <c r="J38" s="90">
        <v>0.85299999999999998</v>
      </c>
      <c r="K38" s="90">
        <v>0.84899999999999998</v>
      </c>
      <c r="L38" s="90">
        <v>0.84399999999999997</v>
      </c>
      <c r="M38" s="90">
        <v>0.84</v>
      </c>
    </row>
    <row r="39" spans="1:13" x14ac:dyDescent="0.25">
      <c r="A39" s="88">
        <v>1</v>
      </c>
      <c r="B39" s="90">
        <v>0.94</v>
      </c>
      <c r="C39" s="90">
        <v>0.93500000000000005</v>
      </c>
      <c r="D39" s="90">
        <v>0.93100000000000005</v>
      </c>
      <c r="E39" s="90">
        <v>0.92600000000000005</v>
      </c>
      <c r="F39" s="90">
        <v>0.92200000000000004</v>
      </c>
      <c r="G39" s="90">
        <v>0.91700000000000004</v>
      </c>
      <c r="H39" s="90">
        <v>0.91300000000000003</v>
      </c>
      <c r="I39" s="90">
        <v>0.90800000000000003</v>
      </c>
      <c r="J39" s="90">
        <v>0.90400000000000003</v>
      </c>
      <c r="K39" s="90">
        <v>0.89900000000000002</v>
      </c>
      <c r="L39" s="90">
        <v>0.89500000000000002</v>
      </c>
      <c r="M39" s="90">
        <v>0.89</v>
      </c>
    </row>
    <row r="40" spans="1:13" x14ac:dyDescent="0.25">
      <c r="A40" s="88">
        <v>0</v>
      </c>
      <c r="B40" s="90">
        <v>1</v>
      </c>
      <c r="C40" s="90">
        <v>0.995</v>
      </c>
      <c r="D40" s="90">
        <v>0.99</v>
      </c>
      <c r="E40" s="90">
        <v>0.98499999999999999</v>
      </c>
      <c r="F40" s="90">
        <v>0.98</v>
      </c>
      <c r="G40" s="90">
        <v>0.97499999999999998</v>
      </c>
      <c r="H40" s="90">
        <v>0.97</v>
      </c>
      <c r="I40" s="90">
        <v>0.96499999999999997</v>
      </c>
      <c r="J40" s="90">
        <v>0.96</v>
      </c>
      <c r="K40" s="90">
        <v>0.95499999999999996</v>
      </c>
      <c r="L40" s="90">
        <v>0.95</v>
      </c>
      <c r="M40" s="90">
        <v>0.94499999999999995</v>
      </c>
    </row>
    <row r="41" spans="1:13" x14ac:dyDescent="0.25">
      <c r="A41"/>
      <c r="B41"/>
    </row>
    <row r="42" spans="1:13" x14ac:dyDescent="0.25">
      <c r="A42"/>
      <c r="B42"/>
    </row>
    <row r="43" spans="1:13" x14ac:dyDescent="0.25">
      <c r="A43"/>
      <c r="B43"/>
    </row>
    <row r="44" spans="1:13" ht="39.6" customHeight="1" x14ac:dyDescent="0.25">
      <c r="A44"/>
      <c r="B44"/>
    </row>
    <row r="45" spans="1:13" x14ac:dyDescent="0.25">
      <c r="A45"/>
      <c r="B45"/>
    </row>
    <row r="46" spans="1:13" ht="27.6" customHeight="1"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hMi+5CSD9OC4408DXPo04R3pvPw6ptS+gTbHb3Imo06FtY9A3VZMA8WUw+HrUigBJUsA+gDs+iV+2BnPCH5ung==" saltValue="tBO6yY35TqxyToTagt6kvA==" spinCount="100000" sheet="1" objects="1" scenarios="1"/>
  <conditionalFormatting sqref="A6:A21">
    <cfRule type="expression" dxfId="327" priority="3" stopIfTrue="1">
      <formula>MOD(ROW(),2)=0</formula>
    </cfRule>
    <cfRule type="expression" dxfId="326" priority="4" stopIfTrue="1">
      <formula>MOD(ROW(),2)&lt;&gt;0</formula>
    </cfRule>
  </conditionalFormatting>
  <conditionalFormatting sqref="A26:A40">
    <cfRule type="expression" dxfId="325" priority="7" stopIfTrue="1">
      <formula>MOD(ROW(),2)=0</formula>
    </cfRule>
    <cfRule type="expression" dxfId="324" priority="8" stopIfTrue="1">
      <formula>MOD(ROW(),2)&lt;&gt;0</formula>
    </cfRule>
  </conditionalFormatting>
  <conditionalFormatting sqref="B17:B21">
    <cfRule type="expression" dxfId="323" priority="15" stopIfTrue="1">
      <formula>MOD(ROW(),2)=0</formula>
    </cfRule>
    <cfRule type="expression" dxfId="322" priority="16" stopIfTrue="1">
      <formula>MOD(ROW(),2)&lt;&gt;0</formula>
    </cfRule>
  </conditionalFormatting>
  <conditionalFormatting sqref="B6:M21 B26:M40">
    <cfRule type="expression" dxfId="321" priority="23" stopIfTrue="1">
      <formula>MOD(ROW(),2)=0</formula>
    </cfRule>
    <cfRule type="expression" dxfId="320" priority="2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94"/>
  <dimension ref="A1:L65"/>
  <sheetViews>
    <sheetView showGridLines="0" zoomScale="85" zoomScaleNormal="85" workbookViewId="0">
      <selection activeCell="A4" sqref="A4"/>
    </sheetView>
  </sheetViews>
  <sheetFormatPr defaultColWidth="10" defaultRowHeight="13.2" x14ac:dyDescent="0.25"/>
  <cols>
    <col min="1" max="1" width="31.88671875" style="27" customWidth="1"/>
    <col min="2" max="12" width="22.88671875" style="27" customWidth="1"/>
    <col min="13" max="16384" width="10" style="27"/>
  </cols>
  <sheetData>
    <row r="1" spans="1:12" ht="21" x14ac:dyDescent="0.4">
      <c r="A1" s="39" t="s">
        <v>0</v>
      </c>
      <c r="B1" s="40"/>
      <c r="C1" s="40"/>
      <c r="D1" s="40"/>
      <c r="E1" s="40"/>
      <c r="F1" s="40"/>
      <c r="G1" s="40"/>
      <c r="H1" s="40"/>
      <c r="I1" s="40"/>
    </row>
    <row r="2" spans="1:12" ht="15.6" x14ac:dyDescent="0.3">
      <c r="A2" s="41" t="str">
        <f>IF(title="&gt; Enter workbook title here","Enter workbook title in Cover sheet",title)</f>
        <v>Fire_S - Consolidated Factor Spreadsheet</v>
      </c>
      <c r="B2" s="42"/>
      <c r="C2" s="42"/>
      <c r="D2" s="42"/>
      <c r="E2" s="42"/>
      <c r="F2" s="42"/>
      <c r="G2" s="42"/>
      <c r="H2" s="42"/>
      <c r="I2" s="42"/>
    </row>
    <row r="3" spans="1:12" ht="15.6" x14ac:dyDescent="0.3">
      <c r="A3" s="43" t="str">
        <f>TABLE_FACTOR_TYPE_1&amp;" - x-"&amp;TABLE_SERIES_NUMBER_1</f>
        <v>LRF - x-404</v>
      </c>
      <c r="B3" s="42"/>
      <c r="C3" s="42"/>
      <c r="D3" s="42"/>
      <c r="E3" s="42"/>
      <c r="F3" s="42"/>
      <c r="G3" s="42"/>
      <c r="H3" s="42"/>
      <c r="I3" s="42"/>
    </row>
    <row r="4" spans="1:12" x14ac:dyDescent="0.25">
      <c r="A4" s="44"/>
    </row>
    <row r="6" spans="1:12" x14ac:dyDescent="0.25">
      <c r="A6" s="75" t="s">
        <v>484</v>
      </c>
      <c r="B6" s="162" t="s">
        <v>485</v>
      </c>
      <c r="C6" s="162"/>
      <c r="D6" s="162"/>
      <c r="E6" s="162"/>
      <c r="F6" s="162"/>
      <c r="G6" s="162"/>
      <c r="H6" s="162"/>
      <c r="I6" s="162"/>
      <c r="J6" s="162"/>
      <c r="K6" s="162"/>
      <c r="L6" s="162"/>
    </row>
    <row r="7" spans="1:12" x14ac:dyDescent="0.25">
      <c r="A7" s="76" t="s">
        <v>486</v>
      </c>
      <c r="B7" s="162" t="s">
        <v>81</v>
      </c>
      <c r="C7" s="162"/>
      <c r="D7" s="162"/>
      <c r="E7" s="162"/>
      <c r="F7" s="162"/>
      <c r="G7" s="162"/>
      <c r="H7" s="162"/>
      <c r="I7" s="162"/>
      <c r="J7" s="162"/>
      <c r="K7" s="162"/>
      <c r="L7" s="162"/>
    </row>
    <row r="8" spans="1:12" x14ac:dyDescent="0.25">
      <c r="A8" s="76" t="s">
        <v>282</v>
      </c>
      <c r="B8" s="162">
        <v>2015</v>
      </c>
      <c r="C8" s="162"/>
      <c r="D8" s="162"/>
      <c r="E8" s="162"/>
      <c r="F8" s="162"/>
      <c r="G8" s="162"/>
      <c r="H8" s="162"/>
      <c r="I8" s="162"/>
      <c r="J8" s="162"/>
      <c r="K8" s="162"/>
      <c r="L8" s="162"/>
    </row>
    <row r="9" spans="1:12" x14ac:dyDescent="0.25">
      <c r="A9" s="76" t="s">
        <v>283</v>
      </c>
      <c r="B9" s="162" t="s">
        <v>389</v>
      </c>
      <c r="C9" s="162"/>
      <c r="D9" s="162"/>
      <c r="E9" s="162"/>
      <c r="F9" s="162"/>
      <c r="G9" s="162"/>
      <c r="H9" s="162"/>
      <c r="I9" s="162"/>
      <c r="J9" s="162"/>
      <c r="K9" s="162"/>
      <c r="L9" s="162"/>
    </row>
    <row r="10" spans="1:12" x14ac:dyDescent="0.25">
      <c r="A10" s="76" t="s">
        <v>6</v>
      </c>
      <c r="B10" s="162" t="s">
        <v>653</v>
      </c>
      <c r="C10" s="162"/>
      <c r="D10" s="162"/>
      <c r="E10" s="162"/>
      <c r="F10" s="162"/>
      <c r="G10" s="162"/>
      <c r="H10" s="162"/>
      <c r="I10" s="162"/>
      <c r="J10" s="162"/>
      <c r="K10" s="162"/>
      <c r="L10" s="162"/>
    </row>
    <row r="11" spans="1:12" x14ac:dyDescent="0.25">
      <c r="A11" s="76" t="s">
        <v>284</v>
      </c>
      <c r="B11" s="162" t="s">
        <v>349</v>
      </c>
      <c r="C11" s="162"/>
      <c r="D11" s="162"/>
      <c r="E11" s="162"/>
      <c r="F11" s="162"/>
      <c r="G11" s="162"/>
      <c r="H11" s="162"/>
      <c r="I11" s="162"/>
      <c r="J11" s="162"/>
      <c r="K11" s="162"/>
      <c r="L11" s="162"/>
    </row>
    <row r="12" spans="1:12" x14ac:dyDescent="0.25">
      <c r="A12" s="76" t="s">
        <v>285</v>
      </c>
      <c r="B12" s="162" t="s">
        <v>390</v>
      </c>
      <c r="C12" s="162"/>
      <c r="D12" s="162"/>
      <c r="E12" s="162"/>
      <c r="F12" s="162"/>
      <c r="G12" s="162"/>
      <c r="H12" s="162"/>
      <c r="I12" s="162"/>
      <c r="J12" s="162"/>
      <c r="K12" s="162"/>
      <c r="L12" s="162"/>
    </row>
    <row r="13" spans="1:12" hidden="1" x14ac:dyDescent="0.25">
      <c r="A13" s="76" t="s">
        <v>493</v>
      </c>
      <c r="B13" s="162">
        <v>0</v>
      </c>
      <c r="C13" s="162"/>
      <c r="D13" s="162"/>
      <c r="E13" s="162"/>
      <c r="F13" s="162"/>
      <c r="G13" s="162"/>
      <c r="H13" s="162"/>
      <c r="I13" s="162"/>
      <c r="J13" s="162"/>
      <c r="K13" s="162"/>
      <c r="L13" s="162"/>
    </row>
    <row r="14" spans="1:12" hidden="1" x14ac:dyDescent="0.25">
      <c r="A14" s="76" t="s">
        <v>287</v>
      </c>
      <c r="B14" s="162">
        <v>404</v>
      </c>
      <c r="C14" s="162"/>
      <c r="D14" s="162"/>
      <c r="E14" s="162"/>
      <c r="F14" s="162"/>
      <c r="G14" s="162"/>
      <c r="H14" s="162"/>
      <c r="I14" s="162"/>
      <c r="J14" s="162"/>
      <c r="K14" s="162"/>
      <c r="L14" s="162"/>
    </row>
    <row r="15" spans="1:12" x14ac:dyDescent="0.25">
      <c r="A15" s="76" t="s">
        <v>496</v>
      </c>
      <c r="B15" s="162" t="s">
        <v>391</v>
      </c>
      <c r="C15" s="162"/>
      <c r="D15" s="162"/>
      <c r="E15" s="162"/>
      <c r="F15" s="162"/>
      <c r="G15" s="162"/>
      <c r="H15" s="162"/>
      <c r="I15" s="162"/>
      <c r="J15" s="162"/>
      <c r="K15" s="162"/>
      <c r="L15" s="162"/>
    </row>
    <row r="16" spans="1:12" x14ac:dyDescent="0.25">
      <c r="A16" s="76" t="s">
        <v>288</v>
      </c>
      <c r="B16" s="162" t="s">
        <v>384</v>
      </c>
      <c r="C16" s="162"/>
      <c r="D16" s="162"/>
      <c r="E16" s="162"/>
      <c r="F16" s="162"/>
      <c r="G16" s="162"/>
      <c r="H16" s="162"/>
      <c r="I16" s="162"/>
      <c r="J16" s="162"/>
      <c r="K16" s="162"/>
      <c r="L16" s="162"/>
    </row>
    <row r="17" spans="1:12" x14ac:dyDescent="0.25">
      <c r="A17" s="165" t="s">
        <v>568</v>
      </c>
      <c r="B17" s="162"/>
      <c r="C17" s="162"/>
      <c r="D17" s="162"/>
      <c r="E17" s="162"/>
      <c r="F17" s="162"/>
      <c r="G17" s="162"/>
      <c r="H17" s="162"/>
      <c r="I17" s="162"/>
      <c r="J17" s="162"/>
      <c r="K17" s="162"/>
      <c r="L17" s="162"/>
    </row>
    <row r="18" spans="1:12" x14ac:dyDescent="0.25">
      <c r="A18" s="165" t="s">
        <v>500</v>
      </c>
      <c r="B18" s="164">
        <v>45106</v>
      </c>
      <c r="C18" s="162"/>
      <c r="D18" s="162"/>
      <c r="E18" s="162"/>
      <c r="F18" s="162"/>
      <c r="G18" s="162"/>
      <c r="H18" s="162"/>
      <c r="I18" s="162"/>
      <c r="J18" s="162"/>
      <c r="K18" s="162"/>
      <c r="L18" s="162"/>
    </row>
    <row r="19" spans="1:12" x14ac:dyDescent="0.25">
      <c r="A19" s="165" t="s">
        <v>290</v>
      </c>
      <c r="B19" s="164">
        <v>45110</v>
      </c>
      <c r="C19" s="162"/>
      <c r="D19" s="162"/>
      <c r="E19" s="162"/>
      <c r="F19" s="162"/>
      <c r="G19" s="162"/>
      <c r="H19" s="162"/>
      <c r="I19" s="162"/>
      <c r="J19" s="162"/>
      <c r="K19" s="162"/>
      <c r="L19" s="162"/>
    </row>
    <row r="20" spans="1:12" x14ac:dyDescent="0.25">
      <c r="A20" s="165" t="s">
        <v>291</v>
      </c>
      <c r="B20" s="162" t="s">
        <v>298</v>
      </c>
      <c r="C20" s="162"/>
      <c r="D20" s="162"/>
      <c r="E20" s="162"/>
      <c r="F20" s="162"/>
      <c r="G20" s="162"/>
      <c r="H20" s="162"/>
      <c r="I20" s="162"/>
      <c r="J20" s="162"/>
      <c r="K20" s="162"/>
      <c r="L20" s="162"/>
    </row>
    <row r="21" spans="1:12" x14ac:dyDescent="0.25">
      <c r="A21" s="150" t="s">
        <v>569</v>
      </c>
      <c r="B21" s="162" t="s">
        <v>297</v>
      </c>
      <c r="C21" s="162"/>
      <c r="D21" s="162"/>
      <c r="E21" s="162"/>
      <c r="F21" s="162"/>
      <c r="G21" s="162"/>
      <c r="H21" s="162"/>
      <c r="I21" s="162"/>
      <c r="J21" s="162"/>
      <c r="K21" s="162"/>
      <c r="L21" s="162"/>
    </row>
    <row r="23" spans="1:12" x14ac:dyDescent="0.25">
      <c r="B23" s="91" t="str">
        <f>HYPERLINK("#'Factor List'!A1","Back to Factor List")</f>
        <v>Back to Factor List</v>
      </c>
    </row>
    <row r="24" spans="1:12" x14ac:dyDescent="0.25">
      <c r="B24" s="91" t="str">
        <f>HYPERLINK("#'Assumptions'!A1","Assumptions")</f>
        <v>Assumptions</v>
      </c>
    </row>
    <row r="26" spans="1:12" x14ac:dyDescent="0.25">
      <c r="A26" s="87" t="s">
        <v>611</v>
      </c>
      <c r="B26" s="87">
        <v>60</v>
      </c>
      <c r="C26" s="87">
        <v>61</v>
      </c>
      <c r="D26" s="87">
        <v>62</v>
      </c>
      <c r="E26" s="87">
        <v>63</v>
      </c>
      <c r="F26" s="87">
        <v>64</v>
      </c>
      <c r="G26" s="87">
        <v>65</v>
      </c>
      <c r="H26" s="87">
        <v>66</v>
      </c>
      <c r="I26" s="87">
        <v>67</v>
      </c>
      <c r="J26" s="87">
        <v>68</v>
      </c>
      <c r="K26" s="87">
        <v>69</v>
      </c>
      <c r="L26" s="87">
        <v>70</v>
      </c>
    </row>
    <row r="27" spans="1:12" x14ac:dyDescent="0.25">
      <c r="A27" s="88">
        <v>0</v>
      </c>
      <c r="B27" s="110">
        <v>1E-3</v>
      </c>
      <c r="C27" s="110">
        <v>2.8000000000000001E-2</v>
      </c>
      <c r="D27" s="110">
        <v>2.9000000000000001E-2</v>
      </c>
      <c r="E27" s="110">
        <v>3.1E-2</v>
      </c>
      <c r="F27" s="110">
        <v>3.2000000000000001E-2</v>
      </c>
      <c r="G27" s="110">
        <v>3.4000000000000002E-2</v>
      </c>
      <c r="H27" s="110">
        <v>3.5999999999999997E-2</v>
      </c>
      <c r="I27" s="110">
        <v>3.6999999999999998E-2</v>
      </c>
      <c r="J27" s="110">
        <v>3.9E-2</v>
      </c>
      <c r="K27" s="110">
        <v>0.04</v>
      </c>
      <c r="L27" s="110">
        <v>4.2999999999999997E-2</v>
      </c>
    </row>
    <row r="28" spans="1:12" x14ac:dyDescent="0.25">
      <c r="A28" s="88">
        <v>1</v>
      </c>
      <c r="B28" s="110">
        <v>3.0000000000000001E-3</v>
      </c>
      <c r="C28" s="110">
        <v>2.8000000000000001E-2</v>
      </c>
      <c r="D28" s="110">
        <v>2.9000000000000001E-2</v>
      </c>
      <c r="E28" s="110">
        <v>3.1E-2</v>
      </c>
      <c r="F28" s="110">
        <v>3.2000000000000001E-2</v>
      </c>
      <c r="G28" s="110">
        <v>3.4000000000000002E-2</v>
      </c>
      <c r="H28" s="110">
        <v>3.5999999999999997E-2</v>
      </c>
      <c r="I28" s="110">
        <v>3.6999999999999998E-2</v>
      </c>
      <c r="J28" s="110">
        <v>3.9E-2</v>
      </c>
      <c r="K28" s="110">
        <v>4.1000000000000002E-2</v>
      </c>
      <c r="L28" s="110"/>
    </row>
    <row r="29" spans="1:12" x14ac:dyDescent="0.25">
      <c r="A29" s="88">
        <v>2</v>
      </c>
      <c r="B29" s="110">
        <v>6.0000000000000001E-3</v>
      </c>
      <c r="C29" s="110">
        <v>2.8000000000000001E-2</v>
      </c>
      <c r="D29" s="110">
        <v>2.9000000000000001E-2</v>
      </c>
      <c r="E29" s="110">
        <v>3.1E-2</v>
      </c>
      <c r="F29" s="110">
        <v>3.2000000000000001E-2</v>
      </c>
      <c r="G29" s="110">
        <v>3.4000000000000002E-2</v>
      </c>
      <c r="H29" s="110">
        <v>3.5999999999999997E-2</v>
      </c>
      <c r="I29" s="110">
        <v>3.6999999999999998E-2</v>
      </c>
      <c r="J29" s="110">
        <v>3.9E-2</v>
      </c>
      <c r="K29" s="110">
        <v>4.1000000000000002E-2</v>
      </c>
      <c r="L29" s="110"/>
    </row>
    <row r="30" spans="1:12" x14ac:dyDescent="0.25">
      <c r="A30" s="88">
        <v>3</v>
      </c>
      <c r="B30" s="110">
        <v>8.0000000000000002E-3</v>
      </c>
      <c r="C30" s="110">
        <v>2.8000000000000001E-2</v>
      </c>
      <c r="D30" s="110">
        <v>2.9000000000000001E-2</v>
      </c>
      <c r="E30" s="110">
        <v>3.1E-2</v>
      </c>
      <c r="F30" s="110">
        <v>3.3000000000000002E-2</v>
      </c>
      <c r="G30" s="110">
        <v>3.4000000000000002E-2</v>
      </c>
      <c r="H30" s="110">
        <v>3.5999999999999997E-2</v>
      </c>
      <c r="I30" s="110">
        <v>3.6999999999999998E-2</v>
      </c>
      <c r="J30" s="110">
        <v>3.9E-2</v>
      </c>
      <c r="K30" s="110">
        <v>4.1000000000000002E-2</v>
      </c>
      <c r="L30" s="110"/>
    </row>
    <row r="31" spans="1:12" x14ac:dyDescent="0.25">
      <c r="A31" s="88">
        <v>4</v>
      </c>
      <c r="B31" s="110">
        <v>0.01</v>
      </c>
      <c r="C31" s="110">
        <v>2.8000000000000001E-2</v>
      </c>
      <c r="D31" s="110">
        <v>0.03</v>
      </c>
      <c r="E31" s="110">
        <v>3.1E-2</v>
      </c>
      <c r="F31" s="110">
        <v>3.3000000000000002E-2</v>
      </c>
      <c r="G31" s="110">
        <v>3.4000000000000002E-2</v>
      </c>
      <c r="H31" s="110">
        <v>3.5999999999999997E-2</v>
      </c>
      <c r="I31" s="110">
        <v>3.7999999999999999E-2</v>
      </c>
      <c r="J31" s="110">
        <v>3.9E-2</v>
      </c>
      <c r="K31" s="110">
        <v>4.1000000000000002E-2</v>
      </c>
      <c r="L31" s="110"/>
    </row>
    <row r="32" spans="1:12" x14ac:dyDescent="0.25">
      <c r="A32" s="88">
        <v>5</v>
      </c>
      <c r="B32" s="110">
        <v>1.2999999999999999E-2</v>
      </c>
      <c r="C32" s="110">
        <v>2.8000000000000001E-2</v>
      </c>
      <c r="D32" s="110">
        <v>0.03</v>
      </c>
      <c r="E32" s="110">
        <v>3.1E-2</v>
      </c>
      <c r="F32" s="110">
        <v>3.3000000000000002E-2</v>
      </c>
      <c r="G32" s="110">
        <v>3.5000000000000003E-2</v>
      </c>
      <c r="H32" s="110">
        <v>3.5999999999999997E-2</v>
      </c>
      <c r="I32" s="110">
        <v>3.7999999999999999E-2</v>
      </c>
      <c r="J32" s="110">
        <v>3.9E-2</v>
      </c>
      <c r="K32" s="110">
        <v>4.2000000000000003E-2</v>
      </c>
      <c r="L32" s="110"/>
    </row>
    <row r="33" spans="1:12" x14ac:dyDescent="0.25">
      <c r="A33" s="88">
        <v>6</v>
      </c>
      <c r="B33" s="110">
        <v>1.4999999999999999E-2</v>
      </c>
      <c r="C33" s="110">
        <v>2.8000000000000001E-2</v>
      </c>
      <c r="D33" s="110">
        <v>0.03</v>
      </c>
      <c r="E33" s="110">
        <v>3.1E-2</v>
      </c>
      <c r="F33" s="110">
        <v>3.3000000000000002E-2</v>
      </c>
      <c r="G33" s="110">
        <v>3.5000000000000003E-2</v>
      </c>
      <c r="H33" s="110">
        <v>3.5999999999999997E-2</v>
      </c>
      <c r="I33" s="110">
        <v>3.7999999999999999E-2</v>
      </c>
      <c r="J33" s="110">
        <v>0.04</v>
      </c>
      <c r="K33" s="110">
        <v>4.2000000000000003E-2</v>
      </c>
      <c r="L33" s="110"/>
    </row>
    <row r="34" spans="1:12" x14ac:dyDescent="0.25">
      <c r="A34" s="88">
        <v>7</v>
      </c>
      <c r="B34" s="110">
        <v>1.7000000000000001E-2</v>
      </c>
      <c r="C34" s="110">
        <v>2.8000000000000001E-2</v>
      </c>
      <c r="D34" s="110">
        <v>0.03</v>
      </c>
      <c r="E34" s="110">
        <v>3.1E-2</v>
      </c>
      <c r="F34" s="110">
        <v>3.3000000000000002E-2</v>
      </c>
      <c r="G34" s="110">
        <v>3.5000000000000003E-2</v>
      </c>
      <c r="H34" s="110">
        <v>3.5999999999999997E-2</v>
      </c>
      <c r="I34" s="110">
        <v>3.7999999999999999E-2</v>
      </c>
      <c r="J34" s="110">
        <v>0.04</v>
      </c>
      <c r="K34" s="110">
        <v>4.2000000000000003E-2</v>
      </c>
      <c r="L34" s="110"/>
    </row>
    <row r="35" spans="1:12" x14ac:dyDescent="0.25">
      <c r="A35" s="88">
        <v>8</v>
      </c>
      <c r="B35" s="110">
        <v>0.02</v>
      </c>
      <c r="C35" s="110">
        <v>2.9000000000000001E-2</v>
      </c>
      <c r="D35" s="110">
        <v>0.03</v>
      </c>
      <c r="E35" s="110">
        <v>3.2000000000000001E-2</v>
      </c>
      <c r="F35" s="110">
        <v>3.3000000000000002E-2</v>
      </c>
      <c r="G35" s="110">
        <v>3.5000000000000003E-2</v>
      </c>
      <c r="H35" s="110">
        <v>3.6999999999999998E-2</v>
      </c>
      <c r="I35" s="110">
        <v>3.7999999999999999E-2</v>
      </c>
      <c r="J35" s="110">
        <v>0.04</v>
      </c>
      <c r="K35" s="110">
        <v>4.2000000000000003E-2</v>
      </c>
      <c r="L35" s="110"/>
    </row>
    <row r="36" spans="1:12" x14ac:dyDescent="0.25">
      <c r="A36" s="88">
        <v>9</v>
      </c>
      <c r="B36" s="110">
        <v>2.1999999999999999E-2</v>
      </c>
      <c r="C36" s="110">
        <v>2.9000000000000001E-2</v>
      </c>
      <c r="D36" s="110">
        <v>0.03</v>
      </c>
      <c r="E36" s="110">
        <v>3.2000000000000001E-2</v>
      </c>
      <c r="F36" s="110">
        <v>3.3000000000000002E-2</v>
      </c>
      <c r="G36" s="110">
        <v>3.5000000000000003E-2</v>
      </c>
      <c r="H36" s="110">
        <v>3.6999999999999998E-2</v>
      </c>
      <c r="I36" s="110">
        <v>3.7999999999999999E-2</v>
      </c>
      <c r="J36" s="110">
        <v>0.04</v>
      </c>
      <c r="K36" s="110">
        <v>4.2999999999999997E-2</v>
      </c>
      <c r="L36" s="110"/>
    </row>
    <row r="37" spans="1:12" x14ac:dyDescent="0.25">
      <c r="A37" s="88">
        <v>10</v>
      </c>
      <c r="B37" s="110">
        <v>2.4E-2</v>
      </c>
      <c r="C37" s="110">
        <v>2.9000000000000001E-2</v>
      </c>
      <c r="D37" s="110">
        <v>0.03</v>
      </c>
      <c r="E37" s="110">
        <v>3.2000000000000001E-2</v>
      </c>
      <c r="F37" s="110">
        <v>3.4000000000000002E-2</v>
      </c>
      <c r="G37" s="110">
        <v>3.5000000000000003E-2</v>
      </c>
      <c r="H37" s="110">
        <v>3.6999999999999998E-2</v>
      </c>
      <c r="I37" s="110">
        <v>3.7999999999999999E-2</v>
      </c>
      <c r="J37" s="110">
        <v>0.04</v>
      </c>
      <c r="K37" s="110">
        <v>4.2999999999999997E-2</v>
      </c>
      <c r="L37" s="110"/>
    </row>
    <row r="38" spans="1:12" x14ac:dyDescent="0.25">
      <c r="A38" s="88">
        <v>11</v>
      </c>
      <c r="B38" s="110">
        <v>2.5999999999999999E-2</v>
      </c>
      <c r="C38" s="110">
        <v>2.9000000000000001E-2</v>
      </c>
      <c r="D38" s="110">
        <v>0.03</v>
      </c>
      <c r="E38" s="110">
        <v>3.2000000000000001E-2</v>
      </c>
      <c r="F38" s="110">
        <v>3.4000000000000002E-2</v>
      </c>
      <c r="G38" s="110">
        <v>3.5000000000000003E-2</v>
      </c>
      <c r="H38" s="110">
        <v>3.6999999999999998E-2</v>
      </c>
      <c r="I38" s="110">
        <v>3.9E-2</v>
      </c>
      <c r="J38" s="110">
        <v>0.04</v>
      </c>
      <c r="K38" s="110">
        <v>4.2999999999999997E-2</v>
      </c>
      <c r="L38" s="110"/>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lgby6odH6PZx30uBuSiIDkfC5JQW+hd4jMDyEigkWFrqt7jV6LEIHF8KOj6fpjqKYe2af5ZrrWSu1laMC0ubUQ==" saltValue="unbo7kA98JKlIO4bePJsSQ==" spinCount="100000" sheet="1" objects="1" scenarios="1"/>
  <conditionalFormatting sqref="A6:A21">
    <cfRule type="expression" dxfId="319" priority="3" stopIfTrue="1">
      <formula>MOD(ROW(),2)=0</formula>
    </cfRule>
    <cfRule type="expression" dxfId="318" priority="4" stopIfTrue="1">
      <formula>MOD(ROW(),2)&lt;&gt;0</formula>
    </cfRule>
  </conditionalFormatting>
  <conditionalFormatting sqref="A26:A38">
    <cfRule type="expression" dxfId="317" priority="7" stopIfTrue="1">
      <formula>MOD(ROW(),2)=0</formula>
    </cfRule>
    <cfRule type="expression" dxfId="316" priority="8" stopIfTrue="1">
      <formula>MOD(ROW(),2)&lt;&gt;0</formula>
    </cfRule>
  </conditionalFormatting>
  <conditionalFormatting sqref="B17:B21">
    <cfRule type="expression" dxfId="315" priority="13" stopIfTrue="1">
      <formula>MOD(ROW(),2)=0</formula>
    </cfRule>
    <cfRule type="expression" dxfId="314" priority="14" stopIfTrue="1">
      <formula>MOD(ROW(),2)&lt;&gt;0</formula>
    </cfRule>
  </conditionalFormatting>
  <conditionalFormatting sqref="B6:L21 B26:L38">
    <cfRule type="expression" dxfId="313" priority="21" stopIfTrue="1">
      <formula>MOD(ROW(),2)=0</formula>
    </cfRule>
    <cfRule type="expression" dxfId="312" priority="2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95"/>
  <dimension ref="A1:L65"/>
  <sheetViews>
    <sheetView showGridLines="0" zoomScale="85" zoomScaleNormal="85" workbookViewId="0">
      <selection activeCell="A4" sqref="A4"/>
    </sheetView>
  </sheetViews>
  <sheetFormatPr defaultColWidth="10" defaultRowHeight="13.2" x14ac:dyDescent="0.25"/>
  <cols>
    <col min="1" max="1" width="31.88671875" style="27" customWidth="1"/>
    <col min="2" max="12" width="22.88671875" style="27" customWidth="1"/>
    <col min="13" max="16384" width="10" style="27"/>
  </cols>
  <sheetData>
    <row r="1" spans="1:12" ht="21" x14ac:dyDescent="0.4">
      <c r="A1" s="39" t="s">
        <v>0</v>
      </c>
      <c r="B1" s="40"/>
      <c r="C1" s="40"/>
      <c r="D1" s="40"/>
      <c r="E1" s="40"/>
      <c r="F1" s="40"/>
      <c r="G1" s="40"/>
      <c r="H1" s="40"/>
      <c r="I1" s="40"/>
    </row>
    <row r="2" spans="1:12" ht="15.6" x14ac:dyDescent="0.3">
      <c r="A2" s="41" t="str">
        <f>IF(title="&gt; Enter workbook title here","Enter workbook title in Cover sheet",title)</f>
        <v>Fire_S - Consolidated Factor Spreadsheet</v>
      </c>
      <c r="B2" s="42"/>
      <c r="C2" s="42"/>
      <c r="D2" s="42"/>
      <c r="E2" s="42"/>
      <c r="F2" s="42"/>
      <c r="G2" s="42"/>
      <c r="H2" s="42"/>
      <c r="I2" s="42"/>
    </row>
    <row r="3" spans="1:12" ht="15.6" x14ac:dyDescent="0.3">
      <c r="A3" s="43" t="str">
        <f>TABLE_FACTOR_TYPE_1&amp;" - x-"&amp;TABLE_SERIES_NUMBER_1</f>
        <v>LRF - x-405</v>
      </c>
      <c r="B3" s="42"/>
      <c r="C3" s="42"/>
      <c r="D3" s="42"/>
      <c r="E3" s="42"/>
      <c r="F3" s="42"/>
      <c r="G3" s="42"/>
      <c r="H3" s="42"/>
      <c r="I3" s="42"/>
    </row>
    <row r="4" spans="1:12" x14ac:dyDescent="0.25">
      <c r="A4" s="44"/>
    </row>
    <row r="6" spans="1:12" x14ac:dyDescent="0.25">
      <c r="A6" s="75" t="s">
        <v>484</v>
      </c>
      <c r="B6" s="162" t="s">
        <v>485</v>
      </c>
      <c r="C6" s="162"/>
      <c r="D6" s="162"/>
      <c r="E6" s="162"/>
      <c r="F6" s="162"/>
      <c r="G6" s="162"/>
      <c r="H6" s="162"/>
      <c r="I6" s="162"/>
      <c r="J6" s="162"/>
      <c r="K6" s="162"/>
      <c r="L6" s="162"/>
    </row>
    <row r="7" spans="1:12" x14ac:dyDescent="0.25">
      <c r="A7" s="76" t="s">
        <v>486</v>
      </c>
      <c r="B7" s="162" t="s">
        <v>81</v>
      </c>
      <c r="C7" s="162"/>
      <c r="D7" s="162"/>
      <c r="E7" s="162"/>
      <c r="F7" s="162"/>
      <c r="G7" s="162"/>
      <c r="H7" s="162"/>
      <c r="I7" s="162"/>
      <c r="J7" s="162"/>
      <c r="K7" s="162"/>
      <c r="L7" s="162"/>
    </row>
    <row r="8" spans="1:12" x14ac:dyDescent="0.25">
      <c r="A8" s="76" t="s">
        <v>282</v>
      </c>
      <c r="B8" s="162">
        <v>2015</v>
      </c>
      <c r="C8" s="162"/>
      <c r="D8" s="162"/>
      <c r="E8" s="162"/>
      <c r="F8" s="162"/>
      <c r="G8" s="162"/>
      <c r="H8" s="162"/>
      <c r="I8" s="162"/>
      <c r="J8" s="162"/>
      <c r="K8" s="162"/>
      <c r="L8" s="162"/>
    </row>
    <row r="9" spans="1:12" x14ac:dyDescent="0.25">
      <c r="A9" s="76" t="s">
        <v>283</v>
      </c>
      <c r="B9" s="162" t="s">
        <v>389</v>
      </c>
      <c r="C9" s="162"/>
      <c r="D9" s="162"/>
      <c r="E9" s="162"/>
      <c r="F9" s="162"/>
      <c r="G9" s="162"/>
      <c r="H9" s="162"/>
      <c r="I9" s="162"/>
      <c r="J9" s="162"/>
      <c r="K9" s="162"/>
      <c r="L9" s="162"/>
    </row>
    <row r="10" spans="1:12" x14ac:dyDescent="0.25">
      <c r="A10" s="76" t="s">
        <v>6</v>
      </c>
      <c r="B10" s="162" t="s">
        <v>654</v>
      </c>
      <c r="C10" s="162"/>
      <c r="D10" s="162"/>
      <c r="E10" s="162"/>
      <c r="F10" s="162"/>
      <c r="G10" s="162"/>
      <c r="H10" s="162"/>
      <c r="I10" s="162"/>
      <c r="J10" s="162"/>
      <c r="K10" s="162"/>
      <c r="L10" s="162"/>
    </row>
    <row r="11" spans="1:12" x14ac:dyDescent="0.25">
      <c r="A11" s="76" t="s">
        <v>284</v>
      </c>
      <c r="B11" s="162" t="s">
        <v>349</v>
      </c>
      <c r="C11" s="162"/>
      <c r="D11" s="162"/>
      <c r="E11" s="162"/>
      <c r="F11" s="162"/>
      <c r="G11" s="162"/>
      <c r="H11" s="162"/>
      <c r="I11" s="162"/>
      <c r="J11" s="162"/>
      <c r="K11" s="162"/>
      <c r="L11" s="162"/>
    </row>
    <row r="12" spans="1:12" x14ac:dyDescent="0.25">
      <c r="A12" s="76" t="s">
        <v>285</v>
      </c>
      <c r="B12" s="162" t="s">
        <v>390</v>
      </c>
      <c r="C12" s="162"/>
      <c r="D12" s="162"/>
      <c r="E12" s="162"/>
      <c r="F12" s="162"/>
      <c r="G12" s="162"/>
      <c r="H12" s="162"/>
      <c r="I12" s="162"/>
      <c r="J12" s="162"/>
      <c r="K12" s="162"/>
      <c r="L12" s="162"/>
    </row>
    <row r="13" spans="1:12" x14ac:dyDescent="0.25">
      <c r="A13" s="76" t="s">
        <v>493</v>
      </c>
      <c r="B13" s="162">
        <v>0</v>
      </c>
      <c r="C13" s="162"/>
      <c r="D13" s="162"/>
      <c r="E13" s="162"/>
      <c r="F13" s="162"/>
      <c r="G13" s="162"/>
      <c r="H13" s="162"/>
      <c r="I13" s="162"/>
      <c r="J13" s="162"/>
      <c r="K13" s="162"/>
      <c r="L13" s="162"/>
    </row>
    <row r="14" spans="1:12" x14ac:dyDescent="0.25">
      <c r="A14" s="76" t="s">
        <v>287</v>
      </c>
      <c r="B14" s="162">
        <v>405</v>
      </c>
      <c r="C14" s="162"/>
      <c r="D14" s="162"/>
      <c r="E14" s="162"/>
      <c r="F14" s="162"/>
      <c r="G14" s="162"/>
      <c r="H14" s="162"/>
      <c r="I14" s="162"/>
      <c r="J14" s="162"/>
      <c r="K14" s="162"/>
      <c r="L14" s="162"/>
    </row>
    <row r="15" spans="1:12" x14ac:dyDescent="0.25">
      <c r="A15" s="76" t="s">
        <v>496</v>
      </c>
      <c r="B15" s="162" t="s">
        <v>392</v>
      </c>
      <c r="C15" s="162"/>
      <c r="D15" s="162"/>
      <c r="E15" s="162"/>
      <c r="F15" s="162"/>
      <c r="G15" s="162"/>
      <c r="H15" s="162"/>
      <c r="I15" s="162"/>
      <c r="J15" s="162"/>
      <c r="K15" s="162"/>
      <c r="L15" s="162"/>
    </row>
    <row r="16" spans="1:12" x14ac:dyDescent="0.25">
      <c r="A16" s="76" t="s">
        <v>288</v>
      </c>
      <c r="B16" s="162" t="s">
        <v>393</v>
      </c>
      <c r="C16" s="162"/>
      <c r="D16" s="162"/>
      <c r="E16" s="162"/>
      <c r="F16" s="162"/>
      <c r="G16" s="162"/>
      <c r="H16" s="162"/>
      <c r="I16" s="162"/>
      <c r="J16" s="162"/>
      <c r="K16" s="162"/>
      <c r="L16" s="162"/>
    </row>
    <row r="17" spans="1:12" x14ac:dyDescent="0.25">
      <c r="A17" s="165" t="s">
        <v>568</v>
      </c>
      <c r="B17" s="162"/>
      <c r="C17" s="162"/>
      <c r="D17" s="162"/>
      <c r="E17" s="162"/>
      <c r="F17" s="162"/>
      <c r="G17" s="162"/>
      <c r="H17" s="162"/>
      <c r="I17" s="162"/>
      <c r="J17" s="162"/>
      <c r="K17" s="162"/>
      <c r="L17" s="162"/>
    </row>
    <row r="18" spans="1:12" x14ac:dyDescent="0.25">
      <c r="A18" s="165" t="s">
        <v>500</v>
      </c>
      <c r="B18" s="164">
        <v>45106</v>
      </c>
      <c r="C18" s="162"/>
      <c r="D18" s="162"/>
      <c r="E18" s="162"/>
      <c r="F18" s="162"/>
      <c r="G18" s="162"/>
      <c r="H18" s="162"/>
      <c r="I18" s="162"/>
      <c r="J18" s="162"/>
      <c r="K18" s="162"/>
      <c r="L18" s="162"/>
    </row>
    <row r="19" spans="1:12" x14ac:dyDescent="0.25">
      <c r="A19" s="165" t="s">
        <v>290</v>
      </c>
      <c r="B19" s="164">
        <v>45110</v>
      </c>
      <c r="C19" s="162"/>
      <c r="D19" s="162"/>
      <c r="E19" s="162"/>
      <c r="F19" s="162"/>
      <c r="G19" s="162"/>
      <c r="H19" s="162"/>
      <c r="I19" s="162"/>
      <c r="J19" s="162"/>
      <c r="K19" s="162"/>
      <c r="L19" s="162"/>
    </row>
    <row r="20" spans="1:12" x14ac:dyDescent="0.25">
      <c r="A20" s="165" t="s">
        <v>291</v>
      </c>
      <c r="B20" s="162" t="s">
        <v>298</v>
      </c>
      <c r="C20" s="162"/>
      <c r="D20" s="162"/>
      <c r="E20" s="162"/>
      <c r="F20" s="162"/>
      <c r="G20" s="162"/>
      <c r="H20" s="162"/>
      <c r="I20" s="162"/>
      <c r="J20" s="162"/>
      <c r="K20" s="162"/>
      <c r="L20" s="162"/>
    </row>
    <row r="21" spans="1:12" x14ac:dyDescent="0.25">
      <c r="A21" s="150" t="s">
        <v>569</v>
      </c>
      <c r="B21" s="162" t="s">
        <v>297</v>
      </c>
      <c r="C21" s="162"/>
      <c r="D21" s="162"/>
      <c r="E21" s="162"/>
      <c r="F21" s="162"/>
      <c r="G21" s="162"/>
      <c r="H21" s="162"/>
      <c r="I21" s="162"/>
      <c r="J21" s="162"/>
      <c r="K21" s="162"/>
      <c r="L21" s="162"/>
    </row>
    <row r="23" spans="1:12" x14ac:dyDescent="0.25">
      <c r="B23" s="91" t="str">
        <f>HYPERLINK("#'Factor List'!A1","Back to Factor List")</f>
        <v>Back to Factor List</v>
      </c>
    </row>
    <row r="24" spans="1:12" x14ac:dyDescent="0.25">
      <c r="B24" s="91" t="str">
        <f>HYPERLINK("#'Assumptions'!A1","Assumptions")</f>
        <v>Assumptions</v>
      </c>
    </row>
    <row r="26" spans="1:12" x14ac:dyDescent="0.25">
      <c r="A26" s="87" t="s">
        <v>611</v>
      </c>
      <c r="B26" s="87">
        <v>60</v>
      </c>
      <c r="C26" s="87">
        <v>61</v>
      </c>
      <c r="D26" s="87">
        <v>62</v>
      </c>
      <c r="E26" s="87">
        <v>63</v>
      </c>
      <c r="F26" s="87">
        <v>64</v>
      </c>
      <c r="G26" s="87">
        <v>65</v>
      </c>
      <c r="H26" s="87">
        <v>66</v>
      </c>
      <c r="I26" s="87">
        <v>67</v>
      </c>
      <c r="J26" s="87">
        <v>68</v>
      </c>
      <c r="K26" s="87">
        <v>69</v>
      </c>
      <c r="L26" s="87">
        <v>70</v>
      </c>
    </row>
    <row r="27" spans="1:12" x14ac:dyDescent="0.25">
      <c r="A27" s="88">
        <v>0</v>
      </c>
      <c r="B27" s="110">
        <v>2E-3</v>
      </c>
      <c r="C27" s="110">
        <v>4.5999999999999999E-2</v>
      </c>
      <c r="D27" s="110">
        <v>4.7E-2</v>
      </c>
      <c r="E27" s="110">
        <v>4.9000000000000002E-2</v>
      </c>
      <c r="F27" s="110">
        <v>0.05</v>
      </c>
      <c r="G27" s="110">
        <v>5.1999999999999998E-2</v>
      </c>
      <c r="H27" s="110">
        <v>5.3999999999999999E-2</v>
      </c>
      <c r="I27" s="110">
        <v>5.5E-2</v>
      </c>
      <c r="J27" s="110">
        <v>5.7000000000000002E-2</v>
      </c>
      <c r="K27" s="110">
        <v>5.8999999999999997E-2</v>
      </c>
      <c r="L27" s="110">
        <v>6.2E-2</v>
      </c>
    </row>
    <row r="28" spans="1:12" x14ac:dyDescent="0.25">
      <c r="A28" s="88">
        <v>1</v>
      </c>
      <c r="B28" s="110">
        <v>6.0000000000000001E-3</v>
      </c>
      <c r="C28" s="110">
        <v>4.5999999999999999E-2</v>
      </c>
      <c r="D28" s="110">
        <v>4.7E-2</v>
      </c>
      <c r="E28" s="110">
        <v>4.9000000000000002E-2</v>
      </c>
      <c r="F28" s="110">
        <v>5.0999999999999997E-2</v>
      </c>
      <c r="G28" s="110">
        <v>5.1999999999999998E-2</v>
      </c>
      <c r="H28" s="110">
        <v>5.3999999999999999E-2</v>
      </c>
      <c r="I28" s="110">
        <v>5.6000000000000001E-2</v>
      </c>
      <c r="J28" s="110">
        <v>5.7000000000000002E-2</v>
      </c>
      <c r="K28" s="110">
        <v>5.8999999999999997E-2</v>
      </c>
      <c r="L28" s="110"/>
    </row>
    <row r="29" spans="1:12" x14ac:dyDescent="0.25">
      <c r="A29" s="88">
        <v>2</v>
      </c>
      <c r="B29" s="110">
        <v>0.01</v>
      </c>
      <c r="C29" s="110">
        <v>4.5999999999999999E-2</v>
      </c>
      <c r="D29" s="110">
        <v>4.7E-2</v>
      </c>
      <c r="E29" s="110">
        <v>4.9000000000000002E-2</v>
      </c>
      <c r="F29" s="110">
        <v>5.0999999999999997E-2</v>
      </c>
      <c r="G29" s="110">
        <v>5.1999999999999998E-2</v>
      </c>
      <c r="H29" s="110">
        <v>5.3999999999999999E-2</v>
      </c>
      <c r="I29" s="110">
        <v>5.6000000000000001E-2</v>
      </c>
      <c r="J29" s="110">
        <v>5.7000000000000002E-2</v>
      </c>
      <c r="K29" s="110">
        <v>5.8999999999999997E-2</v>
      </c>
      <c r="L29" s="110"/>
    </row>
    <row r="30" spans="1:12" x14ac:dyDescent="0.25">
      <c r="A30" s="88">
        <v>3</v>
      </c>
      <c r="B30" s="110">
        <v>1.2999999999999999E-2</v>
      </c>
      <c r="C30" s="110">
        <v>4.5999999999999999E-2</v>
      </c>
      <c r="D30" s="110">
        <v>4.8000000000000001E-2</v>
      </c>
      <c r="E30" s="110">
        <v>4.9000000000000002E-2</v>
      </c>
      <c r="F30" s="110">
        <v>5.0999999999999997E-2</v>
      </c>
      <c r="G30" s="110">
        <v>5.2999999999999999E-2</v>
      </c>
      <c r="H30" s="110">
        <v>5.3999999999999999E-2</v>
      </c>
      <c r="I30" s="110">
        <v>5.6000000000000001E-2</v>
      </c>
      <c r="J30" s="110">
        <v>5.7000000000000002E-2</v>
      </c>
      <c r="K30" s="110">
        <v>0.06</v>
      </c>
      <c r="L30" s="110"/>
    </row>
    <row r="31" spans="1:12" x14ac:dyDescent="0.25">
      <c r="A31" s="88">
        <v>4</v>
      </c>
      <c r="B31" s="110">
        <v>1.7000000000000001E-2</v>
      </c>
      <c r="C31" s="110">
        <v>4.5999999999999999E-2</v>
      </c>
      <c r="D31" s="110">
        <v>4.8000000000000001E-2</v>
      </c>
      <c r="E31" s="110">
        <v>4.9000000000000002E-2</v>
      </c>
      <c r="F31" s="110">
        <v>5.0999999999999997E-2</v>
      </c>
      <c r="G31" s="110">
        <v>5.2999999999999999E-2</v>
      </c>
      <c r="H31" s="110">
        <v>5.3999999999999999E-2</v>
      </c>
      <c r="I31" s="110">
        <v>5.6000000000000001E-2</v>
      </c>
      <c r="J31" s="110">
        <v>5.8000000000000003E-2</v>
      </c>
      <c r="K31" s="110">
        <v>0.06</v>
      </c>
      <c r="L31" s="110"/>
    </row>
    <row r="32" spans="1:12" x14ac:dyDescent="0.25">
      <c r="A32" s="88">
        <v>5</v>
      </c>
      <c r="B32" s="110">
        <v>2.1000000000000001E-2</v>
      </c>
      <c r="C32" s="110">
        <v>4.5999999999999999E-2</v>
      </c>
      <c r="D32" s="110">
        <v>4.8000000000000001E-2</v>
      </c>
      <c r="E32" s="110">
        <v>4.9000000000000002E-2</v>
      </c>
      <c r="F32" s="110">
        <v>5.0999999999999997E-2</v>
      </c>
      <c r="G32" s="110">
        <v>5.2999999999999999E-2</v>
      </c>
      <c r="H32" s="110">
        <v>5.3999999999999999E-2</v>
      </c>
      <c r="I32" s="110">
        <v>5.6000000000000001E-2</v>
      </c>
      <c r="J32" s="110">
        <v>5.8000000000000003E-2</v>
      </c>
      <c r="K32" s="110">
        <v>0.06</v>
      </c>
      <c r="L32" s="110"/>
    </row>
    <row r="33" spans="1:12" x14ac:dyDescent="0.25">
      <c r="A33" s="88">
        <v>6</v>
      </c>
      <c r="B33" s="110">
        <v>2.5000000000000001E-2</v>
      </c>
      <c r="C33" s="110">
        <v>4.5999999999999999E-2</v>
      </c>
      <c r="D33" s="110">
        <v>4.8000000000000001E-2</v>
      </c>
      <c r="E33" s="110">
        <v>0.05</v>
      </c>
      <c r="F33" s="110">
        <v>5.0999999999999997E-2</v>
      </c>
      <c r="G33" s="110">
        <v>5.2999999999999999E-2</v>
      </c>
      <c r="H33" s="110">
        <v>5.5E-2</v>
      </c>
      <c r="I33" s="110">
        <v>5.6000000000000001E-2</v>
      </c>
      <c r="J33" s="110">
        <v>5.8000000000000003E-2</v>
      </c>
      <c r="K33" s="110">
        <v>0.06</v>
      </c>
      <c r="L33" s="110"/>
    </row>
    <row r="34" spans="1:12" x14ac:dyDescent="0.25">
      <c r="A34" s="88">
        <v>7</v>
      </c>
      <c r="B34" s="110">
        <v>2.9000000000000001E-2</v>
      </c>
      <c r="C34" s="110">
        <v>4.7E-2</v>
      </c>
      <c r="D34" s="110">
        <v>4.8000000000000001E-2</v>
      </c>
      <c r="E34" s="110">
        <v>0.05</v>
      </c>
      <c r="F34" s="110">
        <v>5.0999999999999997E-2</v>
      </c>
      <c r="G34" s="110">
        <v>5.2999999999999999E-2</v>
      </c>
      <c r="H34" s="110">
        <v>5.5E-2</v>
      </c>
      <c r="I34" s="110">
        <v>5.6000000000000001E-2</v>
      </c>
      <c r="J34" s="110">
        <v>5.8000000000000003E-2</v>
      </c>
      <c r="K34" s="110">
        <v>6.0999999999999999E-2</v>
      </c>
      <c r="L34" s="110"/>
    </row>
    <row r="35" spans="1:12" x14ac:dyDescent="0.25">
      <c r="A35" s="88">
        <v>8</v>
      </c>
      <c r="B35" s="110">
        <v>3.2000000000000001E-2</v>
      </c>
      <c r="C35" s="110">
        <v>4.7E-2</v>
      </c>
      <c r="D35" s="110">
        <v>4.8000000000000001E-2</v>
      </c>
      <c r="E35" s="110">
        <v>0.05</v>
      </c>
      <c r="F35" s="110">
        <v>5.1999999999999998E-2</v>
      </c>
      <c r="G35" s="110">
        <v>5.2999999999999999E-2</v>
      </c>
      <c r="H35" s="110">
        <v>5.5E-2</v>
      </c>
      <c r="I35" s="110">
        <v>5.6000000000000001E-2</v>
      </c>
      <c r="J35" s="110">
        <v>5.8000000000000003E-2</v>
      </c>
      <c r="K35" s="110">
        <v>6.0999999999999999E-2</v>
      </c>
      <c r="L35" s="110"/>
    </row>
    <row r="36" spans="1:12" x14ac:dyDescent="0.25">
      <c r="A36" s="88">
        <v>9</v>
      </c>
      <c r="B36" s="110">
        <v>3.5999999999999997E-2</v>
      </c>
      <c r="C36" s="110">
        <v>4.7E-2</v>
      </c>
      <c r="D36" s="110">
        <v>4.8000000000000001E-2</v>
      </c>
      <c r="E36" s="110">
        <v>0.05</v>
      </c>
      <c r="F36" s="110">
        <v>5.1999999999999998E-2</v>
      </c>
      <c r="G36" s="110">
        <v>5.2999999999999999E-2</v>
      </c>
      <c r="H36" s="110">
        <v>5.5E-2</v>
      </c>
      <c r="I36" s="110">
        <v>5.7000000000000002E-2</v>
      </c>
      <c r="J36" s="110">
        <v>5.8000000000000003E-2</v>
      </c>
      <c r="K36" s="110">
        <v>6.0999999999999999E-2</v>
      </c>
      <c r="L36" s="110"/>
    </row>
    <row r="37" spans="1:12" x14ac:dyDescent="0.25">
      <c r="A37" s="88">
        <v>10</v>
      </c>
      <c r="B37" s="110">
        <v>0.04</v>
      </c>
      <c r="C37" s="110">
        <v>4.7E-2</v>
      </c>
      <c r="D37" s="110">
        <v>4.8000000000000001E-2</v>
      </c>
      <c r="E37" s="110">
        <v>0.05</v>
      </c>
      <c r="F37" s="110">
        <v>5.1999999999999998E-2</v>
      </c>
      <c r="G37" s="110">
        <v>5.3999999999999999E-2</v>
      </c>
      <c r="H37" s="110">
        <v>5.5E-2</v>
      </c>
      <c r="I37" s="110">
        <v>5.7000000000000002E-2</v>
      </c>
      <c r="J37" s="110">
        <v>5.8000000000000003E-2</v>
      </c>
      <c r="K37" s="110">
        <v>6.0999999999999999E-2</v>
      </c>
      <c r="L37" s="110"/>
    </row>
    <row r="38" spans="1:12" x14ac:dyDescent="0.25">
      <c r="A38" s="88">
        <v>11</v>
      </c>
      <c r="B38" s="110">
        <v>4.3999999999999997E-2</v>
      </c>
      <c r="C38" s="110">
        <v>4.7E-2</v>
      </c>
      <c r="D38" s="110">
        <v>4.9000000000000002E-2</v>
      </c>
      <c r="E38" s="110">
        <v>0.05</v>
      </c>
      <c r="F38" s="110">
        <v>5.1999999999999998E-2</v>
      </c>
      <c r="G38" s="110">
        <v>5.3999999999999999E-2</v>
      </c>
      <c r="H38" s="110">
        <v>5.5E-2</v>
      </c>
      <c r="I38" s="110">
        <v>5.7000000000000002E-2</v>
      </c>
      <c r="J38" s="110">
        <v>5.8999999999999997E-2</v>
      </c>
      <c r="K38" s="110">
        <v>6.2E-2</v>
      </c>
      <c r="L38" s="110"/>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vyTctt05cG0dT1fLCiMg9oPsiYKWa5pHXBIMfwJct4YwGznpKhVNvfz7tYF4phzm/hoHvZS8GNQIoa0S6U1/1Q==" saltValue="VjKmGBwM5IcQNzFtch4JUA==" spinCount="100000" sheet="1" objects="1" scenarios="1"/>
  <conditionalFormatting sqref="A6:A21">
    <cfRule type="expression" dxfId="311" priority="3" stopIfTrue="1">
      <formula>MOD(ROW(),2)=0</formula>
    </cfRule>
    <cfRule type="expression" dxfId="310" priority="4" stopIfTrue="1">
      <formula>MOD(ROW(),2)&lt;&gt;0</formula>
    </cfRule>
  </conditionalFormatting>
  <conditionalFormatting sqref="A26:A38">
    <cfRule type="expression" dxfId="309" priority="7" stopIfTrue="1">
      <formula>MOD(ROW(),2)=0</formula>
    </cfRule>
    <cfRule type="expression" dxfId="308" priority="8" stopIfTrue="1">
      <formula>MOD(ROW(),2)&lt;&gt;0</formula>
    </cfRule>
  </conditionalFormatting>
  <conditionalFormatting sqref="B17:B21">
    <cfRule type="expression" dxfId="307" priority="15" stopIfTrue="1">
      <formula>MOD(ROW(),2)=0</formula>
    </cfRule>
    <cfRule type="expression" dxfId="306" priority="16" stopIfTrue="1">
      <formula>MOD(ROW(),2)&lt;&gt;0</formula>
    </cfRule>
  </conditionalFormatting>
  <conditionalFormatting sqref="B6:L21 B26:L38">
    <cfRule type="expression" dxfId="305" priority="23" stopIfTrue="1">
      <formula>MOD(ROW(),2)=0</formula>
    </cfRule>
    <cfRule type="expression" dxfId="304" priority="2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573FA-8387-47B2-B893-CEBBED103EDD}">
  <sheetPr codeName="Sheet120"/>
  <dimension ref="A1:L46"/>
  <sheetViews>
    <sheetView showGridLines="0" zoomScale="85" zoomScaleNormal="85" workbookViewId="0">
      <selection activeCell="A4" sqref="A4"/>
    </sheetView>
  </sheetViews>
  <sheetFormatPr defaultColWidth="10" defaultRowHeight="13.2" x14ac:dyDescent="0.25"/>
  <cols>
    <col min="1" max="1" width="31.88671875" style="27" customWidth="1"/>
    <col min="2" max="2" width="22.88671875" style="27" customWidth="1"/>
    <col min="3" max="3" width="10.109375" style="27" customWidth="1"/>
    <col min="4" max="4" width="10" style="27" customWidth="1"/>
    <col min="5" max="16384" width="10" style="27"/>
  </cols>
  <sheetData>
    <row r="1" spans="1:12" ht="21" x14ac:dyDescent="0.4">
      <c r="A1" s="39" t="s">
        <v>0</v>
      </c>
      <c r="B1" s="40"/>
      <c r="C1" s="40"/>
      <c r="D1" s="40"/>
      <c r="E1" s="40"/>
      <c r="F1" s="40"/>
      <c r="G1" s="40"/>
      <c r="H1" s="40"/>
      <c r="I1" s="40"/>
    </row>
    <row r="2" spans="1:12" ht="15.6" x14ac:dyDescent="0.3">
      <c r="A2" s="41" t="str">
        <f>IF(title="&gt; Enter workbook title here","Enter workbook title in Cover sheet",title)</f>
        <v>Fire_S - Consolidated Factor Spreadsheet</v>
      </c>
      <c r="B2" s="42"/>
      <c r="C2" s="42"/>
      <c r="D2" s="42"/>
      <c r="E2" s="42"/>
      <c r="F2" s="42"/>
      <c r="G2" s="42"/>
      <c r="H2" s="42"/>
      <c r="I2" s="42"/>
    </row>
    <row r="3" spans="1:12" ht="15.6" x14ac:dyDescent="0.3">
      <c r="A3" s="43" t="str">
        <f>TABLE_FACTOR_TYPE_1&amp;" - x-"&amp;TABLE_SERIES_NUMBER_1</f>
        <v>LRF - x-406</v>
      </c>
      <c r="B3" s="42"/>
      <c r="C3" s="42"/>
      <c r="D3" s="42"/>
      <c r="E3" s="42"/>
      <c r="F3" s="42"/>
      <c r="G3" s="42"/>
      <c r="H3" s="42"/>
      <c r="I3" s="42"/>
    </row>
    <row r="4" spans="1:12" x14ac:dyDescent="0.25">
      <c r="A4" s="44"/>
    </row>
    <row r="6" spans="1:12" x14ac:dyDescent="0.25">
      <c r="A6" s="85" t="s">
        <v>484</v>
      </c>
      <c r="B6" s="163" t="s">
        <v>485</v>
      </c>
      <c r="C6" s="163"/>
      <c r="D6" s="163"/>
      <c r="E6" s="163"/>
      <c r="F6" s="163"/>
      <c r="G6" s="163"/>
      <c r="H6" s="163"/>
      <c r="I6" s="163"/>
      <c r="J6" s="163"/>
      <c r="K6" s="163"/>
      <c r="L6" s="163"/>
    </row>
    <row r="7" spans="1:12" x14ac:dyDescent="0.25">
      <c r="A7" s="165" t="s">
        <v>486</v>
      </c>
      <c r="B7" s="163" t="s">
        <v>81</v>
      </c>
      <c r="C7" s="163"/>
      <c r="D7" s="163"/>
      <c r="E7" s="163"/>
      <c r="F7" s="163"/>
      <c r="G7" s="163"/>
      <c r="H7" s="163"/>
      <c r="I7" s="163"/>
      <c r="J7" s="163"/>
      <c r="K7" s="163"/>
      <c r="L7" s="163"/>
    </row>
    <row r="8" spans="1:12" x14ac:dyDescent="0.25">
      <c r="A8" s="165" t="s">
        <v>282</v>
      </c>
      <c r="B8" s="163">
        <v>2015</v>
      </c>
      <c r="C8" s="163"/>
      <c r="D8" s="163"/>
      <c r="E8" s="163"/>
      <c r="F8" s="163"/>
      <c r="G8" s="163"/>
      <c r="H8" s="163"/>
      <c r="I8" s="163"/>
      <c r="J8" s="163"/>
      <c r="K8" s="163"/>
      <c r="L8" s="163"/>
    </row>
    <row r="9" spans="1:12" x14ac:dyDescent="0.25">
      <c r="A9" s="165" t="s">
        <v>283</v>
      </c>
      <c r="B9" s="163" t="s">
        <v>389</v>
      </c>
      <c r="C9" s="163"/>
      <c r="D9" s="163"/>
      <c r="E9" s="163"/>
      <c r="F9" s="163"/>
      <c r="G9" s="163"/>
      <c r="H9" s="163"/>
      <c r="I9" s="163"/>
      <c r="J9" s="163"/>
      <c r="K9" s="163"/>
      <c r="L9" s="163"/>
    </row>
    <row r="10" spans="1:12" x14ac:dyDescent="0.25">
      <c r="A10" s="165" t="s">
        <v>6</v>
      </c>
      <c r="B10" s="163" t="s">
        <v>655</v>
      </c>
      <c r="C10" s="163"/>
      <c r="D10" s="163"/>
      <c r="E10" s="163"/>
      <c r="F10" s="163"/>
      <c r="G10" s="163"/>
      <c r="H10" s="163"/>
      <c r="I10" s="163"/>
      <c r="J10" s="163"/>
      <c r="K10" s="163"/>
      <c r="L10" s="163"/>
    </row>
    <row r="11" spans="1:12" x14ac:dyDescent="0.25">
      <c r="A11" s="165" t="s">
        <v>284</v>
      </c>
      <c r="B11" s="163" t="s">
        <v>349</v>
      </c>
      <c r="C11" s="163"/>
      <c r="D11" s="163"/>
      <c r="E11" s="163"/>
      <c r="F11" s="163"/>
      <c r="G11" s="163"/>
      <c r="H11" s="163"/>
      <c r="I11" s="163"/>
      <c r="J11" s="163"/>
      <c r="K11" s="163"/>
      <c r="L11" s="163"/>
    </row>
    <row r="12" spans="1:12" x14ac:dyDescent="0.25">
      <c r="A12" s="165" t="s">
        <v>285</v>
      </c>
      <c r="B12" s="163" t="s">
        <v>616</v>
      </c>
      <c r="C12" s="163"/>
      <c r="D12" s="163"/>
      <c r="E12" s="163"/>
      <c r="F12" s="163"/>
      <c r="G12" s="163"/>
      <c r="H12" s="163"/>
      <c r="I12" s="163"/>
      <c r="J12" s="163"/>
      <c r="K12" s="163"/>
      <c r="L12" s="163"/>
    </row>
    <row r="13" spans="1:12" x14ac:dyDescent="0.25">
      <c r="A13" s="165" t="s">
        <v>493</v>
      </c>
      <c r="B13" s="163">
        <v>0</v>
      </c>
      <c r="C13" s="163"/>
      <c r="D13" s="163"/>
      <c r="E13" s="163"/>
      <c r="F13" s="163"/>
      <c r="G13" s="163"/>
      <c r="H13" s="163"/>
      <c r="I13" s="163"/>
      <c r="J13" s="163"/>
      <c r="K13" s="163"/>
      <c r="L13" s="163"/>
    </row>
    <row r="14" spans="1:12" x14ac:dyDescent="0.25">
      <c r="A14" s="165" t="s">
        <v>287</v>
      </c>
      <c r="B14" s="163">
        <v>406</v>
      </c>
      <c r="C14" s="163"/>
      <c r="D14" s="163"/>
      <c r="E14" s="163"/>
      <c r="F14" s="163"/>
      <c r="G14" s="163"/>
      <c r="H14" s="163"/>
      <c r="I14" s="163"/>
      <c r="J14" s="163"/>
      <c r="K14" s="163"/>
      <c r="L14" s="163"/>
    </row>
    <row r="15" spans="1:12" x14ac:dyDescent="0.25">
      <c r="A15" s="165" t="s">
        <v>496</v>
      </c>
      <c r="B15" s="163" t="s">
        <v>617</v>
      </c>
      <c r="C15" s="163"/>
      <c r="D15" s="163"/>
      <c r="E15" s="163"/>
      <c r="F15" s="163"/>
      <c r="G15" s="163"/>
      <c r="H15" s="163"/>
      <c r="I15" s="163"/>
      <c r="J15" s="163"/>
      <c r="K15" s="163"/>
      <c r="L15" s="163"/>
    </row>
    <row r="16" spans="1:12" x14ac:dyDescent="0.25">
      <c r="A16" s="165" t="s">
        <v>288</v>
      </c>
      <c r="B16" s="163" t="s">
        <v>395</v>
      </c>
      <c r="C16" s="163"/>
      <c r="D16" s="163"/>
      <c r="E16" s="163"/>
      <c r="F16" s="163"/>
      <c r="G16" s="163"/>
      <c r="H16" s="163"/>
      <c r="I16" s="163"/>
      <c r="J16" s="163"/>
      <c r="K16" s="163"/>
      <c r="L16" s="163"/>
    </row>
    <row r="17" spans="1:12" x14ac:dyDescent="0.25">
      <c r="A17" s="165" t="s">
        <v>568</v>
      </c>
      <c r="B17" s="163"/>
      <c r="C17" s="163"/>
      <c r="D17" s="163"/>
      <c r="E17" s="163"/>
      <c r="F17" s="163"/>
      <c r="G17" s="163"/>
      <c r="H17" s="163"/>
      <c r="I17" s="163"/>
      <c r="J17" s="163"/>
      <c r="K17" s="163"/>
      <c r="L17" s="163"/>
    </row>
    <row r="18" spans="1:12" x14ac:dyDescent="0.25">
      <c r="A18" s="165" t="s">
        <v>500</v>
      </c>
      <c r="B18" s="166">
        <v>45106</v>
      </c>
      <c r="C18" s="163"/>
      <c r="D18" s="163"/>
      <c r="E18" s="163"/>
      <c r="F18" s="163"/>
      <c r="G18" s="163"/>
      <c r="H18" s="163"/>
      <c r="I18" s="163"/>
      <c r="J18" s="163"/>
      <c r="K18" s="163"/>
      <c r="L18" s="163"/>
    </row>
    <row r="19" spans="1:12" x14ac:dyDescent="0.25">
      <c r="A19" s="165" t="s">
        <v>290</v>
      </c>
      <c r="B19" s="166">
        <v>45110</v>
      </c>
      <c r="C19" s="163"/>
      <c r="D19" s="163"/>
      <c r="E19" s="163"/>
      <c r="F19" s="163"/>
      <c r="G19" s="163"/>
      <c r="H19" s="163"/>
      <c r="I19" s="163"/>
      <c r="J19" s="163"/>
      <c r="K19" s="163"/>
      <c r="L19" s="163"/>
    </row>
    <row r="20" spans="1:12" x14ac:dyDescent="0.25">
      <c r="A20" s="165" t="s">
        <v>291</v>
      </c>
      <c r="B20" s="163" t="s">
        <v>298</v>
      </c>
      <c r="C20" s="163"/>
      <c r="D20" s="163"/>
      <c r="E20" s="163"/>
      <c r="F20" s="163"/>
      <c r="G20" s="163"/>
      <c r="H20" s="163"/>
      <c r="I20" s="163"/>
      <c r="J20" s="163"/>
      <c r="K20" s="163"/>
      <c r="L20" s="163"/>
    </row>
    <row r="21" spans="1:12" x14ac:dyDescent="0.25">
      <c r="A21" s="150" t="s">
        <v>569</v>
      </c>
      <c r="B21" s="163" t="s">
        <v>297</v>
      </c>
      <c r="C21" s="163"/>
      <c r="D21" s="163"/>
      <c r="E21" s="163"/>
      <c r="F21" s="163"/>
      <c r="G21" s="163"/>
      <c r="H21" s="163"/>
      <c r="I21" s="163"/>
      <c r="J21" s="163"/>
      <c r="K21" s="163"/>
      <c r="L21" s="163"/>
    </row>
    <row r="23" spans="1:12" x14ac:dyDescent="0.25">
      <c r="B23" s="91" t="str">
        <f>HYPERLINK("#'Factor List'!A1","Back to Factor List")</f>
        <v>Back to Factor List</v>
      </c>
    </row>
    <row r="24" spans="1:12" x14ac:dyDescent="0.25">
      <c r="B24" s="91" t="str">
        <f>HYPERLINK("#'Assumptions'!A1","Assumptions")</f>
        <v>Assumptions</v>
      </c>
    </row>
    <row r="26" spans="1:12" x14ac:dyDescent="0.25">
      <c r="A26" s="105" t="s">
        <v>618</v>
      </c>
      <c r="B26" s="100">
        <v>59</v>
      </c>
      <c r="C26" s="100">
        <f>B26+1</f>
        <v>60</v>
      </c>
      <c r="D26" s="100">
        <f>C26+1</f>
        <v>61</v>
      </c>
      <c r="E26" s="100">
        <f>D26+1</f>
        <v>62</v>
      </c>
      <c r="F26" s="100">
        <f t="shared" ref="F26:L26" si="0">E26+1</f>
        <v>63</v>
      </c>
      <c r="G26" s="100">
        <f t="shared" si="0"/>
        <v>64</v>
      </c>
      <c r="H26" s="100">
        <f t="shared" si="0"/>
        <v>65</v>
      </c>
      <c r="I26" s="100">
        <f t="shared" si="0"/>
        <v>66</v>
      </c>
      <c r="J26" s="100">
        <f t="shared" si="0"/>
        <v>67</v>
      </c>
      <c r="K26" s="100">
        <f t="shared" si="0"/>
        <v>68</v>
      </c>
      <c r="L26" s="100">
        <f t="shared" si="0"/>
        <v>69</v>
      </c>
    </row>
    <row r="27" spans="1:12" x14ac:dyDescent="0.25">
      <c r="A27" s="104">
        <v>0</v>
      </c>
      <c r="B27" s="106">
        <v>0</v>
      </c>
      <c r="C27" s="106">
        <v>0</v>
      </c>
      <c r="D27" s="106">
        <v>0</v>
      </c>
      <c r="E27" s="106">
        <v>0</v>
      </c>
      <c r="F27" s="106">
        <v>0</v>
      </c>
      <c r="G27" s="106">
        <v>0</v>
      </c>
      <c r="H27" s="106">
        <v>0</v>
      </c>
      <c r="I27" s="106">
        <v>0</v>
      </c>
      <c r="J27" s="106">
        <v>0</v>
      </c>
      <c r="K27" s="106">
        <v>0</v>
      </c>
      <c r="L27" s="106">
        <v>0</v>
      </c>
    </row>
    <row r="28" spans="1:12" x14ac:dyDescent="0.25">
      <c r="A28" s="104">
        <v>1</v>
      </c>
      <c r="B28" s="106">
        <v>2E-3</v>
      </c>
      <c r="C28" s="106">
        <v>2E-3</v>
      </c>
      <c r="D28" s="106">
        <v>2E-3</v>
      </c>
      <c r="E28" s="106">
        <v>3.0000000000000001E-3</v>
      </c>
      <c r="F28" s="106">
        <v>3.0000000000000001E-3</v>
      </c>
      <c r="G28" s="106">
        <v>3.0000000000000001E-3</v>
      </c>
      <c r="H28" s="106">
        <v>3.0000000000000001E-3</v>
      </c>
      <c r="I28" s="106">
        <v>3.0000000000000001E-3</v>
      </c>
      <c r="J28" s="106">
        <v>3.0000000000000001E-3</v>
      </c>
      <c r="K28" s="106">
        <v>3.0000000000000001E-3</v>
      </c>
      <c r="L28" s="106">
        <v>4.0000000000000001E-3</v>
      </c>
    </row>
    <row r="29" spans="1:12" x14ac:dyDescent="0.25">
      <c r="A29" s="104">
        <v>2</v>
      </c>
      <c r="B29" s="106">
        <v>5.0000000000000001E-3</v>
      </c>
      <c r="C29" s="106">
        <v>5.0000000000000001E-3</v>
      </c>
      <c r="D29" s="106">
        <v>5.0000000000000001E-3</v>
      </c>
      <c r="E29" s="106">
        <v>5.0000000000000001E-3</v>
      </c>
      <c r="F29" s="106">
        <v>5.0000000000000001E-3</v>
      </c>
      <c r="G29" s="106">
        <v>6.0000000000000001E-3</v>
      </c>
      <c r="H29" s="106">
        <v>6.0000000000000001E-3</v>
      </c>
      <c r="I29" s="106">
        <v>6.0000000000000001E-3</v>
      </c>
      <c r="J29" s="106">
        <v>6.0000000000000001E-3</v>
      </c>
      <c r="K29" s="106">
        <v>7.0000000000000001E-3</v>
      </c>
      <c r="L29" s="106">
        <v>7.0000000000000001E-3</v>
      </c>
    </row>
    <row r="30" spans="1:12" x14ac:dyDescent="0.25">
      <c r="A30" s="104">
        <v>3</v>
      </c>
      <c r="B30" s="106">
        <v>7.0000000000000001E-3</v>
      </c>
      <c r="C30" s="106">
        <v>7.0000000000000001E-3</v>
      </c>
      <c r="D30" s="106">
        <v>7.0000000000000001E-3</v>
      </c>
      <c r="E30" s="106">
        <v>8.0000000000000002E-3</v>
      </c>
      <c r="F30" s="106">
        <v>8.0000000000000002E-3</v>
      </c>
      <c r="G30" s="106">
        <v>8.0000000000000002E-3</v>
      </c>
      <c r="H30" s="106">
        <v>8.9999999999999993E-3</v>
      </c>
      <c r="I30" s="106">
        <v>8.9999999999999993E-3</v>
      </c>
      <c r="J30" s="106">
        <v>0.01</v>
      </c>
      <c r="K30" s="106">
        <v>0.01</v>
      </c>
      <c r="L30" s="106">
        <v>1.0999999999999999E-2</v>
      </c>
    </row>
    <row r="31" spans="1:12" x14ac:dyDescent="0.25">
      <c r="A31" s="104">
        <v>4</v>
      </c>
      <c r="B31" s="106">
        <v>8.9999999999999993E-3</v>
      </c>
      <c r="C31" s="106">
        <v>8.9999999999999993E-3</v>
      </c>
      <c r="D31" s="106">
        <v>0.01</v>
      </c>
      <c r="E31" s="106">
        <v>0.01</v>
      </c>
      <c r="F31" s="106">
        <v>1.0999999999999999E-2</v>
      </c>
      <c r="G31" s="106">
        <v>1.0999999999999999E-2</v>
      </c>
      <c r="H31" s="106">
        <v>1.2E-2</v>
      </c>
      <c r="I31" s="106">
        <v>1.2E-2</v>
      </c>
      <c r="J31" s="106">
        <v>1.2999999999999999E-2</v>
      </c>
      <c r="K31" s="106">
        <v>1.2999999999999999E-2</v>
      </c>
      <c r="L31" s="106">
        <v>1.4E-2</v>
      </c>
    </row>
    <row r="32" spans="1:12" x14ac:dyDescent="0.25">
      <c r="A32" s="104">
        <v>5</v>
      </c>
      <c r="B32" s="106">
        <v>1.0999999999999999E-2</v>
      </c>
      <c r="C32" s="106">
        <v>1.0999999999999999E-2</v>
      </c>
      <c r="D32" s="106">
        <v>1.2E-2</v>
      </c>
      <c r="E32" s="106">
        <v>1.2999999999999999E-2</v>
      </c>
      <c r="F32" s="106">
        <v>1.2999999999999999E-2</v>
      </c>
      <c r="G32" s="106">
        <v>1.4E-2</v>
      </c>
      <c r="H32" s="106">
        <v>1.4999999999999999E-2</v>
      </c>
      <c r="I32" s="106">
        <v>1.4999999999999999E-2</v>
      </c>
      <c r="J32" s="106">
        <v>1.6E-2</v>
      </c>
      <c r="K32" s="106">
        <v>1.7000000000000001E-2</v>
      </c>
      <c r="L32" s="106">
        <v>1.7999999999999999E-2</v>
      </c>
    </row>
    <row r="33" spans="1:12" x14ac:dyDescent="0.25">
      <c r="A33" s="104">
        <v>6</v>
      </c>
      <c r="B33" s="106">
        <v>1.4E-2</v>
      </c>
      <c r="C33" s="106">
        <v>1.4E-2</v>
      </c>
      <c r="D33" s="106">
        <v>1.4E-2</v>
      </c>
      <c r="E33" s="106">
        <v>1.4999999999999999E-2</v>
      </c>
      <c r="F33" s="106">
        <v>1.6E-2</v>
      </c>
      <c r="G33" s="106">
        <v>1.7000000000000001E-2</v>
      </c>
      <c r="H33" s="106">
        <v>1.7999999999999999E-2</v>
      </c>
      <c r="I33" s="106">
        <v>1.9E-2</v>
      </c>
      <c r="J33" s="106">
        <v>1.9E-2</v>
      </c>
      <c r="K33" s="106">
        <v>0.02</v>
      </c>
      <c r="L33" s="106">
        <v>2.1999999999999999E-2</v>
      </c>
    </row>
    <row r="34" spans="1:12" x14ac:dyDescent="0.25">
      <c r="A34" s="104">
        <v>7</v>
      </c>
      <c r="B34" s="106">
        <v>1.6E-2</v>
      </c>
      <c r="C34" s="106">
        <v>1.6E-2</v>
      </c>
      <c r="D34" s="106">
        <v>1.7000000000000001E-2</v>
      </c>
      <c r="E34" s="106">
        <v>1.7999999999999999E-2</v>
      </c>
      <c r="F34" s="106">
        <v>1.9E-2</v>
      </c>
      <c r="G34" s="106">
        <v>0.02</v>
      </c>
      <c r="H34" s="106">
        <v>2.1000000000000001E-2</v>
      </c>
      <c r="I34" s="106">
        <v>2.1999999999999999E-2</v>
      </c>
      <c r="J34" s="106">
        <v>2.3E-2</v>
      </c>
      <c r="K34" s="106">
        <v>2.4E-2</v>
      </c>
      <c r="L34" s="106">
        <v>2.5000000000000001E-2</v>
      </c>
    </row>
    <row r="35" spans="1:12" x14ac:dyDescent="0.25">
      <c r="A35" s="104">
        <v>8</v>
      </c>
      <c r="B35" s="106">
        <v>1.7999999999999999E-2</v>
      </c>
      <c r="C35" s="106">
        <v>1.7999999999999999E-2</v>
      </c>
      <c r="D35" s="106">
        <v>1.9E-2</v>
      </c>
      <c r="E35" s="106">
        <v>0.02</v>
      </c>
      <c r="F35" s="106">
        <v>2.1000000000000001E-2</v>
      </c>
      <c r="G35" s="106">
        <v>2.3E-2</v>
      </c>
      <c r="H35" s="106">
        <v>2.4E-2</v>
      </c>
      <c r="I35" s="106">
        <v>2.5000000000000001E-2</v>
      </c>
      <c r="J35" s="106">
        <v>2.5999999999999999E-2</v>
      </c>
      <c r="K35" s="106">
        <v>2.7E-2</v>
      </c>
      <c r="L35" s="106">
        <v>2.9000000000000001E-2</v>
      </c>
    </row>
    <row r="36" spans="1:12" x14ac:dyDescent="0.25">
      <c r="A36" s="104">
        <v>9</v>
      </c>
      <c r="B36" s="106">
        <v>2.1000000000000001E-2</v>
      </c>
      <c r="C36" s="106">
        <v>2.1000000000000001E-2</v>
      </c>
      <c r="D36" s="106">
        <v>2.1999999999999999E-2</v>
      </c>
      <c r="E36" s="106">
        <v>2.3E-2</v>
      </c>
      <c r="F36" s="106">
        <v>2.4E-2</v>
      </c>
      <c r="G36" s="106">
        <v>2.5000000000000001E-2</v>
      </c>
      <c r="H36" s="106">
        <v>2.7E-2</v>
      </c>
      <c r="I36" s="106">
        <v>2.8000000000000001E-2</v>
      </c>
      <c r="J36" s="106">
        <v>2.9000000000000001E-2</v>
      </c>
      <c r="K36" s="106">
        <v>0.03</v>
      </c>
      <c r="L36" s="106">
        <v>3.3000000000000002E-2</v>
      </c>
    </row>
    <row r="37" spans="1:12" x14ac:dyDescent="0.25">
      <c r="A37" s="104">
        <v>10</v>
      </c>
      <c r="B37" s="106">
        <v>2.3E-2</v>
      </c>
      <c r="C37" s="106">
        <v>2.3E-2</v>
      </c>
      <c r="D37" s="106">
        <v>2.4E-2</v>
      </c>
      <c r="E37" s="106">
        <v>2.5000000000000001E-2</v>
      </c>
      <c r="F37" s="106">
        <v>2.7E-2</v>
      </c>
      <c r="G37" s="106">
        <v>2.8000000000000001E-2</v>
      </c>
      <c r="H37" s="106">
        <v>0.03</v>
      </c>
      <c r="I37" s="106">
        <v>3.1E-2</v>
      </c>
      <c r="J37" s="106">
        <v>3.2000000000000001E-2</v>
      </c>
      <c r="K37" s="106">
        <v>3.4000000000000002E-2</v>
      </c>
      <c r="L37" s="106">
        <v>3.5999999999999997E-2</v>
      </c>
    </row>
    <row r="38" spans="1:12" x14ac:dyDescent="0.25">
      <c r="A38" s="104">
        <v>11</v>
      </c>
      <c r="B38" s="106">
        <v>2.5000000000000001E-2</v>
      </c>
      <c r="C38" s="106">
        <v>2.5000000000000001E-2</v>
      </c>
      <c r="D38" s="106">
        <v>2.7E-2</v>
      </c>
      <c r="E38" s="106">
        <v>2.8000000000000001E-2</v>
      </c>
      <c r="F38" s="106">
        <v>2.9000000000000001E-2</v>
      </c>
      <c r="G38" s="106">
        <v>3.1E-2</v>
      </c>
      <c r="H38" s="106">
        <v>3.3000000000000002E-2</v>
      </c>
      <c r="I38" s="106">
        <v>3.4000000000000002E-2</v>
      </c>
      <c r="J38" s="106">
        <v>3.5000000000000003E-2</v>
      </c>
      <c r="K38" s="106">
        <v>3.6999999999999998E-2</v>
      </c>
      <c r="L38" s="106">
        <v>0.04</v>
      </c>
    </row>
    <row r="44" spans="1:12" ht="39.6" customHeight="1" x14ac:dyDescent="0.25"/>
    <row r="46" spans="1:12" ht="27.6" customHeight="1" x14ac:dyDescent="0.25"/>
  </sheetData>
  <sheetProtection algorithmName="SHA-512" hashValue="/S0Ll1Km8TYhRgXPR9B0LNz5IgmlU4sLuC1B3QAxL+6ltDhQrkmxKc3DunfUKn+V5VmtrQ4nUhMQbI5fAxtucg==" saltValue="+oNuZjoQ62lVnhyA2Dyzrg==" spinCount="100000" sheet="1" objects="1" scenarios="1"/>
  <conditionalFormatting sqref="A6:A21">
    <cfRule type="expression" dxfId="303" priority="3" stopIfTrue="1">
      <formula>MOD(ROW(),2)=0</formula>
    </cfRule>
    <cfRule type="expression" dxfId="302" priority="4" stopIfTrue="1">
      <formula>MOD(ROW(),2)&lt;&gt;0</formula>
    </cfRule>
  </conditionalFormatting>
  <conditionalFormatting sqref="A26:A38">
    <cfRule type="expression" dxfId="301" priority="7" stopIfTrue="1">
      <formula>MOD(ROW(),2)=0</formula>
    </cfRule>
    <cfRule type="expression" dxfId="300" priority="8" stopIfTrue="1">
      <formula>MOD(ROW(),2)&lt;&gt;0</formula>
    </cfRule>
  </conditionalFormatting>
  <conditionalFormatting sqref="B17:B21">
    <cfRule type="expression" dxfId="299" priority="10" stopIfTrue="1">
      <formula>MOD(ROW(),2)&lt;&gt;0</formula>
    </cfRule>
    <cfRule type="expression" dxfId="298" priority="24" stopIfTrue="1">
      <formula>MOD(ROW(),2)=0</formula>
    </cfRule>
  </conditionalFormatting>
  <conditionalFormatting sqref="B6:L21">
    <cfRule type="expression" dxfId="297" priority="12" stopIfTrue="1">
      <formula>MOD(ROW(),2)&lt;&gt;0</formula>
    </cfRule>
    <cfRule type="expression" dxfId="296" priority="22" stopIfTrue="1">
      <formula>MOD(ROW(),2)=0</formula>
    </cfRule>
  </conditionalFormatting>
  <conditionalFormatting sqref="B26:L38">
    <cfRule type="expression" dxfId="295" priority="15" stopIfTrue="1">
      <formula>MOD(ROW(),2)=0</formula>
    </cfRule>
    <cfRule type="expression" dxfId="294" priority="16" stopIfTrue="1">
      <formula>MOD(ROW(),2)&lt;&gt;0</formula>
    </cfRule>
  </conditionalFormatting>
  <conditionalFormatting sqref="C6:L21">
    <cfRule type="expression" dxfId="293" priority="11" stopIfTrue="1">
      <formula>MOD(ROW(),2)=0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W999"/>
  <sheetViews>
    <sheetView showGridLines="0" tabSelected="1" zoomScale="85" zoomScaleNormal="85" workbookViewId="0"/>
  </sheetViews>
  <sheetFormatPr defaultRowHeight="13.2" x14ac:dyDescent="0.25"/>
  <cols>
    <col min="1" max="3" width="17.33203125" customWidth="1"/>
    <col min="4" max="4" width="17.33203125" style="26" customWidth="1"/>
    <col min="5" max="5" width="50.77734375" customWidth="1"/>
    <col min="6" max="6" width="17.33203125" style="26" customWidth="1"/>
    <col min="7" max="7" width="50.77734375" customWidth="1"/>
    <col min="8" max="10" width="17.33203125" customWidth="1"/>
    <col min="11" max="11" width="30.77734375" customWidth="1"/>
    <col min="12" max="12" width="46.6640625" style="111" customWidth="1"/>
    <col min="13" max="13" width="17.33203125" style="25" customWidth="1"/>
    <col min="14" max="15" width="17.33203125" style="128" customWidth="1"/>
    <col min="16" max="16" width="17.33203125" customWidth="1"/>
    <col min="17" max="17" width="8.88671875" customWidth="1"/>
  </cols>
  <sheetData>
    <row r="1" spans="1:23" ht="21" x14ac:dyDescent="0.4">
      <c r="A1" s="4" t="s">
        <v>0</v>
      </c>
      <c r="B1" s="10"/>
      <c r="C1" s="10"/>
      <c r="D1" s="79"/>
      <c r="E1" s="10"/>
      <c r="F1" s="79"/>
      <c r="G1" s="10"/>
      <c r="H1" s="10"/>
      <c r="I1" s="10"/>
      <c r="J1" s="10"/>
      <c r="K1" s="10"/>
      <c r="L1" s="122"/>
      <c r="M1" s="124"/>
      <c r="N1" s="125"/>
      <c r="O1" s="125"/>
    </row>
    <row r="2" spans="1:23" ht="15.6" x14ac:dyDescent="0.3">
      <c r="A2" s="11" t="str">
        <f>IF(title="&gt; Enter workbook title here","Enter workbook title in Cover sheet",title)</f>
        <v>Fire_S - Consolidated Factor Spreadsheet</v>
      </c>
      <c r="B2" s="9"/>
      <c r="C2" s="9"/>
      <c r="D2" s="80"/>
      <c r="E2" s="9"/>
      <c r="F2" s="80"/>
      <c r="G2" s="9"/>
      <c r="H2" s="9"/>
      <c r="I2" s="9"/>
      <c r="J2" s="9"/>
      <c r="K2" s="9"/>
      <c r="L2" s="123"/>
      <c r="M2" s="126"/>
      <c r="N2" s="127"/>
      <c r="O2" s="127"/>
    </row>
    <row r="3" spans="1:23" ht="15.6" x14ac:dyDescent="0.3">
      <c r="A3" s="6" t="s">
        <v>11</v>
      </c>
      <c r="B3" s="9"/>
      <c r="C3" s="9"/>
      <c r="D3" s="80"/>
      <c r="E3" s="9"/>
      <c r="F3" s="80"/>
      <c r="G3" s="9"/>
      <c r="H3" s="9"/>
      <c r="I3" s="9"/>
      <c r="J3" s="9"/>
      <c r="K3" s="9"/>
      <c r="L3" s="123"/>
      <c r="M3" s="126"/>
      <c r="N3" s="127"/>
      <c r="O3" s="127"/>
    </row>
    <row r="4" spans="1:23" x14ac:dyDescent="0.25">
      <c r="A4" s="7"/>
    </row>
    <row r="5" spans="1:23" x14ac:dyDescent="0.25">
      <c r="D5"/>
      <c r="F5"/>
      <c r="L5"/>
      <c r="M5"/>
      <c r="N5"/>
      <c r="O5"/>
    </row>
    <row r="6" spans="1:23" x14ac:dyDescent="0.25">
      <c r="D6"/>
      <c r="F6"/>
      <c r="L6"/>
      <c r="M6"/>
      <c r="N6"/>
      <c r="O6"/>
    </row>
    <row r="7" spans="1:23" s="81" customFormat="1" ht="50.25" customHeight="1" x14ac:dyDescent="0.25">
      <c r="A7" s="160" t="s">
        <v>657</v>
      </c>
      <c r="B7" s="160" t="s">
        <v>486</v>
      </c>
      <c r="C7" s="160" t="s">
        <v>282</v>
      </c>
      <c r="D7" s="160" t="s">
        <v>283</v>
      </c>
      <c r="E7" s="160" t="s">
        <v>6</v>
      </c>
      <c r="F7" s="160" t="s">
        <v>284</v>
      </c>
      <c r="G7" s="160" t="s">
        <v>285</v>
      </c>
      <c r="H7" s="160" t="s">
        <v>286</v>
      </c>
      <c r="I7" s="160" t="s">
        <v>287</v>
      </c>
      <c r="J7" s="160" t="s">
        <v>658</v>
      </c>
      <c r="K7" s="160" t="s">
        <v>288</v>
      </c>
      <c r="L7" s="160" t="s">
        <v>289</v>
      </c>
      <c r="M7" s="160" t="s">
        <v>500</v>
      </c>
      <c r="N7" s="160" t="s">
        <v>290</v>
      </c>
      <c r="O7" s="160" t="s">
        <v>291</v>
      </c>
      <c r="P7" s="160" t="s">
        <v>569</v>
      </c>
      <c r="Q7"/>
      <c r="R7"/>
      <c r="S7"/>
      <c r="T7"/>
      <c r="U7"/>
      <c r="V7"/>
      <c r="W7"/>
    </row>
    <row r="8" spans="1:23" ht="26.4" x14ac:dyDescent="0.25">
      <c r="A8" s="167" t="str">
        <f ca="1">HYPERLINK(MID(CELL("filename",A1),FIND("[",CELL("filename",A1)),FIND("]",CELL("filename",A1)) - FIND("[",CELL("filename",A1)) + 1) &amp; "'x-201'!TABLE_CLIENT_1","x-201 1")</f>
        <v>x-201 1</v>
      </c>
      <c r="B8" s="168" t="s">
        <v>81</v>
      </c>
      <c r="C8" s="168">
        <v>1992</v>
      </c>
      <c r="D8" s="168" t="s">
        <v>292</v>
      </c>
      <c r="E8" s="168" t="s">
        <v>293</v>
      </c>
      <c r="F8" s="168" t="s">
        <v>294</v>
      </c>
      <c r="G8" s="168" t="s">
        <v>295</v>
      </c>
      <c r="H8" s="168">
        <v>2</v>
      </c>
      <c r="I8" s="76">
        <v>201</v>
      </c>
      <c r="J8" t="s">
        <v>567</v>
      </c>
      <c r="K8" s="169" t="s">
        <v>296</v>
      </c>
      <c r="L8" s="169"/>
      <c r="M8" s="170">
        <v>45070</v>
      </c>
      <c r="N8" s="170">
        <v>45014</v>
      </c>
      <c r="O8" s="168" t="s">
        <v>298</v>
      </c>
      <c r="P8" s="170" t="s">
        <v>297</v>
      </c>
    </row>
    <row r="9" spans="1:23" ht="26.4" x14ac:dyDescent="0.25">
      <c r="A9" s="167" t="str">
        <f ca="1">HYPERLINK(MID(CELL("filename",A1),FIND("[",CELL("filename",A1)),FIND("]",CELL("filename",A1)) - FIND("[",CELL("filename",A1)) + 1) &amp; "'x-202'!TABLE_CLIENT_1","x-202 1")</f>
        <v>x-202 1</v>
      </c>
      <c r="B9" s="168" t="s">
        <v>81</v>
      </c>
      <c r="C9" s="168">
        <v>1992</v>
      </c>
      <c r="D9" s="168" t="s">
        <v>292</v>
      </c>
      <c r="E9" s="168" t="s">
        <v>293</v>
      </c>
      <c r="F9" s="168" t="s">
        <v>299</v>
      </c>
      <c r="G9" s="168" t="s">
        <v>295</v>
      </c>
      <c r="H9" s="168">
        <v>2</v>
      </c>
      <c r="I9" s="76">
        <v>202</v>
      </c>
      <c r="J9" t="s">
        <v>574</v>
      </c>
      <c r="K9" s="169" t="s">
        <v>300</v>
      </c>
      <c r="L9" s="169"/>
      <c r="M9" s="170">
        <v>45070</v>
      </c>
      <c r="N9" s="170">
        <v>45014</v>
      </c>
      <c r="O9" s="168" t="s">
        <v>298</v>
      </c>
      <c r="P9" s="170" t="s">
        <v>297</v>
      </c>
    </row>
    <row r="10" spans="1:23" ht="26.4" x14ac:dyDescent="0.25">
      <c r="A10" s="167" t="str">
        <f ca="1">HYPERLINK(MID(CELL("filename",A1),FIND("[",CELL("filename",A1)),FIND("]",CELL("filename",A1)) - FIND("[",CELL("filename",A1)) + 1) &amp; "'x-203'!TABLE_CLIENT_1","x-203 1")</f>
        <v>x-203 1</v>
      </c>
      <c r="B10" s="168" t="s">
        <v>81</v>
      </c>
      <c r="C10" s="168">
        <v>2006</v>
      </c>
      <c r="D10" s="168" t="s">
        <v>292</v>
      </c>
      <c r="E10" s="168" t="s">
        <v>301</v>
      </c>
      <c r="F10" s="168" t="s">
        <v>294</v>
      </c>
      <c r="G10" s="168" t="s">
        <v>295</v>
      </c>
      <c r="H10" s="168">
        <v>1</v>
      </c>
      <c r="I10" s="76">
        <v>203</v>
      </c>
      <c r="J10" t="s">
        <v>575</v>
      </c>
      <c r="K10" s="169" t="s">
        <v>296</v>
      </c>
      <c r="L10" s="169"/>
      <c r="M10" s="170">
        <v>45070</v>
      </c>
      <c r="N10" s="170">
        <v>45014</v>
      </c>
      <c r="O10" s="168" t="s">
        <v>298</v>
      </c>
      <c r="P10" s="170" t="s">
        <v>297</v>
      </c>
    </row>
    <row r="11" spans="1:23" ht="26.4" x14ac:dyDescent="0.25">
      <c r="A11" s="167" t="str">
        <f ca="1">HYPERLINK(MID(CELL("filename",A1),FIND("[",CELL("filename",A1)),FIND("]",CELL("filename",A1)) - FIND("[",CELL("filename",A1)) + 1) &amp; "'x-204'!TABLE_CLIENT_1","x-204 1")</f>
        <v>x-204 1</v>
      </c>
      <c r="B11" s="168" t="s">
        <v>81</v>
      </c>
      <c r="C11" s="168">
        <v>2006</v>
      </c>
      <c r="D11" s="168" t="s">
        <v>292</v>
      </c>
      <c r="E11" s="168" t="s">
        <v>301</v>
      </c>
      <c r="F11" s="168" t="s">
        <v>299</v>
      </c>
      <c r="G11" s="168" t="s">
        <v>295</v>
      </c>
      <c r="H11" s="168">
        <v>1</v>
      </c>
      <c r="I11" s="76">
        <v>204</v>
      </c>
      <c r="J11" t="s">
        <v>576</v>
      </c>
      <c r="K11" s="169" t="s">
        <v>300</v>
      </c>
      <c r="L11" s="169"/>
      <c r="M11" s="170">
        <v>45070</v>
      </c>
      <c r="N11" s="170">
        <v>45014</v>
      </c>
      <c r="O11" s="168" t="s">
        <v>298</v>
      </c>
      <c r="P11" s="170" t="s">
        <v>297</v>
      </c>
    </row>
    <row r="12" spans="1:23" ht="26.4" x14ac:dyDescent="0.25">
      <c r="A12" s="167" t="str">
        <f ca="1">HYPERLINK(MID(CELL("filename",A1),FIND("[",CELL("filename",A1)),FIND("]",CELL("filename",A1)) - FIND("[",CELL("filename",A1)) + 1) &amp; "'x-205'!TABLE_CLIENT_1","x-205 1")</f>
        <v>x-205 1</v>
      </c>
      <c r="B12" s="168" t="s">
        <v>81</v>
      </c>
      <c r="C12" s="168">
        <v>2006</v>
      </c>
      <c r="D12" s="168" t="s">
        <v>292</v>
      </c>
      <c r="E12" s="168" t="s">
        <v>302</v>
      </c>
      <c r="F12" s="168" t="s">
        <v>299</v>
      </c>
      <c r="G12" s="168" t="s">
        <v>295</v>
      </c>
      <c r="H12" s="168">
        <v>1</v>
      </c>
      <c r="I12" s="76">
        <v>205</v>
      </c>
      <c r="J12" t="s">
        <v>577</v>
      </c>
      <c r="K12" s="169" t="s">
        <v>303</v>
      </c>
      <c r="L12" s="169"/>
      <c r="M12" s="170">
        <v>45070</v>
      </c>
      <c r="N12" s="170">
        <v>45014</v>
      </c>
      <c r="O12" s="168" t="s">
        <v>298</v>
      </c>
      <c r="P12" s="170" t="s">
        <v>297</v>
      </c>
    </row>
    <row r="13" spans="1:23" ht="26.4" x14ac:dyDescent="0.25">
      <c r="A13" s="167" t="str">
        <f ca="1">HYPERLINK(MID(CELL("filename",A1),FIND("[",CELL("filename",A1)),FIND("]",CELL("filename",A1)) - FIND("[",CELL("filename",A1)) + 1) &amp; "'x-206'!TABLE_CLIENT_1","x-206 1")</f>
        <v>x-206 1</v>
      </c>
      <c r="B13" s="168" t="s">
        <v>81</v>
      </c>
      <c r="C13" s="168">
        <v>2006</v>
      </c>
      <c r="D13" s="168" t="s">
        <v>292</v>
      </c>
      <c r="E13" s="168" t="s">
        <v>293</v>
      </c>
      <c r="F13" s="168" t="s">
        <v>294</v>
      </c>
      <c r="G13" s="168" t="s">
        <v>295</v>
      </c>
      <c r="H13" s="168">
        <v>1</v>
      </c>
      <c r="I13" s="76">
        <v>206</v>
      </c>
      <c r="J13" t="s">
        <v>579</v>
      </c>
      <c r="K13" s="169" t="s">
        <v>304</v>
      </c>
      <c r="L13" s="169"/>
      <c r="M13" s="170">
        <v>45070</v>
      </c>
      <c r="N13" s="170">
        <v>45014</v>
      </c>
      <c r="O13" s="168" t="s">
        <v>298</v>
      </c>
      <c r="P13" s="170" t="s">
        <v>297</v>
      </c>
    </row>
    <row r="14" spans="1:23" ht="26.4" x14ac:dyDescent="0.25">
      <c r="A14" s="167" t="str">
        <f ca="1">HYPERLINK(MID(CELL("filename",A1),FIND("[",CELL("filename",A1)),FIND("]",CELL("filename",A1)) - FIND("[",CELL("filename",A1)) + 1) &amp; "'x-207'!TABLE_CLIENT_1","x-207 1")</f>
        <v>x-207 1</v>
      </c>
      <c r="B14" s="168" t="s">
        <v>81</v>
      </c>
      <c r="C14" s="168">
        <v>2006</v>
      </c>
      <c r="D14" s="168" t="s">
        <v>292</v>
      </c>
      <c r="E14" s="168" t="s">
        <v>293</v>
      </c>
      <c r="F14" s="168" t="s">
        <v>299</v>
      </c>
      <c r="G14" s="168" t="s">
        <v>295</v>
      </c>
      <c r="H14" s="168">
        <v>1</v>
      </c>
      <c r="I14" s="76">
        <v>207</v>
      </c>
      <c r="J14" t="s">
        <v>580</v>
      </c>
      <c r="K14" s="169" t="s">
        <v>305</v>
      </c>
      <c r="L14" s="169"/>
      <c r="M14" s="170">
        <v>45070</v>
      </c>
      <c r="N14" s="170">
        <v>45014</v>
      </c>
      <c r="O14" s="168" t="s">
        <v>298</v>
      </c>
      <c r="P14" s="170" t="s">
        <v>297</v>
      </c>
    </row>
    <row r="15" spans="1:23" ht="26.4" x14ac:dyDescent="0.25">
      <c r="A15" s="167" t="str">
        <f ca="1">HYPERLINK(MID(CELL("filename",A1),FIND("[",CELL("filename",A1)),FIND("]",CELL("filename",A1)) - FIND("[",CELL("filename",A1)) + 1) &amp; "'x-208'!TABLE_CLIENT_1","x-208 1")</f>
        <v>x-208 1</v>
      </c>
      <c r="B15" s="168" t="s">
        <v>81</v>
      </c>
      <c r="C15" s="168">
        <v>2015</v>
      </c>
      <c r="D15" s="168" t="s">
        <v>292</v>
      </c>
      <c r="E15" s="168" t="s">
        <v>306</v>
      </c>
      <c r="F15" s="168" t="s">
        <v>294</v>
      </c>
      <c r="G15" s="168" t="s">
        <v>295</v>
      </c>
      <c r="H15" s="168">
        <v>0</v>
      </c>
      <c r="I15" s="76">
        <v>208</v>
      </c>
      <c r="J15" t="s">
        <v>581</v>
      </c>
      <c r="K15" s="169" t="s">
        <v>307</v>
      </c>
      <c r="L15" s="169"/>
      <c r="M15" s="170">
        <v>45070</v>
      </c>
      <c r="N15" s="170">
        <v>45014</v>
      </c>
      <c r="O15" s="168" t="s">
        <v>298</v>
      </c>
      <c r="P15" s="170" t="s">
        <v>297</v>
      </c>
    </row>
    <row r="16" spans="1:23" ht="26.4" x14ac:dyDescent="0.25">
      <c r="A16" s="167" t="str">
        <f ca="1">HYPERLINK(MID(CELL("filename",A1),FIND("[",CELL("filename",A1)),FIND("]",CELL("filename",A1)) - FIND("[",CELL("filename",A1)) + 1) &amp; "'x-209'!TABLE_CLIENT_1","x-209 1")</f>
        <v>x-209 1</v>
      </c>
      <c r="B16" s="168" t="s">
        <v>81</v>
      </c>
      <c r="C16" s="168">
        <v>2015</v>
      </c>
      <c r="D16" s="168" t="s">
        <v>292</v>
      </c>
      <c r="E16" s="168" t="s">
        <v>306</v>
      </c>
      <c r="F16" s="168" t="s">
        <v>299</v>
      </c>
      <c r="G16" s="168" t="s">
        <v>295</v>
      </c>
      <c r="H16" s="168">
        <v>0</v>
      </c>
      <c r="I16" s="76">
        <v>209</v>
      </c>
      <c r="J16" t="s">
        <v>582</v>
      </c>
      <c r="K16" s="169" t="s">
        <v>308</v>
      </c>
      <c r="L16" s="169"/>
      <c r="M16" s="170">
        <v>45070</v>
      </c>
      <c r="N16" s="170">
        <v>45014</v>
      </c>
      <c r="O16" s="168" t="s">
        <v>298</v>
      </c>
      <c r="P16" s="170" t="s">
        <v>297</v>
      </c>
    </row>
    <row r="17" spans="1:16" ht="26.4" x14ac:dyDescent="0.25">
      <c r="A17" s="167" t="str">
        <f ca="1">HYPERLINK(MID(CELL("filename",A1),FIND("[",CELL("filename",A1)),FIND("]",CELL("filename",A1)) - FIND("[",CELL("filename",A1)) + 1) &amp; "'x-210'!TABLE_CLIENT_1","x-210 1")</f>
        <v>x-210 1</v>
      </c>
      <c r="B17" s="168" t="s">
        <v>81</v>
      </c>
      <c r="C17" s="168">
        <v>2015</v>
      </c>
      <c r="D17" s="168" t="s">
        <v>292</v>
      </c>
      <c r="E17" s="168" t="s">
        <v>309</v>
      </c>
      <c r="F17" s="168" t="s">
        <v>294</v>
      </c>
      <c r="G17" s="168" t="s">
        <v>295</v>
      </c>
      <c r="H17" s="168">
        <v>0</v>
      </c>
      <c r="I17" s="76">
        <v>210</v>
      </c>
      <c r="J17" t="s">
        <v>583</v>
      </c>
      <c r="K17" s="169" t="s">
        <v>310</v>
      </c>
      <c r="L17" s="169"/>
      <c r="M17" s="170">
        <v>45070</v>
      </c>
      <c r="N17" s="170">
        <v>45014</v>
      </c>
      <c r="O17" s="168" t="s">
        <v>298</v>
      </c>
      <c r="P17" s="170" t="s">
        <v>297</v>
      </c>
    </row>
    <row r="18" spans="1:16" ht="26.4" x14ac:dyDescent="0.25">
      <c r="A18" s="167" t="str">
        <f ca="1">HYPERLINK(MID(CELL("filename",A1),FIND("[",CELL("filename",A1)),FIND("]",CELL("filename",A1)) - FIND("[",CELL("filename",A1)) + 1) &amp; "'x-211'!TABLE_CLIENT_1","x-211 1")</f>
        <v>x-211 1</v>
      </c>
      <c r="B18" s="168" t="s">
        <v>81</v>
      </c>
      <c r="C18" s="168">
        <v>2015</v>
      </c>
      <c r="D18" s="168" t="s">
        <v>292</v>
      </c>
      <c r="E18" s="168" t="s">
        <v>309</v>
      </c>
      <c r="F18" s="168" t="s">
        <v>299</v>
      </c>
      <c r="G18" s="168" t="s">
        <v>295</v>
      </c>
      <c r="H18" s="168">
        <v>0</v>
      </c>
      <c r="I18" s="76">
        <v>211</v>
      </c>
      <c r="J18" t="s">
        <v>584</v>
      </c>
      <c r="K18" s="169" t="s">
        <v>311</v>
      </c>
      <c r="L18" s="169"/>
      <c r="M18" s="170">
        <v>45070</v>
      </c>
      <c r="N18" s="170">
        <v>45014</v>
      </c>
      <c r="O18" s="168" t="s">
        <v>298</v>
      </c>
      <c r="P18" s="170" t="s">
        <v>297</v>
      </c>
    </row>
    <row r="19" spans="1:16" ht="26.4" x14ac:dyDescent="0.25">
      <c r="A19" s="167" t="str">
        <f ca="1">HYPERLINK(MID(CELL("filename",A1),FIND("[",CELL("filename",A1)),FIND("]",CELL("filename",A1)) - FIND("[",CELL("filename",A1)) + 1) &amp; "'x-212'!TABLE_CLIENT_1","x-212 1")</f>
        <v>x-212 1</v>
      </c>
      <c r="B19" s="168" t="s">
        <v>81</v>
      </c>
      <c r="C19" s="168">
        <v>2015</v>
      </c>
      <c r="D19" s="168" t="s">
        <v>292</v>
      </c>
      <c r="E19" s="168" t="s">
        <v>312</v>
      </c>
      <c r="F19" s="168" t="s">
        <v>294</v>
      </c>
      <c r="G19" s="168" t="s">
        <v>295</v>
      </c>
      <c r="H19" s="168">
        <v>0</v>
      </c>
      <c r="I19" s="76">
        <v>212</v>
      </c>
      <c r="J19" t="s">
        <v>585</v>
      </c>
      <c r="K19" s="169" t="s">
        <v>313</v>
      </c>
      <c r="L19" s="169"/>
      <c r="M19" s="170">
        <v>45070</v>
      </c>
      <c r="N19" s="170">
        <v>45014</v>
      </c>
      <c r="O19" s="168" t="s">
        <v>298</v>
      </c>
      <c r="P19" s="170" t="s">
        <v>297</v>
      </c>
    </row>
    <row r="20" spans="1:16" ht="26.4" x14ac:dyDescent="0.25">
      <c r="A20" s="167" t="str">
        <f ca="1">HYPERLINK(MID(CELL("filename",A1),FIND("[",CELL("filename",A1)),FIND("]",CELL("filename",A1)) - FIND("[",CELL("filename",A1)) + 1) &amp; "'x-213'!TABLE_CLIENT_1","x-213 1")</f>
        <v>x-213 1</v>
      </c>
      <c r="B20" s="168" t="s">
        <v>81</v>
      </c>
      <c r="C20" s="168">
        <v>2015</v>
      </c>
      <c r="D20" s="168" t="s">
        <v>292</v>
      </c>
      <c r="E20" s="168" t="s">
        <v>312</v>
      </c>
      <c r="F20" s="168" t="s">
        <v>299</v>
      </c>
      <c r="G20" s="168" t="s">
        <v>295</v>
      </c>
      <c r="H20" s="168">
        <v>0</v>
      </c>
      <c r="I20" s="76">
        <v>213</v>
      </c>
      <c r="J20" t="s">
        <v>586</v>
      </c>
      <c r="K20" s="169" t="s">
        <v>314</v>
      </c>
      <c r="L20" s="169"/>
      <c r="M20" s="170">
        <v>45070</v>
      </c>
      <c r="N20" s="170">
        <v>45014</v>
      </c>
      <c r="O20" s="168" t="s">
        <v>298</v>
      </c>
      <c r="P20" s="170" t="s">
        <v>297</v>
      </c>
    </row>
    <row r="21" spans="1:16" ht="26.4" x14ac:dyDescent="0.25">
      <c r="A21" s="167" t="str">
        <f ca="1">HYPERLINK(MID(CELL("filename",A1),FIND("[",CELL("filename",A1)),FIND("]",CELL("filename",A1)) - FIND("[",CELL("filename",A1)) + 1) &amp; "'x-214'!TABLE_CLIENT_1","x-214 1")</f>
        <v>x-214 1</v>
      </c>
      <c r="B21" s="168" t="s">
        <v>81</v>
      </c>
      <c r="C21" s="168">
        <v>2015</v>
      </c>
      <c r="D21" s="168" t="s">
        <v>292</v>
      </c>
      <c r="E21" s="168" t="s">
        <v>315</v>
      </c>
      <c r="F21" s="168" t="s">
        <v>294</v>
      </c>
      <c r="G21" s="168" t="s">
        <v>295</v>
      </c>
      <c r="H21" s="168">
        <v>0</v>
      </c>
      <c r="I21" s="76">
        <v>214</v>
      </c>
      <c r="J21" t="s">
        <v>587</v>
      </c>
      <c r="K21" s="169" t="s">
        <v>316</v>
      </c>
      <c r="L21" s="169"/>
      <c r="M21" s="170">
        <v>45070</v>
      </c>
      <c r="N21" s="170">
        <v>45014</v>
      </c>
      <c r="O21" s="168" t="s">
        <v>298</v>
      </c>
      <c r="P21" s="170" t="s">
        <v>297</v>
      </c>
    </row>
    <row r="22" spans="1:16" ht="26.4" x14ac:dyDescent="0.25">
      <c r="A22" s="167" t="str">
        <f ca="1">HYPERLINK(MID(CELL("filename",A1),FIND("[",CELL("filename",A1)),FIND("]",CELL("filename",A1)) - FIND("[",CELL("filename",A1)) + 1) &amp; "'x-215'!TABLE_CLIENT_1","x-215 1")</f>
        <v>x-215 1</v>
      </c>
      <c r="B22" s="168" t="s">
        <v>81</v>
      </c>
      <c r="C22" s="168">
        <v>2015</v>
      </c>
      <c r="D22" s="168" t="s">
        <v>292</v>
      </c>
      <c r="E22" s="168" t="s">
        <v>315</v>
      </c>
      <c r="F22" s="168" t="s">
        <v>299</v>
      </c>
      <c r="G22" s="168" t="s">
        <v>295</v>
      </c>
      <c r="H22" s="168">
        <v>0</v>
      </c>
      <c r="I22" s="76">
        <v>215</v>
      </c>
      <c r="J22" t="s">
        <v>588</v>
      </c>
      <c r="K22" s="169" t="s">
        <v>317</v>
      </c>
      <c r="L22" s="169"/>
      <c r="M22" s="170">
        <v>45070</v>
      </c>
      <c r="N22" s="170">
        <v>45014</v>
      </c>
      <c r="O22" s="168" t="s">
        <v>298</v>
      </c>
      <c r="P22" s="170" t="s">
        <v>297</v>
      </c>
    </row>
    <row r="23" spans="1:16" ht="26.4" x14ac:dyDescent="0.25">
      <c r="A23" s="167" t="str">
        <f ca="1">HYPERLINK(MID(CELL("filename",A1),FIND("[",CELL("filename",A1)),FIND("]",CELL("filename",A1)) - FIND("[",CELL("filename",A1)) + 1) &amp; "'x-220'!TABLE_CLIENT_1","x-220 1")</f>
        <v>x-220 1</v>
      </c>
      <c r="B23" s="168" t="s">
        <v>81</v>
      </c>
      <c r="C23" s="168">
        <v>2015</v>
      </c>
      <c r="D23" s="168" t="s">
        <v>318</v>
      </c>
      <c r="E23" s="168" t="s">
        <v>319</v>
      </c>
      <c r="F23" s="168" t="s">
        <v>294</v>
      </c>
      <c r="G23" s="168" t="s">
        <v>295</v>
      </c>
      <c r="H23" s="168">
        <v>0</v>
      </c>
      <c r="I23" s="76">
        <v>220</v>
      </c>
      <c r="J23" t="s">
        <v>320</v>
      </c>
      <c r="K23" s="169" t="s">
        <v>321</v>
      </c>
      <c r="L23" s="169"/>
      <c r="M23" s="170">
        <v>45106</v>
      </c>
      <c r="N23" s="170">
        <v>45014</v>
      </c>
      <c r="O23" s="168" t="s">
        <v>298</v>
      </c>
      <c r="P23" s="170" t="s">
        <v>297</v>
      </c>
    </row>
    <row r="24" spans="1:16" ht="26.4" x14ac:dyDescent="0.25">
      <c r="A24" s="167" t="str">
        <f ca="1">HYPERLINK(MID(CELL("filename",A1),FIND("[",CELL("filename",A1)),FIND("]",CELL("filename",A1)) - FIND("[",CELL("filename",A1)) + 1) &amp; "'x-221'!TABLE_CLIENT_1","x-221 1")</f>
        <v>x-221 1</v>
      </c>
      <c r="B24" s="168" t="s">
        <v>81</v>
      </c>
      <c r="C24" s="168">
        <v>2015</v>
      </c>
      <c r="D24" s="168" t="s">
        <v>318</v>
      </c>
      <c r="E24" s="168" t="s">
        <v>319</v>
      </c>
      <c r="F24" s="168" t="s">
        <v>299</v>
      </c>
      <c r="G24" s="168" t="s">
        <v>295</v>
      </c>
      <c r="H24" s="168">
        <v>0</v>
      </c>
      <c r="I24" s="76">
        <v>221</v>
      </c>
      <c r="J24" t="s">
        <v>322</v>
      </c>
      <c r="K24" s="169" t="s">
        <v>323</v>
      </c>
      <c r="L24" s="169"/>
      <c r="M24" s="170">
        <v>45106</v>
      </c>
      <c r="N24" s="170">
        <v>45014</v>
      </c>
      <c r="O24" s="168" t="s">
        <v>298</v>
      </c>
      <c r="P24" s="170" t="s">
        <v>297</v>
      </c>
    </row>
    <row r="25" spans="1:16" ht="26.4" x14ac:dyDescent="0.25">
      <c r="A25" s="167" t="str">
        <f ca="1">HYPERLINK(MID(CELL("filename",A1),FIND("[",CELL("filename",A1)),FIND("]",CELL("filename",A1)) - FIND("[",CELL("filename",A1)) + 1) &amp; "'x-301'!TABLE_CLIENT_1","x-301 1")</f>
        <v>x-301 1</v>
      </c>
      <c r="B25" s="168" t="s">
        <v>81</v>
      </c>
      <c r="C25" s="168">
        <v>1992</v>
      </c>
      <c r="D25" s="168" t="s">
        <v>324</v>
      </c>
      <c r="E25" s="168" t="s">
        <v>325</v>
      </c>
      <c r="F25" s="168" t="s">
        <v>294</v>
      </c>
      <c r="G25" s="168" t="s">
        <v>295</v>
      </c>
      <c r="H25" s="168">
        <v>2</v>
      </c>
      <c r="I25" s="76">
        <v>301</v>
      </c>
      <c r="J25" t="s">
        <v>590</v>
      </c>
      <c r="K25" s="169" t="s">
        <v>326</v>
      </c>
      <c r="L25" s="169"/>
      <c r="M25" s="170">
        <v>45070</v>
      </c>
      <c r="N25" s="170">
        <v>45014</v>
      </c>
      <c r="O25" s="168" t="s">
        <v>298</v>
      </c>
      <c r="P25" s="170" t="s">
        <v>297</v>
      </c>
    </row>
    <row r="26" spans="1:16" ht="26.4" x14ac:dyDescent="0.25">
      <c r="A26" s="167" t="str">
        <f ca="1">HYPERLINK(MID(CELL("filename",A1),FIND("[",CELL("filename",A1)),FIND("]",CELL("filename",A1)) - FIND("[",CELL("filename",A1)) + 1) &amp; "'x-302'!TABLE_CLIENT_1","x-302 1")</f>
        <v>x-302 1</v>
      </c>
      <c r="B26" s="168" t="s">
        <v>81</v>
      </c>
      <c r="C26" s="168">
        <v>1992</v>
      </c>
      <c r="D26" s="168" t="s">
        <v>324</v>
      </c>
      <c r="E26" s="168" t="s">
        <v>325</v>
      </c>
      <c r="F26" s="168" t="s">
        <v>299</v>
      </c>
      <c r="G26" s="168" t="s">
        <v>295</v>
      </c>
      <c r="H26" s="168">
        <v>2</v>
      </c>
      <c r="I26" s="76">
        <v>302</v>
      </c>
      <c r="J26" t="s">
        <v>594</v>
      </c>
      <c r="K26" s="169" t="s">
        <v>327</v>
      </c>
      <c r="L26" s="169"/>
      <c r="M26" s="170">
        <v>45070</v>
      </c>
      <c r="N26" s="170">
        <v>45014</v>
      </c>
      <c r="O26" s="168" t="s">
        <v>298</v>
      </c>
      <c r="P26" s="170" t="s">
        <v>297</v>
      </c>
    </row>
    <row r="27" spans="1:16" ht="26.4" x14ac:dyDescent="0.25">
      <c r="A27" s="167" t="str">
        <f ca="1">HYPERLINK(MID(CELL("filename",A1),FIND("[",CELL("filename",A1)),FIND("]",CELL("filename",A1)) - FIND("[",CELL("filename",A1)) + 1) &amp; "'x-303'!TABLE_CLIENT_1","x-303 1")</f>
        <v>x-303 1</v>
      </c>
      <c r="B27" s="168" t="s">
        <v>81</v>
      </c>
      <c r="C27" s="168">
        <v>1992</v>
      </c>
      <c r="D27" s="168" t="s">
        <v>324</v>
      </c>
      <c r="E27" s="168" t="s">
        <v>328</v>
      </c>
      <c r="F27" s="168" t="s">
        <v>294</v>
      </c>
      <c r="G27" s="168" t="s">
        <v>295</v>
      </c>
      <c r="H27" s="168">
        <v>2</v>
      </c>
      <c r="I27" s="76">
        <v>303</v>
      </c>
      <c r="J27" t="s">
        <v>595</v>
      </c>
      <c r="K27" s="169" t="s">
        <v>329</v>
      </c>
      <c r="L27" s="169"/>
      <c r="M27" s="170">
        <v>45070</v>
      </c>
      <c r="N27" s="170">
        <v>45014</v>
      </c>
      <c r="O27" s="168" t="s">
        <v>298</v>
      </c>
      <c r="P27" s="170" t="s">
        <v>297</v>
      </c>
    </row>
    <row r="28" spans="1:16" ht="26.4" x14ac:dyDescent="0.25">
      <c r="A28" s="167" t="str">
        <f ca="1">HYPERLINK(MID(CELL("filename",A1),FIND("[",CELL("filename",A1)),FIND("]",CELL("filename",A1)) - FIND("[",CELL("filename",A1)) + 1) &amp; "'x-304'!TABLE_CLIENT_1","x-304 1")</f>
        <v>x-304 1</v>
      </c>
      <c r="B28" s="168" t="s">
        <v>81</v>
      </c>
      <c r="C28" s="168">
        <v>1992</v>
      </c>
      <c r="D28" s="168" t="s">
        <v>324</v>
      </c>
      <c r="E28" s="168" t="s">
        <v>328</v>
      </c>
      <c r="F28" s="168" t="s">
        <v>299</v>
      </c>
      <c r="G28" s="168" t="s">
        <v>295</v>
      </c>
      <c r="H28" s="168">
        <v>2</v>
      </c>
      <c r="I28" s="76">
        <v>304</v>
      </c>
      <c r="J28" t="s">
        <v>596</v>
      </c>
      <c r="K28" s="169" t="s">
        <v>330</v>
      </c>
      <c r="L28" s="169"/>
      <c r="M28" s="170">
        <v>45070</v>
      </c>
      <c r="N28" s="170">
        <v>45014</v>
      </c>
      <c r="O28" s="168" t="s">
        <v>298</v>
      </c>
      <c r="P28" s="170" t="s">
        <v>297</v>
      </c>
    </row>
    <row r="29" spans="1:16" ht="26.4" x14ac:dyDescent="0.25">
      <c r="A29" s="167" t="str">
        <f ca="1">HYPERLINK(MID(CELL("filename",A1),FIND("[",CELL("filename",A1)),FIND("]",CELL("filename",A1)) - FIND("[",CELL("filename",A1)) + 1) &amp; "'x-305'!TABLE_CLIENT_1","x-305 1")</f>
        <v>x-305 1</v>
      </c>
      <c r="B29" s="168" t="s">
        <v>81</v>
      </c>
      <c r="C29" s="168">
        <v>2006</v>
      </c>
      <c r="D29" s="168" t="s">
        <v>324</v>
      </c>
      <c r="E29" s="168" t="s">
        <v>325</v>
      </c>
      <c r="F29" s="168" t="s">
        <v>294</v>
      </c>
      <c r="G29" s="168" t="s">
        <v>295</v>
      </c>
      <c r="H29" s="168">
        <v>1</v>
      </c>
      <c r="I29" s="76">
        <v>305</v>
      </c>
      <c r="J29" t="s">
        <v>597</v>
      </c>
      <c r="K29" s="169" t="s">
        <v>326</v>
      </c>
      <c r="L29" s="169"/>
      <c r="M29" s="170">
        <v>45070</v>
      </c>
      <c r="N29" s="170">
        <v>45014</v>
      </c>
      <c r="O29" s="168" t="s">
        <v>298</v>
      </c>
      <c r="P29" s="170" t="s">
        <v>297</v>
      </c>
    </row>
    <row r="30" spans="1:16" ht="26.4" x14ac:dyDescent="0.25">
      <c r="A30" s="167" t="str">
        <f ca="1">HYPERLINK(MID(CELL("filename",A1),FIND("[",CELL("filename",A1)),FIND("]",CELL("filename",A1)) - FIND("[",CELL("filename",A1)) + 1) &amp; "'x-306'!TABLE_CLIENT_1","x-306 1")</f>
        <v>x-306 1</v>
      </c>
      <c r="B30" s="168" t="s">
        <v>81</v>
      </c>
      <c r="C30" s="168">
        <v>2006</v>
      </c>
      <c r="D30" s="168" t="s">
        <v>324</v>
      </c>
      <c r="E30" s="168" t="s">
        <v>325</v>
      </c>
      <c r="F30" s="168" t="s">
        <v>299</v>
      </c>
      <c r="G30" s="168" t="s">
        <v>295</v>
      </c>
      <c r="H30" s="168">
        <v>1</v>
      </c>
      <c r="I30" s="76">
        <v>306</v>
      </c>
      <c r="J30" t="s">
        <v>598</v>
      </c>
      <c r="K30" s="169" t="s">
        <v>327</v>
      </c>
      <c r="L30" s="169"/>
      <c r="M30" s="170">
        <v>45070</v>
      </c>
      <c r="N30" s="170">
        <v>45014</v>
      </c>
      <c r="O30" s="168" t="s">
        <v>298</v>
      </c>
      <c r="P30" s="170" t="s">
        <v>297</v>
      </c>
    </row>
    <row r="31" spans="1:16" ht="26.4" x14ac:dyDescent="0.25">
      <c r="A31" s="167" t="str">
        <f ca="1">HYPERLINK(MID(CELL("filename",A1),FIND("[",CELL("filename",A1)),FIND("]",CELL("filename",A1)) - FIND("[",CELL("filename",A1)) + 1) &amp; "'x-307'!TABLE_CLIENT_1","x-307 1")</f>
        <v>x-307 1</v>
      </c>
      <c r="B31" s="168" t="s">
        <v>81</v>
      </c>
      <c r="C31" s="168">
        <v>2006</v>
      </c>
      <c r="D31" s="168" t="s">
        <v>324</v>
      </c>
      <c r="E31" s="168" t="s">
        <v>328</v>
      </c>
      <c r="F31" s="168" t="s">
        <v>294</v>
      </c>
      <c r="G31" s="168" t="s">
        <v>295</v>
      </c>
      <c r="H31" s="168">
        <v>1</v>
      </c>
      <c r="I31" s="76">
        <v>307</v>
      </c>
      <c r="J31" t="s">
        <v>599</v>
      </c>
      <c r="K31" s="169" t="s">
        <v>329</v>
      </c>
      <c r="L31" s="169"/>
      <c r="M31" s="170">
        <v>45070</v>
      </c>
      <c r="N31" s="170">
        <v>45014</v>
      </c>
      <c r="O31" s="168" t="s">
        <v>298</v>
      </c>
      <c r="P31" s="170" t="s">
        <v>297</v>
      </c>
    </row>
    <row r="32" spans="1:16" ht="26.4" x14ac:dyDescent="0.25">
      <c r="A32" s="167" t="str">
        <f ca="1">HYPERLINK(MID(CELL("filename",A1),FIND("[",CELL("filename",A1)),FIND("]",CELL("filename",A1)) - FIND("[",CELL("filename",A1)) + 1) &amp; "'x-308'!TABLE_CLIENT_1","x-308 1")</f>
        <v>x-308 1</v>
      </c>
      <c r="B32" s="168" t="s">
        <v>81</v>
      </c>
      <c r="C32" s="168">
        <v>2006</v>
      </c>
      <c r="D32" s="168" t="s">
        <v>324</v>
      </c>
      <c r="E32" s="168" t="s">
        <v>328</v>
      </c>
      <c r="F32" s="168" t="s">
        <v>299</v>
      </c>
      <c r="G32" s="168" t="s">
        <v>295</v>
      </c>
      <c r="H32" s="168">
        <v>1</v>
      </c>
      <c r="I32" s="76">
        <v>308</v>
      </c>
      <c r="J32" t="s">
        <v>600</v>
      </c>
      <c r="K32" s="169" t="s">
        <v>330</v>
      </c>
      <c r="L32" s="169"/>
      <c r="M32" s="170">
        <v>45070</v>
      </c>
      <c r="N32" s="170">
        <v>45014</v>
      </c>
      <c r="O32" s="168" t="s">
        <v>298</v>
      </c>
      <c r="P32" s="170" t="s">
        <v>297</v>
      </c>
    </row>
    <row r="33" spans="1:16" ht="26.4" x14ac:dyDescent="0.25">
      <c r="A33" s="167" t="str">
        <f ca="1">HYPERLINK(MID(CELL("filename",A1),FIND("[",CELL("filename",A1)),FIND("]",CELL("filename",A1)) - FIND("[",CELL("filename",A1)) + 1) &amp; "'x-309'!TABLE_CLIENT_1","x-309 1")</f>
        <v>x-309 1</v>
      </c>
      <c r="B33" s="168" t="s">
        <v>81</v>
      </c>
      <c r="C33" s="168">
        <v>2015</v>
      </c>
      <c r="D33" s="168" t="s">
        <v>324</v>
      </c>
      <c r="E33" s="168" t="s">
        <v>325</v>
      </c>
      <c r="F33" s="168" t="s">
        <v>294</v>
      </c>
      <c r="G33" s="168" t="s">
        <v>295</v>
      </c>
      <c r="H33" s="168">
        <v>0</v>
      </c>
      <c r="I33" s="76">
        <v>309</v>
      </c>
      <c r="J33" t="s">
        <v>601</v>
      </c>
      <c r="K33" s="169" t="s">
        <v>296</v>
      </c>
      <c r="L33" s="169"/>
      <c r="M33" s="170">
        <v>45070</v>
      </c>
      <c r="N33" s="170">
        <v>45014</v>
      </c>
      <c r="O33" s="168" t="s">
        <v>298</v>
      </c>
      <c r="P33" s="170" t="s">
        <v>297</v>
      </c>
    </row>
    <row r="34" spans="1:16" ht="26.4" x14ac:dyDescent="0.25">
      <c r="A34" s="167" t="str">
        <f ca="1">HYPERLINK(MID(CELL("filename",A1),FIND("[",CELL("filename",A1)),FIND("]",CELL("filename",A1)) - FIND("[",CELL("filename",A1)) + 1) &amp; "'x-310'!TABLE_CLIENT_1","x-310 1")</f>
        <v>x-310 1</v>
      </c>
      <c r="B34" s="168" t="s">
        <v>81</v>
      </c>
      <c r="C34" s="168">
        <v>2015</v>
      </c>
      <c r="D34" s="168" t="s">
        <v>324</v>
      </c>
      <c r="E34" s="168" t="s">
        <v>325</v>
      </c>
      <c r="F34" s="168" t="s">
        <v>299</v>
      </c>
      <c r="G34" s="168" t="s">
        <v>295</v>
      </c>
      <c r="H34" s="168">
        <v>0</v>
      </c>
      <c r="I34" s="76">
        <v>310</v>
      </c>
      <c r="J34" t="s">
        <v>602</v>
      </c>
      <c r="K34" s="169" t="s">
        <v>300</v>
      </c>
      <c r="L34" s="169"/>
      <c r="M34" s="170">
        <v>45070</v>
      </c>
      <c r="N34" s="170">
        <v>45014</v>
      </c>
      <c r="O34" s="168" t="s">
        <v>298</v>
      </c>
      <c r="P34" s="170" t="s">
        <v>297</v>
      </c>
    </row>
    <row r="35" spans="1:16" ht="26.4" x14ac:dyDescent="0.25">
      <c r="A35" s="167" t="str">
        <f ca="1">HYPERLINK(MID(CELL("filename",A1),FIND("[",CELL("filename",A1)),FIND("]",CELL("filename",A1)) - FIND("[",CELL("filename",A1)) + 1) &amp; "'x-311'!TABLE_CLIENT_1","x-311 1")</f>
        <v>x-311 1</v>
      </c>
      <c r="B35" s="168" t="s">
        <v>81</v>
      </c>
      <c r="C35" s="168">
        <v>2015</v>
      </c>
      <c r="D35" s="168" t="s">
        <v>324</v>
      </c>
      <c r="E35" s="168" t="s">
        <v>331</v>
      </c>
      <c r="F35" s="168" t="s">
        <v>294</v>
      </c>
      <c r="G35" s="168" t="s">
        <v>295</v>
      </c>
      <c r="H35" s="168">
        <v>0</v>
      </c>
      <c r="I35" s="76">
        <v>311</v>
      </c>
      <c r="J35" t="s">
        <v>603</v>
      </c>
      <c r="K35" s="169" t="s">
        <v>304</v>
      </c>
      <c r="L35" s="169"/>
      <c r="M35" s="170">
        <v>45070</v>
      </c>
      <c r="N35" s="170">
        <v>45014</v>
      </c>
      <c r="O35" s="168" t="s">
        <v>298</v>
      </c>
      <c r="P35" s="170" t="s">
        <v>297</v>
      </c>
    </row>
    <row r="36" spans="1:16" ht="26.4" x14ac:dyDescent="0.25">
      <c r="A36" s="167" t="str">
        <f ca="1">HYPERLINK(MID(CELL("filename",A1),FIND("[",CELL("filename",A1)),FIND("]",CELL("filename",A1)) - FIND("[",CELL("filename",A1)) + 1) &amp; "'x-312'!TABLE_CLIENT_1","x-312 1")</f>
        <v>x-312 1</v>
      </c>
      <c r="B36" s="168" t="s">
        <v>81</v>
      </c>
      <c r="C36" s="168">
        <v>2015</v>
      </c>
      <c r="D36" s="168" t="s">
        <v>324</v>
      </c>
      <c r="E36" s="168" t="s">
        <v>331</v>
      </c>
      <c r="F36" s="168" t="s">
        <v>299</v>
      </c>
      <c r="G36" s="168" t="s">
        <v>295</v>
      </c>
      <c r="H36" s="168">
        <v>0</v>
      </c>
      <c r="I36" s="76">
        <v>312</v>
      </c>
      <c r="J36" t="s">
        <v>604</v>
      </c>
      <c r="K36" s="169" t="s">
        <v>305</v>
      </c>
      <c r="L36" s="169"/>
      <c r="M36" s="170">
        <v>45070</v>
      </c>
      <c r="N36" s="170">
        <v>45014</v>
      </c>
      <c r="O36" s="168" t="s">
        <v>298</v>
      </c>
      <c r="P36" s="170" t="s">
        <v>297</v>
      </c>
    </row>
    <row r="37" spans="1:16" ht="26.4" x14ac:dyDescent="0.25">
      <c r="A37" s="167" t="str">
        <f ca="1">HYPERLINK(MID(CELL("filename",A1),FIND("[",CELL("filename",A1)),FIND("]",CELL("filename",A1)) - FIND("[",CELL("filename",A1)) + 1) &amp; "'x-313'!TABLE_CLIENT_1","x-313 1")</f>
        <v>x-313 1</v>
      </c>
      <c r="B37" s="168" t="s">
        <v>81</v>
      </c>
      <c r="C37" s="168">
        <v>1992</v>
      </c>
      <c r="D37" s="168" t="s">
        <v>332</v>
      </c>
      <c r="E37" s="168" t="s">
        <v>333</v>
      </c>
      <c r="F37" s="168" t="s">
        <v>334</v>
      </c>
      <c r="G37" s="168" t="s">
        <v>295</v>
      </c>
      <c r="H37" s="168">
        <v>2</v>
      </c>
      <c r="I37" s="76">
        <v>313</v>
      </c>
      <c r="J37" t="s">
        <v>335</v>
      </c>
      <c r="K37" s="169" t="s">
        <v>336</v>
      </c>
      <c r="L37" s="169"/>
      <c r="M37" s="170">
        <v>45070</v>
      </c>
      <c r="N37" s="170">
        <v>45014</v>
      </c>
      <c r="O37" s="168" t="s">
        <v>298</v>
      </c>
      <c r="P37" s="170" t="s">
        <v>297</v>
      </c>
    </row>
    <row r="38" spans="1:16" ht="26.4" x14ac:dyDescent="0.25">
      <c r="A38" s="167" t="str">
        <f ca="1">HYPERLINK(MID(CELL("filename",A1),FIND("[",CELL("filename",A1)),FIND("]",CELL("filename",A1)) - FIND("[",CELL("filename",A1)) + 1) &amp; "'x-314'!TABLE_CLIENT_1","x-314 1")</f>
        <v>x-314 1</v>
      </c>
      <c r="B38" s="168" t="s">
        <v>81</v>
      </c>
      <c r="C38" s="168">
        <v>2006</v>
      </c>
      <c r="D38" s="168" t="s">
        <v>332</v>
      </c>
      <c r="E38" s="168" t="s">
        <v>333</v>
      </c>
      <c r="F38" s="168" t="s">
        <v>334</v>
      </c>
      <c r="G38" s="168" t="s">
        <v>295</v>
      </c>
      <c r="H38" s="168">
        <v>1</v>
      </c>
      <c r="I38" s="76">
        <v>314</v>
      </c>
      <c r="J38" t="s">
        <v>337</v>
      </c>
      <c r="K38" s="169" t="s">
        <v>336</v>
      </c>
      <c r="L38" s="169"/>
      <c r="M38" s="170">
        <v>45070</v>
      </c>
      <c r="N38" s="170">
        <v>45014</v>
      </c>
      <c r="O38" s="168" t="s">
        <v>298</v>
      </c>
      <c r="P38" s="170" t="s">
        <v>297</v>
      </c>
    </row>
    <row r="39" spans="1:16" ht="26.4" x14ac:dyDescent="0.25">
      <c r="A39" s="167" t="str">
        <f ca="1">HYPERLINK(MID(CELL("filename",A1),FIND("[",CELL("filename",A1)),FIND("]",CELL("filename",A1)) - FIND("[",CELL("filename",A1)) + 1) &amp; "'x-315'!TABLE_CLIENT_1","x-315 1")</f>
        <v>x-315 1</v>
      </c>
      <c r="B39" s="168" t="s">
        <v>81</v>
      </c>
      <c r="C39" s="168">
        <v>2006</v>
      </c>
      <c r="D39" s="168" t="s">
        <v>332</v>
      </c>
      <c r="E39" s="168" t="s">
        <v>338</v>
      </c>
      <c r="F39" s="168" t="s">
        <v>334</v>
      </c>
      <c r="G39" s="168" t="s">
        <v>295</v>
      </c>
      <c r="H39" s="168">
        <v>1</v>
      </c>
      <c r="I39" s="76">
        <v>315</v>
      </c>
      <c r="J39" t="s">
        <v>339</v>
      </c>
      <c r="K39" s="169" t="s">
        <v>340</v>
      </c>
      <c r="L39" s="169"/>
      <c r="M39" s="170">
        <v>45070</v>
      </c>
      <c r="N39" s="170">
        <v>45014</v>
      </c>
      <c r="O39" s="168" t="s">
        <v>298</v>
      </c>
      <c r="P39" s="170" t="s">
        <v>297</v>
      </c>
    </row>
    <row r="40" spans="1:16" ht="26.4" x14ac:dyDescent="0.25">
      <c r="A40" s="167" t="str">
        <f ca="1">HYPERLINK(MID(CELL("filename",A1),FIND("[",CELL("filename",A1)),FIND("]",CELL("filename",A1)) - FIND("[",CELL("filename",A1)) + 1) &amp; "'x-316'!TABLE_CLIENT_1","x-316 1")</f>
        <v>x-316 1</v>
      </c>
      <c r="B40" s="168" t="s">
        <v>81</v>
      </c>
      <c r="C40" s="168">
        <v>2015</v>
      </c>
      <c r="D40" s="168" t="s">
        <v>332</v>
      </c>
      <c r="E40" s="168" t="s">
        <v>341</v>
      </c>
      <c r="F40" s="168" t="s">
        <v>299</v>
      </c>
      <c r="G40" s="168" t="s">
        <v>295</v>
      </c>
      <c r="H40" s="168">
        <v>0</v>
      </c>
      <c r="I40" s="76">
        <v>316</v>
      </c>
      <c r="J40" t="s">
        <v>342</v>
      </c>
      <c r="K40" s="169" t="s">
        <v>343</v>
      </c>
      <c r="L40" s="169"/>
      <c r="M40" s="170">
        <v>45070</v>
      </c>
      <c r="N40" s="170">
        <v>45014</v>
      </c>
      <c r="O40" s="168" t="s">
        <v>298</v>
      </c>
      <c r="P40" s="170" t="s">
        <v>297</v>
      </c>
    </row>
    <row r="41" spans="1:16" ht="26.4" x14ac:dyDescent="0.25">
      <c r="A41" s="167" t="str">
        <f ca="1">HYPERLINK(MID(CELL("filename",A1),FIND("[",CELL("filename",A1)),FIND("]",CELL("filename",A1)) - FIND("[",CELL("filename",A1)) + 1) &amp; "'x-321'!TABLE_CLIENT_1","x-321 1")</f>
        <v>x-321 1</v>
      </c>
      <c r="B41" s="168" t="s">
        <v>81</v>
      </c>
      <c r="C41" s="168">
        <v>1992</v>
      </c>
      <c r="D41" s="168" t="s">
        <v>347</v>
      </c>
      <c r="E41" s="168" t="s">
        <v>348</v>
      </c>
      <c r="F41" s="168" t="s">
        <v>349</v>
      </c>
      <c r="G41" s="168" t="s">
        <v>350</v>
      </c>
      <c r="H41" s="168">
        <v>2</v>
      </c>
      <c r="I41" s="76">
        <v>321</v>
      </c>
      <c r="J41" t="s">
        <v>351</v>
      </c>
      <c r="K41" s="169" t="s">
        <v>352</v>
      </c>
      <c r="L41" s="169"/>
      <c r="M41" s="170">
        <v>45070</v>
      </c>
      <c r="N41" s="170">
        <v>45014</v>
      </c>
      <c r="O41" s="168" t="s">
        <v>298</v>
      </c>
      <c r="P41" s="170" t="s">
        <v>297</v>
      </c>
    </row>
    <row r="42" spans="1:16" ht="26.4" x14ac:dyDescent="0.25">
      <c r="A42" s="167" t="str">
        <f ca="1">HYPERLINK(MID(CELL("filename",A1),FIND("[",CELL("filename",A1)),FIND("]",CELL("filename",A1)) - FIND("[",CELL("filename",A1)) + 1) &amp; "'x-317'!TABLE_CLIENT_1","x-317 1")</f>
        <v>x-317 1</v>
      </c>
      <c r="B42" s="168" t="s">
        <v>81</v>
      </c>
      <c r="C42" s="168">
        <v>2015</v>
      </c>
      <c r="D42" s="168" t="s">
        <v>332</v>
      </c>
      <c r="E42" s="168" t="s">
        <v>344</v>
      </c>
      <c r="F42" s="168" t="s">
        <v>294</v>
      </c>
      <c r="G42" s="168" t="s">
        <v>295</v>
      </c>
      <c r="H42" s="168">
        <v>0</v>
      </c>
      <c r="I42" s="76">
        <v>317</v>
      </c>
      <c r="J42" t="s">
        <v>345</v>
      </c>
      <c r="K42" s="169" t="s">
        <v>346</v>
      </c>
      <c r="L42" s="169"/>
      <c r="M42" s="170">
        <v>45070</v>
      </c>
      <c r="N42" s="170">
        <v>45014</v>
      </c>
      <c r="O42" s="168" t="s">
        <v>298</v>
      </c>
      <c r="P42" s="170" t="s">
        <v>297</v>
      </c>
    </row>
    <row r="43" spans="1:16" ht="26.4" x14ac:dyDescent="0.25">
      <c r="A43" s="167" t="str">
        <f ca="1">HYPERLINK(MID(CELL("filename",A1),FIND("[",CELL("filename",A1)),FIND("]",CELL("filename",A1)) - FIND("[",CELL("filename",A1)) + 1) &amp; "'x-322'!TABLE_CLIENT_1","x-322 1")</f>
        <v>x-322 1</v>
      </c>
      <c r="B43" s="168" t="s">
        <v>81</v>
      </c>
      <c r="C43" s="168">
        <v>1992</v>
      </c>
      <c r="D43" s="168" t="s">
        <v>347</v>
      </c>
      <c r="E43" s="168" t="s">
        <v>353</v>
      </c>
      <c r="F43" s="168" t="s">
        <v>349</v>
      </c>
      <c r="G43" s="168" t="s">
        <v>350</v>
      </c>
      <c r="H43" s="168">
        <v>2</v>
      </c>
      <c r="I43" s="76">
        <v>322</v>
      </c>
      <c r="J43" t="s">
        <v>354</v>
      </c>
      <c r="K43" s="169" t="s">
        <v>355</v>
      </c>
      <c r="L43" s="169"/>
      <c r="M43" s="170">
        <v>45070</v>
      </c>
      <c r="N43" s="170">
        <v>45014</v>
      </c>
      <c r="O43" s="168" t="s">
        <v>298</v>
      </c>
      <c r="P43" s="170" t="s">
        <v>297</v>
      </c>
    </row>
    <row r="44" spans="1:16" ht="26.4" x14ac:dyDescent="0.25">
      <c r="A44" s="167" t="str">
        <f ca="1">HYPERLINK(MID(CELL("filename",A1),FIND("[",CELL("filename",A1)),FIND("]",CELL("filename",A1)) - FIND("[",CELL("filename",A1)) + 1) &amp; "'x-323'!TABLE_CLIENT_1","x-323 1")</f>
        <v>x-323 1</v>
      </c>
      <c r="B44" s="168" t="s">
        <v>81</v>
      </c>
      <c r="C44" s="168">
        <v>1992</v>
      </c>
      <c r="D44" s="168" t="s">
        <v>347</v>
      </c>
      <c r="E44" s="168" t="s">
        <v>356</v>
      </c>
      <c r="F44" s="168" t="s">
        <v>349</v>
      </c>
      <c r="G44" s="168" t="s">
        <v>350</v>
      </c>
      <c r="H44" s="168">
        <v>2</v>
      </c>
      <c r="I44" s="76">
        <v>323</v>
      </c>
      <c r="J44" t="s">
        <v>357</v>
      </c>
      <c r="K44" s="169" t="s">
        <v>358</v>
      </c>
      <c r="L44" s="169"/>
      <c r="M44" s="170">
        <v>45070</v>
      </c>
      <c r="N44" s="170">
        <v>45014</v>
      </c>
      <c r="O44" s="168" t="s">
        <v>298</v>
      </c>
      <c r="P44" s="170" t="s">
        <v>297</v>
      </c>
    </row>
    <row r="45" spans="1:16" ht="26.4" x14ac:dyDescent="0.25">
      <c r="A45" s="167" t="str">
        <f ca="1">HYPERLINK(MID(CELL("filename",A1),FIND("[",CELL("filename",A1)),FIND("]",CELL("filename",A1)) - FIND("[",CELL("filename",A1)) + 1) &amp; "'x-324'!TABLE_CLIENT_1","x-324 1")</f>
        <v>x-324 1</v>
      </c>
      <c r="B45" s="168" t="s">
        <v>81</v>
      </c>
      <c r="C45" s="168">
        <v>2006</v>
      </c>
      <c r="D45" s="168" t="s">
        <v>347</v>
      </c>
      <c r="E45" s="168" t="s">
        <v>359</v>
      </c>
      <c r="F45" s="168" t="s">
        <v>349</v>
      </c>
      <c r="G45" s="168" t="s">
        <v>360</v>
      </c>
      <c r="H45" s="168">
        <v>1</v>
      </c>
      <c r="I45" s="76">
        <v>324</v>
      </c>
      <c r="J45" t="s">
        <v>361</v>
      </c>
      <c r="K45" s="169" t="s">
        <v>352</v>
      </c>
      <c r="L45" s="169"/>
      <c r="M45" s="170">
        <v>45070</v>
      </c>
      <c r="N45" s="170">
        <v>45014</v>
      </c>
      <c r="O45" s="168" t="s">
        <v>298</v>
      </c>
      <c r="P45" s="170" t="s">
        <v>297</v>
      </c>
    </row>
    <row r="46" spans="1:16" ht="26.4" x14ac:dyDescent="0.25">
      <c r="A46" s="167" t="str">
        <f ca="1">HYPERLINK(MID(CELL("filename",A1),FIND("[",CELL("filename",A1)),FIND("]",CELL("filename",A1)) - FIND("[",CELL("filename",A1)) + 1) &amp; "'x-325'!TABLE_CLIENT_1","x-325 1")</f>
        <v>x-325 1</v>
      </c>
      <c r="B46" s="168" t="s">
        <v>81</v>
      </c>
      <c r="C46" s="168">
        <v>2006</v>
      </c>
      <c r="D46" s="168" t="s">
        <v>347</v>
      </c>
      <c r="E46" s="168" t="s">
        <v>362</v>
      </c>
      <c r="F46" s="168" t="s">
        <v>349</v>
      </c>
      <c r="G46" s="168" t="s">
        <v>360</v>
      </c>
      <c r="H46" s="168">
        <v>1</v>
      </c>
      <c r="I46" s="76">
        <v>325</v>
      </c>
      <c r="J46" t="s">
        <v>363</v>
      </c>
      <c r="K46" s="169" t="s">
        <v>364</v>
      </c>
      <c r="L46" s="169"/>
      <c r="M46" s="170">
        <v>45070</v>
      </c>
      <c r="N46" s="170">
        <v>45014</v>
      </c>
      <c r="O46" s="168" t="s">
        <v>298</v>
      </c>
      <c r="P46" s="170" t="s">
        <v>297</v>
      </c>
    </row>
    <row r="47" spans="1:16" ht="26.4" x14ac:dyDescent="0.25">
      <c r="A47" s="167" t="str">
        <f ca="1">HYPERLINK(MID(CELL("filename",A1),FIND("[",CELL("filename",A1)),FIND("]",CELL("filename",A1)) - FIND("[",CELL("filename",A1)) + 1) &amp; "'x-326'!TABLE_CLIENT_1","x-326 1")</f>
        <v>x-326 1</v>
      </c>
      <c r="B47" s="168" t="s">
        <v>81</v>
      </c>
      <c r="C47" s="168">
        <v>2006</v>
      </c>
      <c r="D47" s="168" t="s">
        <v>347</v>
      </c>
      <c r="E47" s="168" t="s">
        <v>365</v>
      </c>
      <c r="F47" s="168" t="s">
        <v>349</v>
      </c>
      <c r="G47" s="168" t="s">
        <v>360</v>
      </c>
      <c r="H47" s="168">
        <v>1</v>
      </c>
      <c r="I47" s="76">
        <v>326</v>
      </c>
      <c r="J47" t="s">
        <v>366</v>
      </c>
      <c r="K47" s="169" t="s">
        <v>355</v>
      </c>
      <c r="L47" s="169"/>
      <c r="M47" s="170">
        <v>45070</v>
      </c>
      <c r="N47" s="170">
        <v>45014</v>
      </c>
      <c r="O47" s="168" t="s">
        <v>298</v>
      </c>
      <c r="P47" s="170" t="s">
        <v>297</v>
      </c>
    </row>
    <row r="48" spans="1:16" ht="26.4" x14ac:dyDescent="0.25">
      <c r="A48" s="167" t="str">
        <f ca="1">HYPERLINK(MID(CELL("filename",A1),FIND("[",CELL("filename",A1)),FIND("]",CELL("filename",A1)) - FIND("[",CELL("filename",A1)) + 1) &amp; "'x-327'!TABLE_CLIENT_1","x-327 1")</f>
        <v>x-327 1</v>
      </c>
      <c r="B48" s="168" t="s">
        <v>81</v>
      </c>
      <c r="C48" s="168">
        <v>2006</v>
      </c>
      <c r="D48" s="168" t="s">
        <v>347</v>
      </c>
      <c r="E48" s="168" t="s">
        <v>367</v>
      </c>
      <c r="F48" s="168" t="s">
        <v>349</v>
      </c>
      <c r="G48" s="168" t="s">
        <v>360</v>
      </c>
      <c r="H48" s="168">
        <v>1</v>
      </c>
      <c r="I48" s="76">
        <v>327</v>
      </c>
      <c r="J48" t="s">
        <v>368</v>
      </c>
      <c r="K48" s="169" t="s">
        <v>369</v>
      </c>
      <c r="L48" s="169"/>
      <c r="M48" s="170">
        <v>45070</v>
      </c>
      <c r="N48" s="170">
        <v>45014</v>
      </c>
      <c r="O48" s="168" t="s">
        <v>298</v>
      </c>
      <c r="P48" s="170" t="s">
        <v>297</v>
      </c>
    </row>
    <row r="49" spans="1:16" ht="26.4" x14ac:dyDescent="0.25">
      <c r="A49" s="167" t="str">
        <f ca="1">HYPERLINK(MID(CELL("filename",A1),FIND("[",CELL("filename",A1)),FIND("]",CELL("filename",A1)) - FIND("[",CELL("filename",A1)) + 1) &amp; "'x-328'!TABLE_CLIENT_1","x-328 1")</f>
        <v>x-328 1</v>
      </c>
      <c r="B49" s="168" t="s">
        <v>81</v>
      </c>
      <c r="C49" s="168">
        <v>2006</v>
      </c>
      <c r="D49" s="168" t="s">
        <v>347</v>
      </c>
      <c r="E49" s="168" t="s">
        <v>370</v>
      </c>
      <c r="F49" s="168" t="s">
        <v>349</v>
      </c>
      <c r="G49" s="168" t="s">
        <v>360</v>
      </c>
      <c r="H49" s="168">
        <v>1</v>
      </c>
      <c r="I49" s="76">
        <v>328</v>
      </c>
      <c r="J49" t="s">
        <v>371</v>
      </c>
      <c r="K49" s="169" t="s">
        <v>358</v>
      </c>
      <c r="L49" s="169"/>
      <c r="M49" s="170">
        <v>45070</v>
      </c>
      <c r="N49" s="170">
        <v>45014</v>
      </c>
      <c r="O49" s="168" t="s">
        <v>298</v>
      </c>
      <c r="P49" s="170" t="s">
        <v>297</v>
      </c>
    </row>
    <row r="50" spans="1:16" ht="26.4" x14ac:dyDescent="0.25">
      <c r="A50" s="167" t="str">
        <f ca="1">HYPERLINK(MID(CELL("filename",A1),FIND("[",CELL("filename",A1)),FIND("]",CELL("filename",A1)) - FIND("[",CELL("filename",A1)) + 1) &amp; "'x-329'!TABLE_CLIENT_1","x-329 1")</f>
        <v>x-329 1</v>
      </c>
      <c r="B50" s="168" t="s">
        <v>81</v>
      </c>
      <c r="C50" s="168">
        <v>2006</v>
      </c>
      <c r="D50" s="168" t="s">
        <v>347</v>
      </c>
      <c r="E50" s="168" t="s">
        <v>372</v>
      </c>
      <c r="F50" s="168" t="s">
        <v>349</v>
      </c>
      <c r="G50" s="168" t="s">
        <v>360</v>
      </c>
      <c r="H50" s="168">
        <v>1</v>
      </c>
      <c r="I50" s="76">
        <v>329</v>
      </c>
      <c r="J50" t="s">
        <v>373</v>
      </c>
      <c r="K50" s="169" t="s">
        <v>374</v>
      </c>
      <c r="L50" s="169"/>
      <c r="M50" s="170">
        <v>45070</v>
      </c>
      <c r="N50" s="170">
        <v>45014</v>
      </c>
      <c r="O50" s="168" t="s">
        <v>298</v>
      </c>
      <c r="P50" s="170" t="s">
        <v>297</v>
      </c>
    </row>
    <row r="51" spans="1:16" ht="26.4" x14ac:dyDescent="0.25">
      <c r="A51" s="167" t="str">
        <f ca="1">HYPERLINK(MID(CELL("filename",A1),FIND("[",CELL("filename",A1)),FIND("]",CELL("filename",A1)) - FIND("[",CELL("filename",A1)) + 1) &amp; "'x-330'!TABLE_CLIENT_1","x-330 1")</f>
        <v>x-330 1</v>
      </c>
      <c r="B51" s="168" t="s">
        <v>81</v>
      </c>
      <c r="C51" s="168">
        <v>2015</v>
      </c>
      <c r="D51" s="168" t="s">
        <v>347</v>
      </c>
      <c r="E51" s="168" t="s">
        <v>375</v>
      </c>
      <c r="F51" s="168" t="s">
        <v>349</v>
      </c>
      <c r="G51" s="168" t="s">
        <v>376</v>
      </c>
      <c r="H51" s="168">
        <v>0</v>
      </c>
      <c r="I51" s="76">
        <v>330</v>
      </c>
      <c r="J51" t="s">
        <v>377</v>
      </c>
      <c r="K51" s="169" t="s">
        <v>378</v>
      </c>
      <c r="L51" s="169"/>
      <c r="M51" s="170">
        <v>45070</v>
      </c>
      <c r="N51" s="170">
        <v>45014</v>
      </c>
      <c r="O51" s="168" t="s">
        <v>298</v>
      </c>
      <c r="P51" s="170" t="s">
        <v>297</v>
      </c>
    </row>
    <row r="52" spans="1:16" ht="26.4" x14ac:dyDescent="0.25">
      <c r="A52" s="167" t="str">
        <f ca="1">HYPERLINK(MID(CELL("filename",A1),FIND("[",CELL("filename",A1)),FIND("]",CELL("filename",A1)) - FIND("[",CELL("filename",A1)) + 1) &amp; "'x-331'!TABLE_CLIENT_1","x-331 1")</f>
        <v>x-331 1</v>
      </c>
      <c r="B52" s="168" t="s">
        <v>81</v>
      </c>
      <c r="C52" s="168">
        <v>2015</v>
      </c>
      <c r="D52" s="168" t="s">
        <v>347</v>
      </c>
      <c r="E52" s="168" t="s">
        <v>379</v>
      </c>
      <c r="F52" s="168" t="s">
        <v>349</v>
      </c>
      <c r="G52" s="168" t="s">
        <v>376</v>
      </c>
      <c r="H52" s="168">
        <v>0</v>
      </c>
      <c r="I52" s="76">
        <v>331</v>
      </c>
      <c r="J52" t="s">
        <v>380</v>
      </c>
      <c r="K52" s="169" t="s">
        <v>381</v>
      </c>
      <c r="L52" s="169"/>
      <c r="M52" s="170">
        <v>45070</v>
      </c>
      <c r="N52" s="170">
        <v>45014</v>
      </c>
      <c r="O52" s="168" t="s">
        <v>298</v>
      </c>
      <c r="P52" s="170" t="s">
        <v>297</v>
      </c>
    </row>
    <row r="53" spans="1:16" ht="39.6" x14ac:dyDescent="0.25">
      <c r="A53" s="167" t="str">
        <f ca="1">HYPERLINK(MID(CELL("filename",A1),FIND("[",CELL("filename",A1)),FIND("]",CELL("filename",A1)) - FIND("[",CELL("filename",A1)) + 1) &amp; "'x-401'!TABLE_CLIENT_1","x-401 1")</f>
        <v>x-401 1</v>
      </c>
      <c r="B53" s="168" t="s">
        <v>81</v>
      </c>
      <c r="C53" s="168">
        <v>2006</v>
      </c>
      <c r="D53" s="168" t="s">
        <v>382</v>
      </c>
      <c r="E53" s="168" t="s">
        <v>650</v>
      </c>
      <c r="F53" s="168" t="s">
        <v>349</v>
      </c>
      <c r="G53" s="168" t="s">
        <v>360</v>
      </c>
      <c r="H53" s="168">
        <v>1</v>
      </c>
      <c r="I53" s="76">
        <v>401</v>
      </c>
      <c r="J53" t="s">
        <v>383</v>
      </c>
      <c r="K53" s="169" t="s">
        <v>384</v>
      </c>
      <c r="L53" s="169"/>
      <c r="M53" s="170">
        <v>45106</v>
      </c>
      <c r="N53" s="170">
        <v>45110</v>
      </c>
      <c r="O53" s="168" t="s">
        <v>298</v>
      </c>
      <c r="P53" s="170" t="s">
        <v>297</v>
      </c>
    </row>
    <row r="54" spans="1:16" ht="26.4" x14ac:dyDescent="0.25">
      <c r="A54" s="167" t="str">
        <f ca="1">HYPERLINK(MID(CELL("filename",A1),FIND("[",CELL("filename",A1)),FIND("]",CELL("filename",A1)) - FIND("[",CELL("filename",A1)) + 1) &amp; "'x-402'!TABLE_CLIENT_1","x-402 1")</f>
        <v>x-402 1</v>
      </c>
      <c r="B54" s="168" t="s">
        <v>81</v>
      </c>
      <c r="C54" s="168">
        <v>2015</v>
      </c>
      <c r="D54" s="168" t="s">
        <v>382</v>
      </c>
      <c r="E54" s="168" t="s">
        <v>651</v>
      </c>
      <c r="F54" s="168" t="s">
        <v>349</v>
      </c>
      <c r="G54" s="168" t="s">
        <v>385</v>
      </c>
      <c r="H54" s="168">
        <v>0</v>
      </c>
      <c r="I54" s="76">
        <v>402</v>
      </c>
      <c r="J54" t="s">
        <v>386</v>
      </c>
      <c r="K54" s="169">
        <v>2.1</v>
      </c>
      <c r="L54" s="169"/>
      <c r="M54" s="170">
        <v>45106</v>
      </c>
      <c r="N54" s="170">
        <v>45110</v>
      </c>
      <c r="O54" s="168" t="s">
        <v>298</v>
      </c>
      <c r="P54" s="170" t="s">
        <v>297</v>
      </c>
    </row>
    <row r="55" spans="1:16" ht="52.8" x14ac:dyDescent="0.25">
      <c r="A55" s="167" t="str">
        <f ca="1">HYPERLINK(MID(CELL("filename",A1),FIND("[",CELL("filename",A1)),FIND("]",CELL("filename",A1)) - FIND("[",CELL("filename",A1)) + 1) &amp; "'x-403'!TABLE_CLIENT_1","x-403 1")</f>
        <v>x-403 1</v>
      </c>
      <c r="B55" s="168" t="s">
        <v>81</v>
      </c>
      <c r="C55" s="168">
        <v>2015</v>
      </c>
      <c r="D55" s="168" t="s">
        <v>382</v>
      </c>
      <c r="E55" s="168" t="s">
        <v>652</v>
      </c>
      <c r="F55" s="168" t="s">
        <v>349</v>
      </c>
      <c r="G55" s="168" t="s">
        <v>387</v>
      </c>
      <c r="H55" s="168">
        <v>0</v>
      </c>
      <c r="I55" s="76">
        <v>403</v>
      </c>
      <c r="J55" t="s">
        <v>388</v>
      </c>
      <c r="K55" s="169">
        <v>2.4</v>
      </c>
      <c r="L55" s="169"/>
      <c r="M55" s="170">
        <v>45106</v>
      </c>
      <c r="N55" s="170">
        <v>45110</v>
      </c>
      <c r="O55" s="168" t="s">
        <v>298</v>
      </c>
      <c r="P55" s="170" t="s">
        <v>297</v>
      </c>
    </row>
    <row r="56" spans="1:16" ht="26.4" x14ac:dyDescent="0.25">
      <c r="A56" s="167" t="str">
        <f ca="1">HYPERLINK(MID(CELL("filename",A1),FIND("[",CELL("filename",A1)),FIND("]",CELL("filename",A1)) - FIND("[",CELL("filename",A1)) + 1) &amp; "'x-404'!TABLE_CLIENT_1","x-404 1")</f>
        <v>x-404 1</v>
      </c>
      <c r="B56" s="168" t="s">
        <v>81</v>
      </c>
      <c r="C56" s="168">
        <v>2015</v>
      </c>
      <c r="D56" s="168" t="s">
        <v>389</v>
      </c>
      <c r="E56" s="168" t="s">
        <v>653</v>
      </c>
      <c r="F56" s="168" t="s">
        <v>349</v>
      </c>
      <c r="G56" s="168" t="s">
        <v>390</v>
      </c>
      <c r="H56" s="168">
        <v>0</v>
      </c>
      <c r="I56" s="76">
        <v>404</v>
      </c>
      <c r="J56" t="s">
        <v>391</v>
      </c>
      <c r="K56" s="169" t="s">
        <v>384</v>
      </c>
      <c r="L56" s="169"/>
      <c r="M56" s="170">
        <v>45106</v>
      </c>
      <c r="N56" s="170">
        <v>45110</v>
      </c>
      <c r="O56" s="168" t="s">
        <v>298</v>
      </c>
      <c r="P56" s="170" t="s">
        <v>297</v>
      </c>
    </row>
    <row r="57" spans="1:16" ht="26.4" x14ac:dyDescent="0.25">
      <c r="A57" s="167" t="str">
        <f ca="1">HYPERLINK(MID(CELL("filename",A1),FIND("[",CELL("filename",A1)),FIND("]",CELL("filename",A1)) - FIND("[",CELL("filename",A1)) + 1) &amp; "'x-405'!TABLE_CLIENT_1","x-405 1")</f>
        <v>x-405 1</v>
      </c>
      <c r="B57" s="168" t="s">
        <v>81</v>
      </c>
      <c r="C57" s="168">
        <v>2015</v>
      </c>
      <c r="D57" s="168" t="s">
        <v>389</v>
      </c>
      <c r="E57" s="168" t="s">
        <v>654</v>
      </c>
      <c r="F57" s="168" t="s">
        <v>349</v>
      </c>
      <c r="G57" s="168" t="s">
        <v>390</v>
      </c>
      <c r="H57" s="168">
        <v>0</v>
      </c>
      <c r="I57" s="76">
        <v>405</v>
      </c>
      <c r="J57" t="s">
        <v>392</v>
      </c>
      <c r="K57" s="169" t="s">
        <v>393</v>
      </c>
      <c r="L57" s="169"/>
      <c r="M57" s="170">
        <v>45106</v>
      </c>
      <c r="N57" s="170">
        <v>45110</v>
      </c>
      <c r="O57" s="168" t="s">
        <v>298</v>
      </c>
      <c r="P57" s="170" t="s">
        <v>297</v>
      </c>
    </row>
    <row r="58" spans="1:16" ht="39.6" x14ac:dyDescent="0.25">
      <c r="A58" s="167" t="str">
        <f ca="1">HYPERLINK(MID(CELL("filename",A1),FIND("[",CELL("filename",A1)),FIND("]",CELL("filename",A1)) - FIND("[",CELL("filename",A1)) + 1) &amp; "'x-406 '!TABLE_CLIENT_1","x-406  1")</f>
        <v>x-406  1</v>
      </c>
      <c r="B58" s="168" t="s">
        <v>81</v>
      </c>
      <c r="C58" s="168">
        <v>2015</v>
      </c>
      <c r="D58" s="168" t="s">
        <v>389</v>
      </c>
      <c r="E58" s="168" t="s">
        <v>655</v>
      </c>
      <c r="F58" s="168" t="s">
        <v>349</v>
      </c>
      <c r="G58" s="168" t="s">
        <v>616</v>
      </c>
      <c r="H58" s="168">
        <v>0</v>
      </c>
      <c r="I58" s="76">
        <v>406</v>
      </c>
      <c r="J58" t="s">
        <v>617</v>
      </c>
      <c r="K58" s="169" t="s">
        <v>395</v>
      </c>
      <c r="L58" s="169"/>
      <c r="M58" s="170">
        <v>45106</v>
      </c>
      <c r="N58" s="170">
        <v>45110</v>
      </c>
      <c r="O58" s="168" t="s">
        <v>298</v>
      </c>
      <c r="P58" s="170" t="s">
        <v>297</v>
      </c>
    </row>
    <row r="59" spans="1:16" ht="52.8" x14ac:dyDescent="0.25">
      <c r="A59" s="167" t="str">
        <f ca="1">HYPERLINK(MID(CELL("filename",A1),FIND("[",CELL("filename",A1)),FIND("]",CELL("filename",A1)) - FIND("[",CELL("filename",A1)) + 1) &amp; "'x-407'!TABLE_CLIENT_1","x-407 1")</f>
        <v>x-407 1</v>
      </c>
      <c r="B59" s="168" t="s">
        <v>81</v>
      </c>
      <c r="C59" s="168">
        <v>2015</v>
      </c>
      <c r="D59" s="168" t="s">
        <v>389</v>
      </c>
      <c r="E59" s="168" t="s">
        <v>656</v>
      </c>
      <c r="F59" s="168" t="s">
        <v>349</v>
      </c>
      <c r="G59" s="168" t="s">
        <v>394</v>
      </c>
      <c r="H59" s="168">
        <v>0</v>
      </c>
      <c r="I59" s="76">
        <v>407</v>
      </c>
      <c r="J59" t="s">
        <v>396</v>
      </c>
      <c r="K59" s="169" t="s">
        <v>378</v>
      </c>
      <c r="L59" s="169"/>
      <c r="M59" s="170">
        <v>45106</v>
      </c>
      <c r="N59" s="170">
        <v>45110</v>
      </c>
      <c r="O59" s="168" t="s">
        <v>298</v>
      </c>
      <c r="P59" s="170" t="s">
        <v>297</v>
      </c>
    </row>
    <row r="60" spans="1:16" ht="26.4" x14ac:dyDescent="0.25">
      <c r="A60" s="167" t="str">
        <f ca="1">HYPERLINK(MID(CELL("filename",A1),FIND("[",CELL("filename",A1)),FIND("]",CELL("filename",A1)) - FIND("[",CELL("filename",A1)) + 1) &amp; "'x-501'!TABLE_CLIENT_1","x-501 1")</f>
        <v>x-501 1</v>
      </c>
      <c r="B60" s="168" t="s">
        <v>81</v>
      </c>
      <c r="C60" s="168" t="s">
        <v>397</v>
      </c>
      <c r="D60" s="168" t="s">
        <v>398</v>
      </c>
      <c r="E60" s="168" t="s">
        <v>399</v>
      </c>
      <c r="F60" s="168" t="s">
        <v>349</v>
      </c>
      <c r="G60" s="168" t="s">
        <v>400</v>
      </c>
      <c r="H60" s="168">
        <v>1</v>
      </c>
      <c r="I60" s="76">
        <v>501</v>
      </c>
      <c r="J60" t="s">
        <v>401</v>
      </c>
      <c r="K60" s="169" t="s">
        <v>402</v>
      </c>
      <c r="L60" s="169"/>
      <c r="M60" s="170">
        <v>45135</v>
      </c>
      <c r="N60" s="170">
        <v>45135</v>
      </c>
      <c r="O60" s="168" t="s">
        <v>298</v>
      </c>
      <c r="P60" s="170" t="s">
        <v>297</v>
      </c>
    </row>
    <row r="61" spans="1:16" ht="39.6" x14ac:dyDescent="0.25">
      <c r="A61" s="167" t="str">
        <f ca="1">HYPERLINK(MID(CELL("filename",A1),FIND("[",CELL("filename",A1)),FIND("]",CELL("filename",A1)) - FIND("[",CELL("filename",A1)) + 1) &amp; "'x-502'!TABLE_CLIENT_1","x-502 1")</f>
        <v>x-502 1</v>
      </c>
      <c r="B61" s="168" t="s">
        <v>81</v>
      </c>
      <c r="C61" s="168" t="s">
        <v>397</v>
      </c>
      <c r="D61" s="168" t="s">
        <v>398</v>
      </c>
      <c r="E61" s="168" t="s">
        <v>403</v>
      </c>
      <c r="F61" s="168" t="s">
        <v>349</v>
      </c>
      <c r="G61" s="168" t="s">
        <v>400</v>
      </c>
      <c r="H61" s="168">
        <v>1</v>
      </c>
      <c r="I61" s="76">
        <v>502</v>
      </c>
      <c r="J61" t="s">
        <v>404</v>
      </c>
      <c r="K61" s="169" t="s">
        <v>405</v>
      </c>
      <c r="L61" s="169"/>
      <c r="M61" s="170">
        <v>45135</v>
      </c>
      <c r="N61" s="170">
        <v>45135</v>
      </c>
      <c r="O61" s="168" t="s">
        <v>298</v>
      </c>
      <c r="P61" s="170" t="s">
        <v>297</v>
      </c>
    </row>
    <row r="62" spans="1:16" ht="26.4" x14ac:dyDescent="0.25">
      <c r="A62" s="167" t="str">
        <f ca="1">HYPERLINK(MID(CELL("filename",A1),FIND("[",CELL("filename",A1)),FIND("]",CELL("filename",A1)) - FIND("[",CELL("filename",A1)) + 1) &amp; "'x-503'!TABLE_CLIENT_1","x-503 1")</f>
        <v>x-503 1</v>
      </c>
      <c r="B62" s="168" t="s">
        <v>81</v>
      </c>
      <c r="C62" s="168">
        <v>2015</v>
      </c>
      <c r="D62" s="168" t="s">
        <v>398</v>
      </c>
      <c r="E62" s="168" t="s">
        <v>406</v>
      </c>
      <c r="F62" s="168" t="s">
        <v>349</v>
      </c>
      <c r="G62" s="168" t="s">
        <v>400</v>
      </c>
      <c r="H62" s="168">
        <v>0</v>
      </c>
      <c r="I62" s="76">
        <v>503</v>
      </c>
      <c r="J62" t="s">
        <v>407</v>
      </c>
      <c r="K62" s="169" t="s">
        <v>402</v>
      </c>
      <c r="L62" s="169"/>
      <c r="M62" s="170">
        <v>45135</v>
      </c>
      <c r="N62" s="170">
        <v>45135</v>
      </c>
      <c r="O62" s="168" t="s">
        <v>298</v>
      </c>
      <c r="P62" s="170" t="s">
        <v>297</v>
      </c>
    </row>
    <row r="63" spans="1:16" ht="26.4" x14ac:dyDescent="0.25">
      <c r="A63" s="167" t="str">
        <f ca="1">HYPERLINK(MID(CELL("filename",A1),FIND("[",CELL("filename",A1)),FIND("]",CELL("filename",A1)) - FIND("[",CELL("filename",A1)) + 1) &amp; "'x-504'!TABLE_CLIENT_1","x-504 1")</f>
        <v>x-504 1</v>
      </c>
      <c r="B63" s="168" t="s">
        <v>81</v>
      </c>
      <c r="C63" s="168">
        <v>2015</v>
      </c>
      <c r="D63" s="168" t="s">
        <v>398</v>
      </c>
      <c r="E63" s="168" t="s">
        <v>408</v>
      </c>
      <c r="F63" s="168" t="s">
        <v>349</v>
      </c>
      <c r="G63" s="168" t="s">
        <v>400</v>
      </c>
      <c r="H63" s="168">
        <v>0</v>
      </c>
      <c r="I63" s="76">
        <v>504</v>
      </c>
      <c r="J63" t="s">
        <v>409</v>
      </c>
      <c r="K63" s="169" t="s">
        <v>405</v>
      </c>
      <c r="L63" s="169"/>
      <c r="M63" s="170">
        <v>45135</v>
      </c>
      <c r="N63" s="170">
        <v>45135</v>
      </c>
      <c r="O63" s="168" t="s">
        <v>298</v>
      </c>
      <c r="P63" s="170" t="s">
        <v>297</v>
      </c>
    </row>
    <row r="64" spans="1:16" ht="26.4" x14ac:dyDescent="0.25">
      <c r="A64" s="167" t="str">
        <f ca="1">HYPERLINK(MID(CELL("filename",A1),FIND("[",CELL("filename",A1)),FIND("]",CELL("filename",A1)) - FIND("[",CELL("filename",A1)) + 1) &amp; "'x-505'!TABLE_CLIENT_1","x-505 1")</f>
        <v>x-505 1</v>
      </c>
      <c r="B64" s="168" t="s">
        <v>81</v>
      </c>
      <c r="C64" s="168">
        <v>1992</v>
      </c>
      <c r="D64" s="168" t="s">
        <v>410</v>
      </c>
      <c r="E64" s="168" t="s">
        <v>411</v>
      </c>
      <c r="F64" s="168" t="s">
        <v>349</v>
      </c>
      <c r="G64" s="168" t="s">
        <v>412</v>
      </c>
      <c r="H64" s="168">
        <v>0</v>
      </c>
      <c r="I64" s="76">
        <v>505</v>
      </c>
      <c r="J64" t="s">
        <v>413</v>
      </c>
      <c r="K64" s="169" t="s">
        <v>402</v>
      </c>
      <c r="L64" s="169"/>
      <c r="M64" s="170">
        <v>45019</v>
      </c>
      <c r="N64" s="170">
        <v>45019</v>
      </c>
      <c r="O64" s="168" t="s">
        <v>298</v>
      </c>
      <c r="P64" s="170" t="s">
        <v>297</v>
      </c>
    </row>
    <row r="65" spans="1:16" ht="26.4" x14ac:dyDescent="0.25">
      <c r="A65" s="167" t="str">
        <f ca="1">HYPERLINK(MID(CELL("filename",A1),FIND("[",CELL("filename",A1)),FIND("]",CELL("filename",A1)) - FIND("[",CELL("filename",A1)) + 1) &amp; "'x-506'!TABLE_CLIENT_1","x-506 1")</f>
        <v>x-506 1</v>
      </c>
      <c r="B65" s="168" t="s">
        <v>81</v>
      </c>
      <c r="C65" s="168">
        <v>1992</v>
      </c>
      <c r="D65" s="168" t="s">
        <v>410</v>
      </c>
      <c r="E65" s="168" t="s">
        <v>414</v>
      </c>
      <c r="F65" s="168" t="s">
        <v>349</v>
      </c>
      <c r="G65" s="168" t="s">
        <v>412</v>
      </c>
      <c r="H65" s="168">
        <v>0</v>
      </c>
      <c r="I65" s="76">
        <v>506</v>
      </c>
      <c r="J65" t="s">
        <v>415</v>
      </c>
      <c r="K65" s="169" t="s">
        <v>416</v>
      </c>
      <c r="L65" s="169"/>
      <c r="M65" s="170">
        <v>45019</v>
      </c>
      <c r="N65" s="170">
        <v>45019</v>
      </c>
      <c r="O65" s="168" t="s">
        <v>298</v>
      </c>
      <c r="P65" s="170" t="s">
        <v>297</v>
      </c>
    </row>
    <row r="66" spans="1:16" ht="52.8" x14ac:dyDescent="0.25">
      <c r="A66" s="167" t="str">
        <f ca="1">HYPERLINK(MID(CELL("filename",A1),FIND("[",CELL("filename",A1)),FIND("]",CELL("filename",A1)) - FIND("[",CELL("filename",A1)) + 1) &amp; "'x-507'!TABLE_CLIENT_1","x-507 1")</f>
        <v>x-507 1</v>
      </c>
      <c r="B66" s="168" t="s">
        <v>81</v>
      </c>
      <c r="C66" s="168" t="s">
        <v>648</v>
      </c>
      <c r="D66" s="168" t="s">
        <v>398</v>
      </c>
      <c r="E66" s="168" t="s">
        <v>649</v>
      </c>
      <c r="F66" s="168" t="s">
        <v>349</v>
      </c>
      <c r="G66" s="168" t="s">
        <v>417</v>
      </c>
      <c r="H66" s="168">
        <v>0</v>
      </c>
      <c r="I66" s="76">
        <v>507</v>
      </c>
      <c r="J66" t="s">
        <v>418</v>
      </c>
      <c r="K66" s="169" t="s">
        <v>307</v>
      </c>
      <c r="L66" s="169"/>
      <c r="M66" s="170">
        <v>45135</v>
      </c>
      <c r="N66" s="170">
        <v>45135</v>
      </c>
      <c r="O66" s="168" t="s">
        <v>298</v>
      </c>
      <c r="P66" s="170" t="s">
        <v>297</v>
      </c>
    </row>
    <row r="67" spans="1:16" ht="26.4" x14ac:dyDescent="0.25">
      <c r="A67" s="167" t="str">
        <f ca="1">HYPERLINK(MID(CELL("filename",A1),FIND("[",CELL("filename",A1)),FIND("]",CELL("filename",A1)) - FIND("[",CELL("filename",A1)) + 1) &amp; "'x-601'!TABLE_CLIENT_1","x-601 1")</f>
        <v>x-601 1</v>
      </c>
      <c r="B67" s="168" t="s">
        <v>81</v>
      </c>
      <c r="C67" s="168">
        <v>1992</v>
      </c>
      <c r="D67" s="168" t="s">
        <v>419</v>
      </c>
      <c r="E67" s="168" t="s">
        <v>420</v>
      </c>
      <c r="F67" s="168" t="s">
        <v>334</v>
      </c>
      <c r="G67" s="168" t="s">
        <v>421</v>
      </c>
      <c r="H67" s="168">
        <v>2</v>
      </c>
      <c r="I67" s="76">
        <v>601</v>
      </c>
      <c r="J67" t="s">
        <v>422</v>
      </c>
      <c r="K67" s="169" t="s">
        <v>296</v>
      </c>
      <c r="L67" s="169"/>
      <c r="M67" s="170">
        <v>45135</v>
      </c>
      <c r="N67" s="170">
        <v>45135</v>
      </c>
      <c r="O67" s="168" t="s">
        <v>298</v>
      </c>
      <c r="P67" s="170" t="s">
        <v>297</v>
      </c>
    </row>
    <row r="68" spans="1:16" ht="26.4" x14ac:dyDescent="0.25">
      <c r="A68" s="167" t="str">
        <f ca="1">HYPERLINK(MID(CELL("filename",A1),FIND("[",CELL("filename",A1)),FIND("]",CELL("filename",A1)) - FIND("[",CELL("filename",A1)) + 1) &amp; "'x-602'!TABLE_CLIENT_1","x-602 1")</f>
        <v>x-602 1</v>
      </c>
      <c r="B68" s="168" t="s">
        <v>81</v>
      </c>
      <c r="C68" s="168">
        <v>1992</v>
      </c>
      <c r="D68" s="168" t="s">
        <v>419</v>
      </c>
      <c r="E68" s="168" t="s">
        <v>423</v>
      </c>
      <c r="F68" s="168" t="s">
        <v>334</v>
      </c>
      <c r="G68" s="168" t="s">
        <v>421</v>
      </c>
      <c r="H68" s="168">
        <v>2</v>
      </c>
      <c r="I68" s="76">
        <v>602</v>
      </c>
      <c r="J68" t="s">
        <v>424</v>
      </c>
      <c r="K68" s="169" t="s">
        <v>300</v>
      </c>
      <c r="L68" s="169"/>
      <c r="M68" s="170">
        <v>45135</v>
      </c>
      <c r="N68" s="170">
        <v>45135</v>
      </c>
      <c r="O68" s="168" t="s">
        <v>298</v>
      </c>
      <c r="P68" s="170" t="s">
        <v>297</v>
      </c>
    </row>
    <row r="69" spans="1:16" ht="26.4" x14ac:dyDescent="0.25">
      <c r="A69" s="167" t="str">
        <f ca="1">HYPERLINK(MID(CELL("filename",A1),FIND("[",CELL("filename",A1)),FIND("]",CELL("filename",A1)) - FIND("[",CELL("filename",A1)) + 1) &amp; "'x-603'!TABLE_CLIENT_1","x-603 1")</f>
        <v>x-603 1</v>
      </c>
      <c r="B69" s="168" t="s">
        <v>81</v>
      </c>
      <c r="C69" s="168">
        <v>1992</v>
      </c>
      <c r="D69" s="168" t="s">
        <v>419</v>
      </c>
      <c r="E69" s="168" t="s">
        <v>425</v>
      </c>
      <c r="F69" s="168" t="s">
        <v>349</v>
      </c>
      <c r="G69" s="168" t="s">
        <v>350</v>
      </c>
      <c r="H69" s="168">
        <v>2</v>
      </c>
      <c r="I69" s="76">
        <v>603</v>
      </c>
      <c r="J69" t="s">
        <v>426</v>
      </c>
      <c r="K69" s="169" t="s">
        <v>304</v>
      </c>
      <c r="L69" s="169"/>
      <c r="M69" s="170">
        <v>45135</v>
      </c>
      <c r="N69" s="170">
        <v>45135</v>
      </c>
      <c r="O69" s="168" t="s">
        <v>298</v>
      </c>
      <c r="P69" s="170" t="s">
        <v>297</v>
      </c>
    </row>
    <row r="70" spans="1:16" ht="26.4" x14ac:dyDescent="0.25">
      <c r="A70" s="167" t="str">
        <f ca="1">HYPERLINK(MID(CELL("filename",A1),FIND("[",CELL("filename",A1)),FIND("]",CELL("filename",A1)) - FIND("[",CELL("filename",A1)) + 1) &amp; "'x-604'!TABLE_CLIENT_1","x-604 1")</f>
        <v>x-604 1</v>
      </c>
      <c r="B70" s="168" t="s">
        <v>81</v>
      </c>
      <c r="C70" s="168">
        <v>1992</v>
      </c>
      <c r="D70" s="168" t="s">
        <v>419</v>
      </c>
      <c r="E70" s="168" t="s">
        <v>427</v>
      </c>
      <c r="F70" s="168" t="s">
        <v>349</v>
      </c>
      <c r="G70" s="168" t="s">
        <v>350</v>
      </c>
      <c r="H70" s="168">
        <v>2</v>
      </c>
      <c r="I70" s="76">
        <v>604</v>
      </c>
      <c r="J70" t="s">
        <v>428</v>
      </c>
      <c r="K70" s="169" t="s">
        <v>305</v>
      </c>
      <c r="L70" s="169"/>
      <c r="M70" s="170">
        <v>45135</v>
      </c>
      <c r="N70" s="170">
        <v>45135</v>
      </c>
      <c r="O70" s="168" t="s">
        <v>298</v>
      </c>
      <c r="P70" s="170" t="s">
        <v>297</v>
      </c>
    </row>
    <row r="71" spans="1:16" ht="26.4" x14ac:dyDescent="0.25">
      <c r="A71" s="167" t="str">
        <f ca="1">HYPERLINK(MID(CELL("filename",A1),FIND("[",CELL("filename",A1)),FIND("]",CELL("filename",A1)) - FIND("[",CELL("filename",A1)) + 1) &amp; "'x-605'!TABLE_CLIENT_1","x-605 1")</f>
        <v>x-605 1</v>
      </c>
      <c r="B71" s="168" t="s">
        <v>81</v>
      </c>
      <c r="C71" s="168">
        <v>1992</v>
      </c>
      <c r="D71" s="168" t="s">
        <v>419</v>
      </c>
      <c r="E71" s="168" t="s">
        <v>429</v>
      </c>
      <c r="F71" s="168" t="s">
        <v>349</v>
      </c>
      <c r="G71" s="168" t="s">
        <v>350</v>
      </c>
      <c r="H71" s="168">
        <v>2</v>
      </c>
      <c r="I71" s="76">
        <v>605</v>
      </c>
      <c r="J71" t="s">
        <v>430</v>
      </c>
      <c r="K71" s="169" t="s">
        <v>395</v>
      </c>
      <c r="L71" s="169"/>
      <c r="M71" s="170">
        <v>45135</v>
      </c>
      <c r="N71" s="170">
        <v>45135</v>
      </c>
      <c r="O71" s="168" t="s">
        <v>298</v>
      </c>
      <c r="P71" s="170" t="s">
        <v>297</v>
      </c>
    </row>
    <row r="72" spans="1:16" ht="26.4" x14ac:dyDescent="0.25">
      <c r="A72" s="167" t="str">
        <f ca="1">HYPERLINK(MID(CELL("filename",A1),FIND("[",CELL("filename",A1)),FIND("]",CELL("filename",A1)) - FIND("[",CELL("filename",A1)) + 1) &amp; "'x-606'!TABLE_CLIENT_1","x-606 1")</f>
        <v>x-606 1</v>
      </c>
      <c r="B72" s="168" t="s">
        <v>81</v>
      </c>
      <c r="C72" s="168">
        <v>1992</v>
      </c>
      <c r="D72" s="168" t="s">
        <v>431</v>
      </c>
      <c r="E72" s="168" t="s">
        <v>432</v>
      </c>
      <c r="F72" s="168" t="s">
        <v>334</v>
      </c>
      <c r="G72" s="168" t="s">
        <v>433</v>
      </c>
      <c r="H72" s="168">
        <v>2</v>
      </c>
      <c r="I72" s="76">
        <v>606</v>
      </c>
      <c r="J72" t="s">
        <v>434</v>
      </c>
      <c r="K72" s="169" t="s">
        <v>378</v>
      </c>
      <c r="L72" s="169"/>
      <c r="M72" s="170">
        <v>45135</v>
      </c>
      <c r="N72" s="170">
        <v>45135</v>
      </c>
      <c r="O72" s="168" t="s">
        <v>435</v>
      </c>
      <c r="P72" s="170" t="s">
        <v>297</v>
      </c>
    </row>
    <row r="73" spans="1:16" ht="26.4" x14ac:dyDescent="0.25">
      <c r="A73" s="167" t="str">
        <f ca="1">HYPERLINK(MID(CELL("filename",A1),FIND("[",CELL("filename",A1)),FIND("]",CELL("filename",A1)) - FIND("[",CELL("filename",A1)) + 1) &amp; "'x-607'!TABLE_CLIENT_1","x-607 1")</f>
        <v>x-607 1</v>
      </c>
      <c r="B73" s="168" t="s">
        <v>81</v>
      </c>
      <c r="C73" s="168">
        <v>1992</v>
      </c>
      <c r="D73" s="168" t="s">
        <v>431</v>
      </c>
      <c r="E73" s="168" t="s">
        <v>436</v>
      </c>
      <c r="F73" s="168" t="s">
        <v>334</v>
      </c>
      <c r="G73" s="168" t="s">
        <v>433</v>
      </c>
      <c r="H73" s="168">
        <v>2</v>
      </c>
      <c r="I73" s="76">
        <v>607</v>
      </c>
      <c r="J73" t="s">
        <v>437</v>
      </c>
      <c r="K73" s="169" t="s">
        <v>381</v>
      </c>
      <c r="L73" s="169"/>
      <c r="M73" s="170">
        <v>45135</v>
      </c>
      <c r="N73" s="170">
        <v>45135</v>
      </c>
      <c r="O73" s="168" t="s">
        <v>435</v>
      </c>
      <c r="P73" s="170" t="s">
        <v>297</v>
      </c>
    </row>
    <row r="74" spans="1:16" ht="39.6" x14ac:dyDescent="0.25">
      <c r="A74" s="167" t="str">
        <f ca="1">HYPERLINK(MID(CELL("filename",A1),FIND("[",CELL("filename",A1)),FIND("]",CELL("filename",A1)) - FIND("[",CELL("filename",A1)) + 1) &amp; "'x-608'!TABLE_CLIENT_1","x-608 1")</f>
        <v>x-608 1</v>
      </c>
      <c r="B74" s="168" t="s">
        <v>81</v>
      </c>
      <c r="C74" s="168">
        <v>2006</v>
      </c>
      <c r="D74" s="168" t="s">
        <v>419</v>
      </c>
      <c r="E74" s="168" t="s">
        <v>438</v>
      </c>
      <c r="F74" s="168" t="s">
        <v>334</v>
      </c>
      <c r="G74" s="168" t="s">
        <v>421</v>
      </c>
      <c r="H74" s="168">
        <v>1</v>
      </c>
      <c r="I74" s="76">
        <v>608</v>
      </c>
      <c r="J74" t="s">
        <v>439</v>
      </c>
      <c r="K74" s="169" t="s">
        <v>384</v>
      </c>
      <c r="L74" s="169"/>
      <c r="M74" s="170" t="s">
        <v>440</v>
      </c>
      <c r="N74" s="170">
        <v>45135</v>
      </c>
      <c r="O74" s="168" t="s">
        <v>298</v>
      </c>
      <c r="P74" s="170" t="s">
        <v>297</v>
      </c>
    </row>
    <row r="75" spans="1:16" ht="39.6" x14ac:dyDescent="0.25">
      <c r="A75" s="167" t="str">
        <f ca="1">HYPERLINK(MID(CELL("filename",A1),FIND("[",CELL("filename",A1)),FIND("]",CELL("filename",A1)) - FIND("[",CELL("filename",A1)) + 1) &amp; "'x-609'!TABLE_CLIENT_1","x-609 1")</f>
        <v>x-609 1</v>
      </c>
      <c r="B75" s="168" t="s">
        <v>81</v>
      </c>
      <c r="C75" s="168">
        <v>2006</v>
      </c>
      <c r="D75" s="168" t="s">
        <v>419</v>
      </c>
      <c r="E75" s="168" t="s">
        <v>441</v>
      </c>
      <c r="F75" s="168" t="s">
        <v>349</v>
      </c>
      <c r="G75" s="168" t="s">
        <v>360</v>
      </c>
      <c r="H75" s="168">
        <v>1</v>
      </c>
      <c r="I75" s="76">
        <v>609</v>
      </c>
      <c r="J75" t="s">
        <v>442</v>
      </c>
      <c r="K75" s="169" t="s">
        <v>304</v>
      </c>
      <c r="L75" s="169"/>
      <c r="M75" s="170">
        <v>45135</v>
      </c>
      <c r="N75" s="170">
        <v>45135</v>
      </c>
      <c r="O75" s="168" t="s">
        <v>298</v>
      </c>
      <c r="P75" s="170" t="s">
        <v>297</v>
      </c>
    </row>
    <row r="76" spans="1:16" ht="39.6" x14ac:dyDescent="0.25">
      <c r="A76" s="167" t="str">
        <f ca="1">HYPERLINK(MID(CELL("filename",A1),FIND("[",CELL("filename",A1)),FIND("]",CELL("filename",A1)) - FIND("[",CELL("filename",A1)) + 1) &amp; "'x-610'!TABLE_CLIENT_1","x-610 1")</f>
        <v>x-610 1</v>
      </c>
      <c r="B76" s="168" t="s">
        <v>81</v>
      </c>
      <c r="C76" s="168">
        <v>2006</v>
      </c>
      <c r="D76" s="168" t="s">
        <v>419</v>
      </c>
      <c r="E76" s="168" t="s">
        <v>443</v>
      </c>
      <c r="F76" s="168" t="s">
        <v>349</v>
      </c>
      <c r="G76" s="168" t="s">
        <v>360</v>
      </c>
      <c r="H76" s="168">
        <v>1</v>
      </c>
      <c r="I76" s="76">
        <v>610</v>
      </c>
      <c r="J76" t="s">
        <v>444</v>
      </c>
      <c r="K76" s="169" t="s">
        <v>445</v>
      </c>
      <c r="L76" s="169"/>
      <c r="M76" s="170">
        <v>45135</v>
      </c>
      <c r="N76" s="170">
        <v>45135</v>
      </c>
      <c r="O76" s="168" t="s">
        <v>298</v>
      </c>
      <c r="P76" s="170" t="s">
        <v>297</v>
      </c>
    </row>
    <row r="77" spans="1:16" ht="39.6" x14ac:dyDescent="0.25">
      <c r="A77" s="167" t="str">
        <f ca="1">HYPERLINK(MID(CELL("filename",A1),FIND("[",CELL("filename",A1)),FIND("]",CELL("filename",A1)) - FIND("[",CELL("filename",A1)) + 1) &amp; "'x-611'!TABLE_CLIENT_1","x-611 1")</f>
        <v>x-611 1</v>
      </c>
      <c r="B77" s="168" t="s">
        <v>81</v>
      </c>
      <c r="C77" s="168">
        <v>2006</v>
      </c>
      <c r="D77" s="168" t="s">
        <v>419</v>
      </c>
      <c r="E77" s="168" t="s">
        <v>446</v>
      </c>
      <c r="F77" s="168" t="s">
        <v>349</v>
      </c>
      <c r="G77" s="168" t="s">
        <v>360</v>
      </c>
      <c r="H77" s="168">
        <v>1</v>
      </c>
      <c r="I77" s="76">
        <v>611</v>
      </c>
      <c r="J77" t="s">
        <v>447</v>
      </c>
      <c r="K77" s="169" t="s">
        <v>305</v>
      </c>
      <c r="L77" s="169"/>
      <c r="M77" s="170">
        <v>45135</v>
      </c>
      <c r="N77" s="170">
        <v>45135</v>
      </c>
      <c r="O77" s="168" t="s">
        <v>298</v>
      </c>
      <c r="P77" s="170" t="s">
        <v>297</v>
      </c>
    </row>
    <row r="78" spans="1:16" ht="39.6" x14ac:dyDescent="0.25">
      <c r="A78" s="167" t="str">
        <f ca="1">HYPERLINK(MID(CELL("filename",A1),FIND("[",CELL("filename",A1)),FIND("]",CELL("filename",A1)) - FIND("[",CELL("filename",A1)) + 1) &amp; "'x-612'!TABLE_CLIENT_1","x-612 1")</f>
        <v>x-612 1</v>
      </c>
      <c r="B78" s="168" t="s">
        <v>81</v>
      </c>
      <c r="C78" s="168">
        <v>2006</v>
      </c>
      <c r="D78" s="168" t="s">
        <v>419</v>
      </c>
      <c r="E78" s="168" t="s">
        <v>637</v>
      </c>
      <c r="F78" s="168" t="s">
        <v>349</v>
      </c>
      <c r="G78" s="168" t="s">
        <v>360</v>
      </c>
      <c r="H78" s="168">
        <v>1</v>
      </c>
      <c r="I78" s="76">
        <v>612</v>
      </c>
      <c r="J78" t="s">
        <v>448</v>
      </c>
      <c r="K78" s="169" t="s">
        <v>449</v>
      </c>
      <c r="L78" s="169"/>
      <c r="M78" s="170">
        <v>45135</v>
      </c>
      <c r="N78" s="170">
        <v>45135</v>
      </c>
      <c r="O78" s="168" t="s">
        <v>298</v>
      </c>
      <c r="P78" s="170" t="s">
        <v>297</v>
      </c>
    </row>
    <row r="79" spans="1:16" ht="39.6" x14ac:dyDescent="0.25">
      <c r="A79" s="167" t="str">
        <f ca="1">HYPERLINK(MID(CELL("filename",A1),FIND("[",CELL("filename",A1)),FIND("]",CELL("filename",A1)) - FIND("[",CELL("filename",A1)) + 1) &amp; "'x-613'!TABLE_CLIENT_1","x-613 1")</f>
        <v>x-613 1</v>
      </c>
      <c r="B79" s="168" t="s">
        <v>81</v>
      </c>
      <c r="C79" s="168">
        <v>2006</v>
      </c>
      <c r="D79" s="168" t="s">
        <v>419</v>
      </c>
      <c r="E79" s="168" t="s">
        <v>450</v>
      </c>
      <c r="F79" s="168" t="s">
        <v>349</v>
      </c>
      <c r="G79" s="168" t="s">
        <v>360</v>
      </c>
      <c r="H79" s="168">
        <v>1</v>
      </c>
      <c r="I79" s="76">
        <v>613</v>
      </c>
      <c r="J79" t="s">
        <v>451</v>
      </c>
      <c r="K79" s="169" t="s">
        <v>395</v>
      </c>
      <c r="L79" s="169"/>
      <c r="M79" s="170">
        <v>45135</v>
      </c>
      <c r="N79" s="170">
        <v>45135</v>
      </c>
      <c r="O79" s="168" t="s">
        <v>298</v>
      </c>
      <c r="P79" s="170" t="s">
        <v>297</v>
      </c>
    </row>
    <row r="80" spans="1:16" ht="26.4" x14ac:dyDescent="0.25">
      <c r="A80" s="167" t="str">
        <f ca="1">HYPERLINK(MID(CELL("filename",A1),FIND("[",CELL("filename",A1)),FIND("]",CELL("filename",A1)) - FIND("[",CELL("filename",A1)) + 1) &amp; "'x-614'!TABLE_CLIENT_1","x-614 1")</f>
        <v>x-614 1</v>
      </c>
      <c r="B80" s="168" t="s">
        <v>81</v>
      </c>
      <c r="C80" s="168">
        <v>2006</v>
      </c>
      <c r="D80" s="168" t="s">
        <v>419</v>
      </c>
      <c r="E80" s="168" t="s">
        <v>452</v>
      </c>
      <c r="F80" s="168" t="s">
        <v>349</v>
      </c>
      <c r="G80" s="168" t="s">
        <v>360</v>
      </c>
      <c r="H80" s="168">
        <v>1</v>
      </c>
      <c r="I80" s="76">
        <v>614</v>
      </c>
      <c r="J80" t="s">
        <v>453</v>
      </c>
      <c r="K80" s="169" t="s">
        <v>454</v>
      </c>
      <c r="L80" s="169"/>
      <c r="M80" s="170">
        <v>45135</v>
      </c>
      <c r="N80" s="170">
        <v>45135</v>
      </c>
      <c r="O80" s="168" t="s">
        <v>298</v>
      </c>
      <c r="P80" s="170" t="s">
        <v>297</v>
      </c>
    </row>
    <row r="81" spans="1:16" ht="26.4" x14ac:dyDescent="0.25">
      <c r="A81" s="167" t="str">
        <f ca="1">HYPERLINK(MID(CELL("filename",A1),FIND("[",CELL("filename",A1)),FIND("]",CELL("filename",A1)) - FIND("[",CELL("filename",A1)) + 1) &amp; "'x-615'!TABLE_CLIENT_1","x-615 1")</f>
        <v>x-615 1</v>
      </c>
      <c r="B81" s="168" t="s">
        <v>81</v>
      </c>
      <c r="C81" s="168">
        <v>2006</v>
      </c>
      <c r="D81" s="168" t="s">
        <v>431</v>
      </c>
      <c r="E81" s="168" t="s">
        <v>432</v>
      </c>
      <c r="F81" s="168" t="s">
        <v>334</v>
      </c>
      <c r="G81" s="168" t="s">
        <v>295</v>
      </c>
      <c r="H81" s="168">
        <v>1</v>
      </c>
      <c r="I81" s="76">
        <v>615</v>
      </c>
      <c r="J81" t="s">
        <v>455</v>
      </c>
      <c r="K81" s="169" t="s">
        <v>378</v>
      </c>
      <c r="L81" s="169"/>
      <c r="M81" s="170">
        <v>45135</v>
      </c>
      <c r="N81" s="170">
        <v>45135</v>
      </c>
      <c r="O81" s="168" t="s">
        <v>435</v>
      </c>
      <c r="P81" s="170" t="s">
        <v>297</v>
      </c>
    </row>
    <row r="82" spans="1:16" ht="26.4" x14ac:dyDescent="0.25">
      <c r="A82" s="167" t="str">
        <f ca="1">HYPERLINK(MID(CELL("filename",A1),FIND("[",CELL("filename",A1)),FIND("]",CELL("filename",A1)) - FIND("[",CELL("filename",A1)) + 1) &amp; "'x-616'!TABLE_CLIENT_1","x-616 1")</f>
        <v>x-616 1</v>
      </c>
      <c r="B82" s="168" t="s">
        <v>81</v>
      </c>
      <c r="C82" s="168">
        <v>2006</v>
      </c>
      <c r="D82" s="168" t="s">
        <v>431</v>
      </c>
      <c r="E82" s="168" t="s">
        <v>456</v>
      </c>
      <c r="F82" s="168" t="s">
        <v>334</v>
      </c>
      <c r="G82" s="168" t="s">
        <v>433</v>
      </c>
      <c r="H82" s="168">
        <v>1</v>
      </c>
      <c r="I82" s="76">
        <v>616</v>
      </c>
      <c r="J82" t="s">
        <v>457</v>
      </c>
      <c r="K82" s="169" t="s">
        <v>381</v>
      </c>
      <c r="L82" s="169"/>
      <c r="M82" s="170">
        <v>45135</v>
      </c>
      <c r="N82" s="170">
        <v>45135</v>
      </c>
      <c r="O82" s="168" t="s">
        <v>435</v>
      </c>
      <c r="P82" s="170" t="s">
        <v>297</v>
      </c>
    </row>
    <row r="83" spans="1:16" ht="26.4" x14ac:dyDescent="0.25">
      <c r="A83" s="167" t="str">
        <f ca="1">HYPERLINK(MID(CELL("filename",A1),FIND("[",CELL("filename",A1)),FIND("]",CELL("filename",A1)) - FIND("[",CELL("filename",A1)) + 1) &amp; "'x-617'!TABLE_CLIENT_1","x-617 1")</f>
        <v>x-617 1</v>
      </c>
      <c r="B83" s="168" t="s">
        <v>81</v>
      </c>
      <c r="C83" s="168">
        <v>2015</v>
      </c>
      <c r="D83" s="168" t="s">
        <v>419</v>
      </c>
      <c r="E83" s="168" t="s">
        <v>458</v>
      </c>
      <c r="F83" s="168" t="s">
        <v>294</v>
      </c>
      <c r="G83" s="168" t="s">
        <v>295</v>
      </c>
      <c r="H83" s="168">
        <v>0</v>
      </c>
      <c r="I83" s="76">
        <v>617</v>
      </c>
      <c r="J83" t="s">
        <v>459</v>
      </c>
      <c r="K83" s="169" t="s">
        <v>296</v>
      </c>
      <c r="L83" s="169"/>
      <c r="M83" s="170">
        <v>45135</v>
      </c>
      <c r="N83" s="170">
        <v>45135</v>
      </c>
      <c r="O83" s="168" t="s">
        <v>298</v>
      </c>
      <c r="P83" s="170" t="s">
        <v>297</v>
      </c>
    </row>
    <row r="84" spans="1:16" ht="26.4" x14ac:dyDescent="0.25">
      <c r="A84" s="167" t="str">
        <f ca="1">HYPERLINK(MID(CELL("filename",A1),FIND("[",CELL("filename",A1)),FIND("]",CELL("filename",A1)) - FIND("[",CELL("filename",A1)) + 1) &amp; "'x-618'!TABLE_CLIENT_1","x-618 1")</f>
        <v>x-618 1</v>
      </c>
      <c r="B84" s="168" t="s">
        <v>81</v>
      </c>
      <c r="C84" s="168">
        <v>2015</v>
      </c>
      <c r="D84" s="168" t="s">
        <v>419</v>
      </c>
      <c r="E84" s="168" t="s">
        <v>458</v>
      </c>
      <c r="F84" s="168" t="s">
        <v>299</v>
      </c>
      <c r="G84" s="168" t="s">
        <v>295</v>
      </c>
      <c r="H84" s="168">
        <v>0</v>
      </c>
      <c r="I84" s="76">
        <v>618</v>
      </c>
      <c r="J84" t="s">
        <v>460</v>
      </c>
      <c r="K84" s="169" t="s">
        <v>300</v>
      </c>
      <c r="L84" s="169"/>
      <c r="M84" s="170">
        <v>45135</v>
      </c>
      <c r="N84" s="170">
        <v>45135</v>
      </c>
      <c r="O84" s="168" t="s">
        <v>298</v>
      </c>
      <c r="P84" s="170" t="s">
        <v>297</v>
      </c>
    </row>
    <row r="85" spans="1:16" ht="26.4" x14ac:dyDescent="0.25">
      <c r="A85" s="167" t="str">
        <f ca="1">HYPERLINK(MID(CELL("filename",A1),FIND("[",CELL("filename",A1)),FIND("]",CELL("filename",A1)) - FIND("[",CELL("filename",A1)) + 1) &amp; "'x-619'!TABLE_CLIENT_1","x-619 1")</f>
        <v>x-619 1</v>
      </c>
      <c r="B85" s="168" t="s">
        <v>81</v>
      </c>
      <c r="C85" s="168">
        <v>2015</v>
      </c>
      <c r="D85" s="168" t="s">
        <v>419</v>
      </c>
      <c r="E85" s="168" t="s">
        <v>461</v>
      </c>
      <c r="F85" s="168" t="s">
        <v>349</v>
      </c>
      <c r="G85" s="168" t="s">
        <v>462</v>
      </c>
      <c r="H85" s="168">
        <v>0</v>
      </c>
      <c r="I85" s="76">
        <v>619</v>
      </c>
      <c r="J85" t="s">
        <v>463</v>
      </c>
      <c r="K85" s="169" t="s">
        <v>304</v>
      </c>
      <c r="L85" s="169"/>
      <c r="M85" s="170">
        <v>45135</v>
      </c>
      <c r="N85" s="170">
        <v>45135</v>
      </c>
      <c r="O85" s="168" t="s">
        <v>298</v>
      </c>
      <c r="P85" s="170" t="s">
        <v>297</v>
      </c>
    </row>
    <row r="86" spans="1:16" ht="26.4" x14ac:dyDescent="0.25">
      <c r="A86" s="167" t="str">
        <f ca="1">HYPERLINK(MID(CELL("filename",A1),FIND("[",CELL("filename",A1)),FIND("]",CELL("filename",A1)) - FIND("[",CELL("filename",A1)) + 1) &amp; "'x-620'!TABLE_CLIENT_1","x-620 1")</f>
        <v>x-620 1</v>
      </c>
      <c r="B86" s="168" t="s">
        <v>81</v>
      </c>
      <c r="C86" s="168">
        <v>2015</v>
      </c>
      <c r="D86" s="168" t="s">
        <v>419</v>
      </c>
      <c r="E86" s="168" t="s">
        <v>464</v>
      </c>
      <c r="F86" s="168" t="s">
        <v>349</v>
      </c>
      <c r="G86" s="168" t="s">
        <v>465</v>
      </c>
      <c r="H86" s="168">
        <v>0</v>
      </c>
      <c r="I86" s="76">
        <v>620</v>
      </c>
      <c r="J86" t="s">
        <v>466</v>
      </c>
      <c r="K86" s="169" t="s">
        <v>305</v>
      </c>
      <c r="L86" s="169"/>
      <c r="M86" s="170">
        <v>45135</v>
      </c>
      <c r="N86" s="170">
        <v>45135</v>
      </c>
      <c r="O86" s="168" t="s">
        <v>298</v>
      </c>
      <c r="P86" s="170" t="s">
        <v>297</v>
      </c>
    </row>
    <row r="87" spans="1:16" ht="26.4" x14ac:dyDescent="0.25">
      <c r="A87" s="167" t="str">
        <f ca="1">HYPERLINK(MID(CELL("filename",A1),FIND("[",CELL("filename",A1)),FIND("]",CELL("filename",A1)) - FIND("[",CELL("filename",A1)) + 1) &amp; "'x-621'!TABLE_CLIENT_1","x-621 1")</f>
        <v>x-621 1</v>
      </c>
      <c r="B87" s="168" t="s">
        <v>81</v>
      </c>
      <c r="C87" s="168">
        <v>2015</v>
      </c>
      <c r="D87" s="168" t="s">
        <v>419</v>
      </c>
      <c r="E87" s="168" t="s">
        <v>467</v>
      </c>
      <c r="F87" s="168" t="s">
        <v>334</v>
      </c>
      <c r="G87" s="168" t="s">
        <v>295</v>
      </c>
      <c r="H87" s="168">
        <v>0</v>
      </c>
      <c r="I87" s="76">
        <v>621</v>
      </c>
      <c r="J87" t="s">
        <v>468</v>
      </c>
      <c r="K87" s="169" t="s">
        <v>343</v>
      </c>
      <c r="L87" s="169"/>
      <c r="M87" s="170">
        <v>45135</v>
      </c>
      <c r="N87" s="170">
        <v>45135</v>
      </c>
      <c r="O87" s="168" t="s">
        <v>298</v>
      </c>
      <c r="P87" s="170" t="s">
        <v>297</v>
      </c>
    </row>
    <row r="88" spans="1:16" ht="26.4" x14ac:dyDescent="0.25">
      <c r="A88" s="167" t="str">
        <f ca="1">HYPERLINK(MID(CELL("filename",A1),FIND("[",CELL("filename",A1)),FIND("]",CELL("filename",A1)) - FIND("[",CELL("filename",A1)) + 1) &amp; "'x-622'!TABLE_CLIENT_1","x-622 1")</f>
        <v>x-622 1</v>
      </c>
      <c r="B88" s="168" t="s">
        <v>81</v>
      </c>
      <c r="C88" s="168">
        <v>2015</v>
      </c>
      <c r="D88" s="168" t="s">
        <v>419</v>
      </c>
      <c r="E88" s="168" t="s">
        <v>469</v>
      </c>
      <c r="F88" s="168" t="s">
        <v>334</v>
      </c>
      <c r="G88" s="168" t="s">
        <v>295</v>
      </c>
      <c r="H88" s="168">
        <v>0</v>
      </c>
      <c r="I88" s="76">
        <v>622</v>
      </c>
      <c r="J88" t="s">
        <v>470</v>
      </c>
      <c r="K88" s="169" t="s">
        <v>471</v>
      </c>
      <c r="L88" s="169"/>
      <c r="M88" s="170">
        <v>45135</v>
      </c>
      <c r="N88" s="170">
        <v>45135</v>
      </c>
      <c r="O88" s="168" t="s">
        <v>298</v>
      </c>
      <c r="P88" s="170" t="s">
        <v>297</v>
      </c>
    </row>
    <row r="89" spans="1:16" ht="26.4" x14ac:dyDescent="0.25">
      <c r="A89" s="167" t="str">
        <f ca="1">HYPERLINK(MID(CELL("filename",A1),FIND("[",CELL("filename",A1)),FIND("]",CELL("filename",A1)) - FIND("[",CELL("filename",A1)) + 1) &amp; "'x-626'!TABLE_CLIENT_1","x-626 1")</f>
        <v>x-626 1</v>
      </c>
      <c r="B89" s="168" t="s">
        <v>81</v>
      </c>
      <c r="C89" s="168">
        <v>2015</v>
      </c>
      <c r="D89" s="168" t="s">
        <v>472</v>
      </c>
      <c r="E89" s="168" t="s">
        <v>473</v>
      </c>
      <c r="F89" s="168" t="s">
        <v>474</v>
      </c>
      <c r="G89" s="168" t="s">
        <v>433</v>
      </c>
      <c r="H89" s="168">
        <v>0</v>
      </c>
      <c r="I89" s="76">
        <v>626</v>
      </c>
      <c r="J89" t="s">
        <v>475</v>
      </c>
      <c r="K89" s="169" t="s">
        <v>384</v>
      </c>
      <c r="L89" s="169"/>
      <c r="M89" s="170">
        <v>45135</v>
      </c>
      <c r="N89" s="170">
        <v>45135</v>
      </c>
      <c r="O89" s="168" t="s">
        <v>435</v>
      </c>
      <c r="P89" s="170" t="s">
        <v>297</v>
      </c>
    </row>
    <row r="90" spans="1:16" ht="26.4" x14ac:dyDescent="0.25">
      <c r="A90" s="167" t="str">
        <f ca="1">HYPERLINK(MID(CELL("filename",A1),FIND("[",CELL("filename",A1)),FIND("]",CELL("filename",A1)) - FIND("[",CELL("filename",A1)) + 1) &amp; "'x-627'!TABLE_CLIENT_1","x-627 1")</f>
        <v>x-627 1</v>
      </c>
      <c r="B90" s="168" t="s">
        <v>81</v>
      </c>
      <c r="C90" s="168">
        <v>2015</v>
      </c>
      <c r="D90" s="168" t="s">
        <v>472</v>
      </c>
      <c r="E90" s="168" t="s">
        <v>476</v>
      </c>
      <c r="F90" s="168" t="s">
        <v>474</v>
      </c>
      <c r="G90" s="168" t="s">
        <v>295</v>
      </c>
      <c r="H90" s="168">
        <v>0</v>
      </c>
      <c r="I90" s="76">
        <v>627</v>
      </c>
      <c r="J90" t="s">
        <v>477</v>
      </c>
      <c r="K90" s="169" t="s">
        <v>393</v>
      </c>
      <c r="L90" s="169"/>
      <c r="M90" s="170">
        <v>45135</v>
      </c>
      <c r="N90" s="170">
        <v>45135</v>
      </c>
      <c r="O90" s="168" t="s">
        <v>435</v>
      </c>
      <c r="P90" s="170" t="s">
        <v>297</v>
      </c>
    </row>
    <row r="91" spans="1:16" ht="26.4" x14ac:dyDescent="0.25">
      <c r="A91" s="167" t="str">
        <f ca="1">HYPERLINK(MID(CELL("filename",A1),FIND("[",CELL("filename",A1)),FIND("]",CELL("filename",A1)) - FIND("[",CELL("filename",A1)) + 1) &amp; "'x-701'!TABLE_CLIENT_1","x-701 1")</f>
        <v>x-701 1</v>
      </c>
      <c r="B91" s="168" t="s">
        <v>81</v>
      </c>
      <c r="C91" s="168">
        <v>2015</v>
      </c>
      <c r="D91" s="168" t="s">
        <v>478</v>
      </c>
      <c r="E91" s="168" t="s">
        <v>479</v>
      </c>
      <c r="F91" s="168" t="s">
        <v>349</v>
      </c>
      <c r="G91" s="168" t="s">
        <v>480</v>
      </c>
      <c r="H91" s="168">
        <v>0</v>
      </c>
      <c r="I91" s="76" t="s">
        <v>641</v>
      </c>
      <c r="J91" t="s">
        <v>643</v>
      </c>
      <c r="K91" s="169" t="s">
        <v>402</v>
      </c>
      <c r="L91" s="169"/>
      <c r="M91" s="170">
        <v>45196</v>
      </c>
      <c r="N91" s="170">
        <v>45383</v>
      </c>
      <c r="O91" s="168" t="s">
        <v>298</v>
      </c>
      <c r="P91" s="170" t="s">
        <v>297</v>
      </c>
    </row>
    <row r="92" spans="1:16" ht="26.4" x14ac:dyDescent="0.25">
      <c r="A92" s="167" t="str">
        <f ca="1">HYPERLINK(MID(CELL("filename",A1),FIND("[",CELL("filename",A1)),FIND("]",CELL("filename",A1)) - FIND("[",CELL("filename",A1)) + 1) &amp; "'x-701'!TABLE_CLIENT_2","x-701 2")</f>
        <v>x-701 2</v>
      </c>
      <c r="B92" s="168" t="s">
        <v>81</v>
      </c>
      <c r="C92" s="168">
        <v>2015</v>
      </c>
      <c r="D92" s="168" t="s">
        <v>478</v>
      </c>
      <c r="E92" s="168" t="s">
        <v>479</v>
      </c>
      <c r="F92" s="168" t="s">
        <v>349</v>
      </c>
      <c r="G92" s="168" t="s">
        <v>480</v>
      </c>
      <c r="H92" s="168">
        <v>0</v>
      </c>
      <c r="I92" s="76" t="s">
        <v>642</v>
      </c>
      <c r="J92" t="s">
        <v>644</v>
      </c>
      <c r="K92" s="169" t="s">
        <v>402</v>
      </c>
      <c r="L92" s="169"/>
      <c r="M92" s="170">
        <v>45196</v>
      </c>
      <c r="N92" s="170">
        <v>45383</v>
      </c>
      <c r="O92" s="168" t="s">
        <v>298</v>
      </c>
      <c r="P92" s="170" t="s">
        <v>297</v>
      </c>
    </row>
    <row r="93" spans="1:16" ht="26.4" x14ac:dyDescent="0.25">
      <c r="A93" s="167" t="str">
        <f ca="1">HYPERLINK(MID(CELL("filename",A1),FIND("[",CELL("filename",A1)),FIND("]",CELL("filename",A1)) - FIND("[",CELL("filename",A1)) + 1) &amp; "'x-702'!TABLE_CLIENT_1","x-702 1")</f>
        <v>x-702 1</v>
      </c>
      <c r="B93" s="168" t="s">
        <v>81</v>
      </c>
      <c r="C93" s="168">
        <v>2015</v>
      </c>
      <c r="D93" s="168" t="s">
        <v>478</v>
      </c>
      <c r="E93" s="168" t="s">
        <v>481</v>
      </c>
      <c r="F93" s="168" t="s">
        <v>349</v>
      </c>
      <c r="G93" s="168" t="s">
        <v>482</v>
      </c>
      <c r="H93" s="168">
        <v>0</v>
      </c>
      <c r="I93" s="76">
        <v>702</v>
      </c>
      <c r="J93" t="s">
        <v>483</v>
      </c>
      <c r="K93" s="169" t="s">
        <v>405</v>
      </c>
      <c r="L93" s="169"/>
      <c r="M93" s="170">
        <v>45196</v>
      </c>
      <c r="N93" s="170">
        <v>45383</v>
      </c>
      <c r="O93" s="168" t="s">
        <v>298</v>
      </c>
      <c r="P93" s="170" t="s">
        <v>297</v>
      </c>
    </row>
    <row r="94" spans="1:16" x14ac:dyDescent="0.25">
      <c r="D94"/>
      <c r="F94"/>
      <c r="L94"/>
      <c r="M94"/>
      <c r="N94"/>
      <c r="O94"/>
    </row>
    <row r="95" spans="1:16" x14ac:dyDescent="0.25">
      <c r="D95"/>
      <c r="F95"/>
      <c r="L95"/>
      <c r="M95"/>
      <c r="N95"/>
      <c r="O95"/>
    </row>
    <row r="96" spans="1:16" x14ac:dyDescent="0.25">
      <c r="D96"/>
      <c r="F96"/>
      <c r="L96"/>
      <c r="M96"/>
      <c r="N96"/>
      <c r="O96"/>
    </row>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sheetData>
  <sortState xmlns:xlrd2="http://schemas.microsoft.com/office/spreadsheetml/2017/richdata2" ref="B8:P84">
    <sortCondition ref="I8:I36"/>
    <sortCondition ref="H8:H36"/>
    <sortCondition ref="J8:J36"/>
    <sortCondition ref="F8:F36"/>
  </sortState>
  <phoneticPr fontId="3" type="noConversion"/>
  <conditionalFormatting sqref="A8:J93 L8:O93">
    <cfRule type="expression" priority="19" stopIfTrue="1">
      <formula>MOD(ROW(),2)=0</formula>
    </cfRule>
    <cfRule type="expression" priority="20" stopIfTrue="1">
      <formula>MOD(ROW(),2)&lt;&gt;0</formula>
    </cfRule>
    <cfRule type="expression" priority="21" stopIfTrue="1">
      <formula>MOD(ROW(),2)=0</formula>
    </cfRule>
    <cfRule type="expression" priority="22" stopIfTrue="1">
      <formula>MOD(ROW(),2)&lt;&gt;0</formula>
    </cfRule>
  </conditionalFormatting>
  <conditionalFormatting sqref="A8:J93">
    <cfRule type="expression" priority="17" stopIfTrue="1">
      <formula>MOD(ROW(),2)=0</formula>
    </cfRule>
    <cfRule type="expression" priority="18" stopIfTrue="1">
      <formula>MOD(ROW(),2)&lt;&gt;0</formula>
    </cfRule>
  </conditionalFormatting>
  <conditionalFormatting sqref="A8:P93">
    <cfRule type="expression" dxfId="820" priority="1" stopIfTrue="1">
      <formula>MOD(ROW(),2)=0</formula>
    </cfRule>
    <cfRule type="expression" dxfId="819" priority="2" stopIfTrue="1">
      <formula>MOD(ROW(),2)&lt;&gt;0</formula>
    </cfRule>
  </conditionalFormatting>
  <conditionalFormatting sqref="J9:J93">
    <cfRule type="expression" dxfId="818" priority="23" stopIfTrue="1">
      <formula>COUNTIF($J$8:$J$93,J9) &gt; 1</formula>
    </cfRule>
  </conditionalFormatting>
  <conditionalFormatting sqref="L8:P93">
    <cfRule type="expression" priority="7" stopIfTrue="1">
      <formula>MOD(ROW(),2)=0</formula>
    </cfRule>
    <cfRule type="expression" priority="8" stopIfTrue="1">
      <formula>MOD(ROW(),2)&lt;&gt;0</formula>
    </cfRule>
  </conditionalFormatting>
  <conditionalFormatting sqref="P8:P93">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97"/>
  <dimension ref="A1:L65"/>
  <sheetViews>
    <sheetView showGridLines="0" zoomScale="85" zoomScaleNormal="85" workbookViewId="0">
      <selection activeCell="A4" sqref="A4"/>
    </sheetView>
  </sheetViews>
  <sheetFormatPr defaultColWidth="10" defaultRowHeight="13.2" x14ac:dyDescent="0.25"/>
  <cols>
    <col min="1" max="1" width="31.88671875" style="27" customWidth="1"/>
    <col min="2" max="12" width="22.88671875" style="27" customWidth="1"/>
    <col min="13" max="16384" width="10" style="27"/>
  </cols>
  <sheetData>
    <row r="1" spans="1:12" ht="21" x14ac:dyDescent="0.4">
      <c r="A1" s="39" t="s">
        <v>0</v>
      </c>
      <c r="B1" s="40"/>
      <c r="C1" s="40"/>
      <c r="D1" s="40"/>
      <c r="E1" s="40"/>
      <c r="F1" s="40"/>
      <c r="G1" s="40"/>
      <c r="H1" s="40"/>
      <c r="I1" s="40"/>
      <c r="J1" s="40"/>
      <c r="K1" s="40"/>
      <c r="L1" s="40"/>
    </row>
    <row r="2" spans="1:12" ht="15.6" x14ac:dyDescent="0.3">
      <c r="A2" s="41" t="str">
        <f>IF(title="&gt; Enter workbook title here","Enter workbook title in Cover sheet",title)</f>
        <v>Fire_S - Consolidated Factor Spreadsheet</v>
      </c>
      <c r="B2" s="42"/>
      <c r="C2" s="42"/>
      <c r="D2" s="42"/>
      <c r="E2" s="42"/>
      <c r="F2" s="42"/>
      <c r="G2" s="42"/>
      <c r="H2" s="42"/>
      <c r="I2" s="42"/>
      <c r="J2" s="42"/>
      <c r="K2" s="42"/>
      <c r="L2" s="42"/>
    </row>
    <row r="3" spans="1:12" ht="15.6" x14ac:dyDescent="0.3">
      <c r="A3" s="43" t="str">
        <f>TABLE_FACTOR_TYPE_1&amp;" - x-"&amp;TABLE_SERIES_NUMBER_1</f>
        <v>LRF - x-407</v>
      </c>
      <c r="B3" s="42"/>
      <c r="C3" s="42"/>
      <c r="D3" s="42"/>
      <c r="E3" s="42"/>
      <c r="F3" s="42"/>
      <c r="G3" s="42"/>
      <c r="H3" s="42"/>
      <c r="I3" s="42"/>
      <c r="J3" s="42"/>
      <c r="K3" s="42"/>
      <c r="L3" s="42"/>
    </row>
    <row r="4" spans="1:12" x14ac:dyDescent="0.25">
      <c r="A4" s="44"/>
    </row>
    <row r="6" spans="1:12" x14ac:dyDescent="0.25">
      <c r="A6" s="75" t="s">
        <v>484</v>
      </c>
      <c r="B6" s="162" t="s">
        <v>485</v>
      </c>
      <c r="C6" s="162"/>
      <c r="D6" s="162"/>
      <c r="E6" s="162"/>
      <c r="F6" s="162"/>
      <c r="G6" s="162"/>
      <c r="H6" s="162"/>
      <c r="I6" s="162"/>
      <c r="J6" s="162"/>
      <c r="K6" s="162"/>
      <c r="L6" s="162"/>
    </row>
    <row r="7" spans="1:12" x14ac:dyDescent="0.25">
      <c r="A7" s="76" t="s">
        <v>486</v>
      </c>
      <c r="B7" s="162" t="s">
        <v>81</v>
      </c>
      <c r="C7" s="162"/>
      <c r="D7" s="162"/>
      <c r="E7" s="162"/>
      <c r="F7" s="162"/>
      <c r="G7" s="162"/>
      <c r="H7" s="162"/>
      <c r="I7" s="162"/>
      <c r="J7" s="162"/>
      <c r="K7" s="162"/>
      <c r="L7" s="162"/>
    </row>
    <row r="8" spans="1:12" x14ac:dyDescent="0.25">
      <c r="A8" s="76" t="s">
        <v>282</v>
      </c>
      <c r="B8" s="162">
        <v>2015</v>
      </c>
      <c r="C8" s="162"/>
      <c r="D8" s="162"/>
      <c r="E8" s="162"/>
      <c r="F8" s="162"/>
      <c r="G8" s="162"/>
      <c r="H8" s="162"/>
      <c r="I8" s="162"/>
      <c r="J8" s="162"/>
      <c r="K8" s="162"/>
      <c r="L8" s="162"/>
    </row>
    <row r="9" spans="1:12" x14ac:dyDescent="0.25">
      <c r="A9" s="76" t="s">
        <v>283</v>
      </c>
      <c r="B9" s="162" t="s">
        <v>389</v>
      </c>
      <c r="C9" s="162"/>
      <c r="D9" s="162"/>
      <c r="E9" s="162"/>
      <c r="F9" s="162"/>
      <c r="G9" s="162"/>
      <c r="H9" s="162"/>
      <c r="I9" s="162"/>
      <c r="J9" s="162"/>
      <c r="K9" s="162"/>
      <c r="L9" s="162"/>
    </row>
    <row r="10" spans="1:12" x14ac:dyDescent="0.25">
      <c r="A10" s="76" t="s">
        <v>6</v>
      </c>
      <c r="B10" s="162" t="s">
        <v>656</v>
      </c>
      <c r="C10" s="162"/>
      <c r="D10" s="162"/>
      <c r="E10" s="162"/>
      <c r="F10" s="162"/>
      <c r="G10" s="162"/>
      <c r="H10" s="162"/>
      <c r="I10" s="162"/>
      <c r="J10" s="162"/>
      <c r="K10" s="162"/>
      <c r="L10" s="162"/>
    </row>
    <row r="11" spans="1:12" x14ac:dyDescent="0.25">
      <c r="A11" s="76" t="s">
        <v>284</v>
      </c>
      <c r="B11" s="162" t="s">
        <v>349</v>
      </c>
      <c r="C11" s="162"/>
      <c r="D11" s="162"/>
      <c r="E11" s="162"/>
      <c r="F11" s="162"/>
      <c r="G11" s="162"/>
      <c r="H11" s="162"/>
      <c r="I11" s="162"/>
      <c r="J11" s="162"/>
      <c r="K11" s="162"/>
      <c r="L11" s="162"/>
    </row>
    <row r="12" spans="1:12" x14ac:dyDescent="0.25">
      <c r="A12" s="76" t="s">
        <v>285</v>
      </c>
      <c r="B12" s="162" t="s">
        <v>394</v>
      </c>
      <c r="C12" s="162"/>
      <c r="D12" s="162"/>
      <c r="E12" s="162"/>
      <c r="F12" s="162"/>
      <c r="G12" s="162"/>
      <c r="H12" s="162"/>
      <c r="I12" s="162"/>
      <c r="J12" s="162"/>
      <c r="K12" s="162"/>
      <c r="L12" s="162"/>
    </row>
    <row r="13" spans="1:12" hidden="1" x14ac:dyDescent="0.25">
      <c r="A13" s="76" t="s">
        <v>493</v>
      </c>
      <c r="B13" s="162">
        <v>0</v>
      </c>
      <c r="C13" s="162"/>
      <c r="D13" s="162"/>
      <c r="E13" s="162"/>
      <c r="F13" s="162"/>
      <c r="G13" s="162"/>
      <c r="H13" s="162"/>
      <c r="I13" s="162"/>
      <c r="J13" s="162"/>
      <c r="K13" s="162"/>
      <c r="L13" s="162"/>
    </row>
    <row r="14" spans="1:12" hidden="1" x14ac:dyDescent="0.25">
      <c r="A14" s="76" t="s">
        <v>287</v>
      </c>
      <c r="B14" s="162">
        <v>407</v>
      </c>
      <c r="C14" s="162"/>
      <c r="D14" s="162"/>
      <c r="E14" s="162"/>
      <c r="F14" s="162"/>
      <c r="G14" s="162"/>
      <c r="H14" s="162"/>
      <c r="I14" s="162"/>
      <c r="J14" s="162"/>
      <c r="K14" s="162"/>
      <c r="L14" s="162"/>
    </row>
    <row r="15" spans="1:12" x14ac:dyDescent="0.25">
      <c r="A15" s="76" t="s">
        <v>496</v>
      </c>
      <c r="B15" s="162" t="s">
        <v>396</v>
      </c>
      <c r="C15" s="162"/>
      <c r="D15" s="162"/>
      <c r="E15" s="162"/>
      <c r="F15" s="162"/>
      <c r="G15" s="162"/>
      <c r="H15" s="162"/>
      <c r="I15" s="162"/>
      <c r="J15" s="162"/>
      <c r="K15" s="162"/>
      <c r="L15" s="162"/>
    </row>
    <row r="16" spans="1:12" x14ac:dyDescent="0.25">
      <c r="A16" s="76" t="s">
        <v>288</v>
      </c>
      <c r="B16" s="162" t="s">
        <v>378</v>
      </c>
      <c r="C16" s="162"/>
      <c r="D16" s="162"/>
      <c r="E16" s="162"/>
      <c r="F16" s="162"/>
      <c r="G16" s="162"/>
      <c r="H16" s="162"/>
      <c r="I16" s="162"/>
      <c r="J16" s="162"/>
      <c r="K16" s="162"/>
      <c r="L16" s="162"/>
    </row>
    <row r="17" spans="1:12" x14ac:dyDescent="0.25">
      <c r="A17" s="165" t="s">
        <v>568</v>
      </c>
      <c r="B17" s="162"/>
      <c r="C17" s="162"/>
      <c r="D17" s="162"/>
      <c r="E17" s="162"/>
      <c r="F17" s="162"/>
      <c r="G17" s="162"/>
      <c r="H17" s="162"/>
      <c r="I17" s="162"/>
      <c r="J17" s="162"/>
      <c r="K17" s="162"/>
      <c r="L17" s="162"/>
    </row>
    <row r="18" spans="1:12" x14ac:dyDescent="0.25">
      <c r="A18" s="165" t="s">
        <v>500</v>
      </c>
      <c r="B18" s="164">
        <v>45106</v>
      </c>
      <c r="C18" s="162"/>
      <c r="D18" s="162"/>
      <c r="E18" s="162"/>
      <c r="F18" s="162"/>
      <c r="G18" s="162"/>
      <c r="H18" s="162"/>
      <c r="I18" s="162"/>
      <c r="J18" s="162"/>
      <c r="K18" s="162"/>
      <c r="L18" s="162"/>
    </row>
    <row r="19" spans="1:12" x14ac:dyDescent="0.25">
      <c r="A19" s="165" t="s">
        <v>290</v>
      </c>
      <c r="B19" s="164">
        <v>45110</v>
      </c>
      <c r="C19" s="162"/>
      <c r="D19" s="162"/>
      <c r="E19" s="162"/>
      <c r="F19" s="162"/>
      <c r="G19" s="162"/>
      <c r="H19" s="162"/>
      <c r="I19" s="162"/>
      <c r="J19" s="162"/>
      <c r="K19" s="162"/>
      <c r="L19" s="162"/>
    </row>
    <row r="20" spans="1:12" x14ac:dyDescent="0.25">
      <c r="A20" s="165" t="s">
        <v>291</v>
      </c>
      <c r="B20" s="162" t="s">
        <v>298</v>
      </c>
      <c r="C20" s="162"/>
      <c r="D20" s="162"/>
      <c r="E20" s="162"/>
      <c r="F20" s="162"/>
      <c r="G20" s="162"/>
      <c r="H20" s="162"/>
      <c r="I20" s="162"/>
      <c r="J20" s="162"/>
      <c r="K20" s="162"/>
      <c r="L20" s="162"/>
    </row>
    <row r="21" spans="1:12" x14ac:dyDescent="0.25">
      <c r="A21" s="150" t="s">
        <v>569</v>
      </c>
      <c r="B21" s="162" t="s">
        <v>297</v>
      </c>
      <c r="C21" s="162"/>
      <c r="D21" s="162"/>
      <c r="E21" s="162"/>
      <c r="F21" s="162"/>
      <c r="G21" s="162"/>
      <c r="H21" s="162"/>
      <c r="I21" s="162"/>
      <c r="J21" s="162"/>
      <c r="K21" s="162"/>
      <c r="L21" s="162"/>
    </row>
    <row r="23" spans="1:12" x14ac:dyDescent="0.25">
      <c r="B23" s="91" t="str">
        <f>HYPERLINK("#'Factor List'!A1","Back to Factor List")</f>
        <v>Back to Factor List</v>
      </c>
      <c r="C23" s="91"/>
      <c r="D23" s="91"/>
      <c r="E23" s="91"/>
      <c r="F23" s="91"/>
      <c r="G23" s="91"/>
      <c r="H23" s="91"/>
      <c r="I23" s="91"/>
      <c r="J23" s="91"/>
      <c r="K23" s="91"/>
      <c r="L23" s="91"/>
    </row>
    <row r="24" spans="1:12" x14ac:dyDescent="0.25">
      <c r="B24" s="91" t="str">
        <f>HYPERLINK("#'Assumptions'!A1","Assumptions")</f>
        <v>Assumptions</v>
      </c>
    </row>
    <row r="26" spans="1:12" x14ac:dyDescent="0.25">
      <c r="A26" s="107" t="s">
        <v>618</v>
      </c>
      <c r="B26" s="107">
        <v>59</v>
      </c>
      <c r="C26" s="107">
        <f>B26+1</f>
        <v>60</v>
      </c>
      <c r="D26" s="107">
        <f>C26+1</f>
        <v>61</v>
      </c>
      <c r="E26" s="107">
        <f>D26+1</f>
        <v>62</v>
      </c>
      <c r="F26" s="107">
        <f t="shared" ref="F26:L26" si="0">E26+1</f>
        <v>63</v>
      </c>
      <c r="G26" s="107">
        <f t="shared" si="0"/>
        <v>64</v>
      </c>
      <c r="H26" s="107">
        <f t="shared" si="0"/>
        <v>65</v>
      </c>
      <c r="I26" s="107">
        <f t="shared" si="0"/>
        <v>66</v>
      </c>
      <c r="J26" s="107">
        <f t="shared" si="0"/>
        <v>67</v>
      </c>
      <c r="K26" s="107">
        <f t="shared" si="0"/>
        <v>68</v>
      </c>
      <c r="L26" s="107">
        <f t="shared" si="0"/>
        <v>69</v>
      </c>
    </row>
    <row r="27" spans="1:12" x14ac:dyDescent="0.25">
      <c r="A27" s="108">
        <v>0</v>
      </c>
      <c r="B27" s="109">
        <v>0</v>
      </c>
      <c r="C27" s="109">
        <v>0</v>
      </c>
      <c r="D27" s="109">
        <v>0</v>
      </c>
      <c r="E27" s="109">
        <v>0</v>
      </c>
      <c r="F27" s="109">
        <v>0</v>
      </c>
      <c r="G27" s="109">
        <v>0</v>
      </c>
      <c r="H27" s="109">
        <v>0</v>
      </c>
      <c r="I27" s="109">
        <v>0</v>
      </c>
      <c r="J27" s="109">
        <v>0</v>
      </c>
      <c r="K27" s="109">
        <v>0</v>
      </c>
      <c r="L27" s="109">
        <v>0</v>
      </c>
    </row>
    <row r="28" spans="1:12" x14ac:dyDescent="0.25">
      <c r="A28" s="108">
        <v>1</v>
      </c>
      <c r="B28" s="109">
        <v>4.0000000000000001E-3</v>
      </c>
      <c r="C28" s="109">
        <v>4.0000000000000001E-3</v>
      </c>
      <c r="D28" s="109">
        <v>4.0000000000000001E-3</v>
      </c>
      <c r="E28" s="109">
        <v>4.0000000000000001E-3</v>
      </c>
      <c r="F28" s="109">
        <v>4.0000000000000001E-3</v>
      </c>
      <c r="G28" s="109">
        <v>4.0000000000000001E-3</v>
      </c>
      <c r="H28" s="109">
        <v>4.0000000000000001E-3</v>
      </c>
      <c r="I28" s="109">
        <v>5.0000000000000001E-3</v>
      </c>
      <c r="J28" s="109">
        <v>5.0000000000000001E-3</v>
      </c>
      <c r="K28" s="109">
        <v>5.0000000000000001E-3</v>
      </c>
      <c r="L28" s="109">
        <v>5.0000000000000001E-3</v>
      </c>
    </row>
    <row r="29" spans="1:12" x14ac:dyDescent="0.25">
      <c r="A29" s="108">
        <v>2</v>
      </c>
      <c r="B29" s="109">
        <v>8.0000000000000002E-3</v>
      </c>
      <c r="C29" s="109">
        <v>8.0000000000000002E-3</v>
      </c>
      <c r="D29" s="109">
        <v>8.0000000000000002E-3</v>
      </c>
      <c r="E29" s="109">
        <v>8.0000000000000002E-3</v>
      </c>
      <c r="F29" s="109">
        <v>8.0000000000000002E-3</v>
      </c>
      <c r="G29" s="109">
        <v>8.9999999999999993E-3</v>
      </c>
      <c r="H29" s="109">
        <v>8.9999999999999993E-3</v>
      </c>
      <c r="I29" s="109">
        <v>8.9999999999999993E-3</v>
      </c>
      <c r="J29" s="109">
        <v>8.9999999999999993E-3</v>
      </c>
      <c r="K29" s="109">
        <v>0.01</v>
      </c>
      <c r="L29" s="109">
        <v>0.01</v>
      </c>
    </row>
    <row r="30" spans="1:12" x14ac:dyDescent="0.25">
      <c r="A30" s="108">
        <v>3</v>
      </c>
      <c r="B30" s="109">
        <v>1.0999999999999999E-2</v>
      </c>
      <c r="C30" s="109">
        <v>1.0999999999999999E-2</v>
      </c>
      <c r="D30" s="109">
        <v>1.2E-2</v>
      </c>
      <c r="E30" s="109">
        <v>1.2E-2</v>
      </c>
      <c r="F30" s="109">
        <v>1.2999999999999999E-2</v>
      </c>
      <c r="G30" s="109">
        <v>1.2999999999999999E-2</v>
      </c>
      <c r="H30" s="109">
        <v>1.2999999999999999E-2</v>
      </c>
      <c r="I30" s="109">
        <v>1.4E-2</v>
      </c>
      <c r="J30" s="109">
        <v>1.4E-2</v>
      </c>
      <c r="K30" s="109">
        <v>1.4999999999999999E-2</v>
      </c>
      <c r="L30" s="109">
        <v>1.4999999999999999E-2</v>
      </c>
    </row>
    <row r="31" spans="1:12" x14ac:dyDescent="0.25">
      <c r="A31" s="108">
        <v>4</v>
      </c>
      <c r="B31" s="109">
        <v>1.4999999999999999E-2</v>
      </c>
      <c r="C31" s="109">
        <v>1.4999999999999999E-2</v>
      </c>
      <c r="D31" s="109">
        <v>1.6E-2</v>
      </c>
      <c r="E31" s="109">
        <v>1.6E-2</v>
      </c>
      <c r="F31" s="109">
        <v>1.7000000000000001E-2</v>
      </c>
      <c r="G31" s="109">
        <v>1.7000000000000001E-2</v>
      </c>
      <c r="H31" s="109">
        <v>1.7999999999999999E-2</v>
      </c>
      <c r="I31" s="109">
        <v>1.7999999999999999E-2</v>
      </c>
      <c r="J31" s="109">
        <v>1.9E-2</v>
      </c>
      <c r="K31" s="109">
        <v>0.02</v>
      </c>
      <c r="L31" s="109">
        <v>2.1000000000000001E-2</v>
      </c>
    </row>
    <row r="32" spans="1:12" x14ac:dyDescent="0.25">
      <c r="A32" s="108">
        <v>5</v>
      </c>
      <c r="B32" s="109">
        <v>1.9E-2</v>
      </c>
      <c r="C32" s="109">
        <v>1.9E-2</v>
      </c>
      <c r="D32" s="109">
        <v>0.02</v>
      </c>
      <c r="E32" s="109">
        <v>0.02</v>
      </c>
      <c r="F32" s="109">
        <v>2.1000000000000001E-2</v>
      </c>
      <c r="G32" s="109">
        <v>2.1999999999999999E-2</v>
      </c>
      <c r="H32" s="109">
        <v>2.1999999999999999E-2</v>
      </c>
      <c r="I32" s="109">
        <v>2.3E-2</v>
      </c>
      <c r="J32" s="109">
        <v>2.4E-2</v>
      </c>
      <c r="K32" s="109">
        <v>2.4E-2</v>
      </c>
      <c r="L32" s="109">
        <v>2.5999999999999999E-2</v>
      </c>
    </row>
    <row r="33" spans="1:12" x14ac:dyDescent="0.25">
      <c r="A33" s="108">
        <v>6</v>
      </c>
      <c r="B33" s="109">
        <v>2.3E-2</v>
      </c>
      <c r="C33" s="109">
        <v>2.3E-2</v>
      </c>
      <c r="D33" s="109">
        <v>2.4E-2</v>
      </c>
      <c r="E33" s="109">
        <v>2.4E-2</v>
      </c>
      <c r="F33" s="109">
        <v>2.5000000000000001E-2</v>
      </c>
      <c r="G33" s="109">
        <v>2.5999999999999999E-2</v>
      </c>
      <c r="H33" s="109">
        <v>2.7E-2</v>
      </c>
      <c r="I33" s="109">
        <v>2.8000000000000001E-2</v>
      </c>
      <c r="J33" s="109">
        <v>2.8000000000000001E-2</v>
      </c>
      <c r="K33" s="109">
        <v>2.9000000000000001E-2</v>
      </c>
      <c r="L33" s="109">
        <v>3.1E-2</v>
      </c>
    </row>
    <row r="34" spans="1:12" x14ac:dyDescent="0.25">
      <c r="A34" s="108">
        <v>7</v>
      </c>
      <c r="B34" s="109">
        <v>2.7E-2</v>
      </c>
      <c r="C34" s="109">
        <v>2.7E-2</v>
      </c>
      <c r="D34" s="109">
        <v>2.8000000000000001E-2</v>
      </c>
      <c r="E34" s="109">
        <v>2.8000000000000001E-2</v>
      </c>
      <c r="F34" s="109">
        <v>2.9000000000000001E-2</v>
      </c>
      <c r="G34" s="109">
        <v>0.03</v>
      </c>
      <c r="H34" s="109">
        <v>3.1E-2</v>
      </c>
      <c r="I34" s="109">
        <v>3.2000000000000001E-2</v>
      </c>
      <c r="J34" s="109">
        <v>3.3000000000000002E-2</v>
      </c>
      <c r="K34" s="109">
        <v>3.4000000000000002E-2</v>
      </c>
      <c r="L34" s="109">
        <v>3.5999999999999997E-2</v>
      </c>
    </row>
    <row r="35" spans="1:12" x14ac:dyDescent="0.25">
      <c r="A35" s="108">
        <v>8</v>
      </c>
      <c r="B35" s="109">
        <v>0.03</v>
      </c>
      <c r="C35" s="109">
        <v>0.03</v>
      </c>
      <c r="D35" s="109">
        <v>3.1E-2</v>
      </c>
      <c r="E35" s="109">
        <v>3.2000000000000001E-2</v>
      </c>
      <c r="F35" s="109">
        <v>3.4000000000000002E-2</v>
      </c>
      <c r="G35" s="109">
        <v>3.5000000000000003E-2</v>
      </c>
      <c r="H35" s="109">
        <v>3.5999999999999997E-2</v>
      </c>
      <c r="I35" s="109">
        <v>3.6999999999999998E-2</v>
      </c>
      <c r="J35" s="109">
        <v>3.7999999999999999E-2</v>
      </c>
      <c r="K35" s="109">
        <v>3.9E-2</v>
      </c>
      <c r="L35" s="109">
        <v>4.1000000000000002E-2</v>
      </c>
    </row>
    <row r="36" spans="1:12" x14ac:dyDescent="0.25">
      <c r="A36" s="108">
        <v>9</v>
      </c>
      <c r="B36" s="109">
        <v>3.4000000000000002E-2</v>
      </c>
      <c r="C36" s="109">
        <v>3.4000000000000002E-2</v>
      </c>
      <c r="D36" s="109">
        <v>3.5000000000000003E-2</v>
      </c>
      <c r="E36" s="109">
        <v>3.5999999999999997E-2</v>
      </c>
      <c r="F36" s="109">
        <v>3.7999999999999999E-2</v>
      </c>
      <c r="G36" s="109">
        <v>3.9E-2</v>
      </c>
      <c r="H36" s="109">
        <v>0.04</v>
      </c>
      <c r="I36" s="109">
        <v>4.1000000000000002E-2</v>
      </c>
      <c r="J36" s="109">
        <v>4.2999999999999997E-2</v>
      </c>
      <c r="K36" s="109">
        <v>4.3999999999999997E-2</v>
      </c>
      <c r="L36" s="109">
        <v>4.5999999999999999E-2</v>
      </c>
    </row>
    <row r="37" spans="1:12" x14ac:dyDescent="0.25">
      <c r="A37" s="108">
        <v>10</v>
      </c>
      <c r="B37" s="109">
        <v>3.7999999999999999E-2</v>
      </c>
      <c r="C37" s="109">
        <v>3.7999999999999999E-2</v>
      </c>
      <c r="D37" s="109">
        <v>3.9E-2</v>
      </c>
      <c r="E37" s="109">
        <v>4.1000000000000002E-2</v>
      </c>
      <c r="F37" s="109">
        <v>4.2000000000000003E-2</v>
      </c>
      <c r="G37" s="109">
        <v>4.2999999999999997E-2</v>
      </c>
      <c r="H37" s="109">
        <v>4.4999999999999998E-2</v>
      </c>
      <c r="I37" s="109">
        <v>4.5999999999999999E-2</v>
      </c>
      <c r="J37" s="109">
        <v>4.7E-2</v>
      </c>
      <c r="K37" s="109">
        <v>4.9000000000000002E-2</v>
      </c>
      <c r="L37" s="109">
        <v>5.0999999999999997E-2</v>
      </c>
    </row>
    <row r="38" spans="1:12" x14ac:dyDescent="0.25">
      <c r="A38" s="108">
        <v>11</v>
      </c>
      <c r="B38" s="109">
        <v>4.2000000000000003E-2</v>
      </c>
      <c r="C38" s="109">
        <v>4.2000000000000003E-2</v>
      </c>
      <c r="D38" s="109">
        <v>4.2999999999999997E-2</v>
      </c>
      <c r="E38" s="109">
        <v>4.4999999999999998E-2</v>
      </c>
      <c r="F38" s="109">
        <v>4.5999999999999999E-2</v>
      </c>
      <c r="G38" s="109">
        <v>4.8000000000000001E-2</v>
      </c>
      <c r="H38" s="109">
        <v>4.9000000000000002E-2</v>
      </c>
      <c r="I38" s="109">
        <v>5.0999999999999997E-2</v>
      </c>
      <c r="J38" s="109">
        <v>5.1999999999999998E-2</v>
      </c>
      <c r="K38" s="109">
        <v>5.3999999999999999E-2</v>
      </c>
      <c r="L38" s="109">
        <v>5.7000000000000002E-2</v>
      </c>
    </row>
    <row r="39" spans="1:12" x14ac:dyDescent="0.25">
      <c r="A39"/>
      <c r="B39"/>
      <c r="C39"/>
      <c r="D39"/>
      <c r="E39"/>
      <c r="F39"/>
      <c r="G39"/>
      <c r="H39"/>
      <c r="I39"/>
      <c r="J39"/>
      <c r="K39"/>
      <c r="L39"/>
    </row>
    <row r="40" spans="1:12" x14ac:dyDescent="0.25">
      <c r="A40"/>
      <c r="B40"/>
      <c r="C40"/>
      <c r="D40"/>
      <c r="E40"/>
      <c r="F40"/>
      <c r="G40"/>
      <c r="H40"/>
      <c r="I40"/>
      <c r="J40"/>
      <c r="K40"/>
      <c r="L40"/>
    </row>
    <row r="41" spans="1:12" x14ac:dyDescent="0.25">
      <c r="A41"/>
      <c r="B41"/>
      <c r="C41"/>
      <c r="D41"/>
      <c r="E41"/>
      <c r="F41"/>
      <c r="G41"/>
      <c r="H41"/>
      <c r="I41"/>
      <c r="J41"/>
      <c r="K41"/>
      <c r="L41"/>
    </row>
    <row r="42" spans="1:12" x14ac:dyDescent="0.25">
      <c r="A42"/>
      <c r="B42"/>
      <c r="C42"/>
      <c r="D42"/>
      <c r="E42"/>
      <c r="F42"/>
      <c r="G42"/>
      <c r="H42"/>
      <c r="I42"/>
      <c r="J42"/>
      <c r="K42"/>
      <c r="L42"/>
    </row>
    <row r="43" spans="1:12" x14ac:dyDescent="0.25">
      <c r="A43"/>
      <c r="B43"/>
      <c r="C43"/>
      <c r="D43"/>
      <c r="E43"/>
      <c r="F43"/>
      <c r="G43"/>
      <c r="H43"/>
      <c r="I43"/>
      <c r="J43"/>
      <c r="K43"/>
      <c r="L43"/>
    </row>
    <row r="44" spans="1:12" ht="39.6" customHeight="1" x14ac:dyDescent="0.25">
      <c r="A44"/>
      <c r="B44"/>
      <c r="C44"/>
      <c r="D44"/>
      <c r="E44"/>
      <c r="F44"/>
      <c r="G44"/>
      <c r="H44"/>
      <c r="I44"/>
      <c r="J44"/>
      <c r="K44"/>
      <c r="L44"/>
    </row>
    <row r="45" spans="1:12" x14ac:dyDescent="0.25">
      <c r="A45"/>
      <c r="B45"/>
      <c r="C45"/>
      <c r="D45"/>
      <c r="E45"/>
      <c r="F45"/>
      <c r="G45"/>
      <c r="H45"/>
      <c r="I45"/>
      <c r="J45"/>
      <c r="K45"/>
      <c r="L45"/>
    </row>
    <row r="46" spans="1:12" ht="27.6" customHeight="1" x14ac:dyDescent="0.25">
      <c r="A46"/>
      <c r="B46"/>
      <c r="C46"/>
      <c r="D46"/>
      <c r="E46"/>
      <c r="F46"/>
      <c r="G46"/>
      <c r="H46"/>
      <c r="I46"/>
      <c r="J46"/>
      <c r="K46"/>
      <c r="L46"/>
    </row>
    <row r="47" spans="1:12" x14ac:dyDescent="0.25">
      <c r="A47"/>
      <c r="B47"/>
      <c r="C47"/>
      <c r="D47"/>
      <c r="E47"/>
      <c r="F47"/>
      <c r="G47"/>
      <c r="H47"/>
      <c r="I47"/>
      <c r="J47"/>
      <c r="K47"/>
      <c r="L47"/>
    </row>
    <row r="48" spans="1:12" x14ac:dyDescent="0.25">
      <c r="A48"/>
      <c r="B48"/>
      <c r="C48"/>
      <c r="D48"/>
      <c r="E48"/>
      <c r="F48"/>
      <c r="G48"/>
      <c r="H48"/>
      <c r="I48"/>
      <c r="J48"/>
      <c r="K48"/>
      <c r="L48"/>
    </row>
    <row r="49" spans="1:12" x14ac:dyDescent="0.25">
      <c r="A49"/>
      <c r="B49"/>
      <c r="C49"/>
      <c r="D49"/>
      <c r="E49"/>
      <c r="F49"/>
      <c r="G49"/>
      <c r="H49"/>
      <c r="I49"/>
      <c r="J49"/>
      <c r="K49"/>
      <c r="L49"/>
    </row>
    <row r="50" spans="1:12" x14ac:dyDescent="0.25">
      <c r="A50"/>
      <c r="B50"/>
      <c r="C50"/>
      <c r="D50"/>
      <c r="E50"/>
      <c r="F50"/>
      <c r="G50"/>
      <c r="H50"/>
      <c r="I50"/>
      <c r="J50"/>
      <c r="K50"/>
      <c r="L50"/>
    </row>
    <row r="51" spans="1:12" x14ac:dyDescent="0.25">
      <c r="A51"/>
      <c r="B51"/>
      <c r="C51"/>
      <c r="D51"/>
      <c r="E51"/>
      <c r="F51"/>
      <c r="G51"/>
      <c r="H51"/>
      <c r="I51"/>
      <c r="J51"/>
      <c r="K51"/>
      <c r="L51"/>
    </row>
    <row r="52" spans="1:12" x14ac:dyDescent="0.25">
      <c r="A52"/>
      <c r="B52"/>
      <c r="C52"/>
      <c r="D52"/>
      <c r="E52"/>
      <c r="F52"/>
      <c r="G52"/>
      <c r="H52"/>
      <c r="I52"/>
      <c r="J52"/>
      <c r="K52"/>
      <c r="L52"/>
    </row>
    <row r="53" spans="1:12" x14ac:dyDescent="0.25">
      <c r="A53"/>
      <c r="B53"/>
      <c r="C53"/>
      <c r="D53"/>
      <c r="E53"/>
      <c r="F53"/>
      <c r="G53"/>
      <c r="H53"/>
      <c r="I53"/>
      <c r="J53"/>
      <c r="K53"/>
      <c r="L53"/>
    </row>
    <row r="54" spans="1:12" x14ac:dyDescent="0.25">
      <c r="A54"/>
      <c r="B54"/>
      <c r="C54"/>
      <c r="D54"/>
      <c r="E54"/>
      <c r="F54"/>
      <c r="G54"/>
      <c r="H54"/>
      <c r="I54"/>
      <c r="J54"/>
      <c r="K54"/>
      <c r="L54"/>
    </row>
    <row r="55" spans="1:12" x14ac:dyDescent="0.25">
      <c r="A55"/>
      <c r="B55"/>
      <c r="C55"/>
      <c r="D55"/>
      <c r="E55"/>
      <c r="F55"/>
      <c r="G55"/>
      <c r="H55"/>
      <c r="I55"/>
      <c r="J55"/>
      <c r="K55"/>
      <c r="L55"/>
    </row>
    <row r="56" spans="1:12" x14ac:dyDescent="0.25">
      <c r="A56"/>
      <c r="B56"/>
      <c r="C56"/>
      <c r="D56"/>
      <c r="E56"/>
      <c r="F56"/>
      <c r="G56"/>
      <c r="H56"/>
      <c r="I56"/>
      <c r="J56"/>
      <c r="K56"/>
      <c r="L56"/>
    </row>
    <row r="57" spans="1:12" x14ac:dyDescent="0.25">
      <c r="A57"/>
      <c r="B57"/>
      <c r="C57"/>
      <c r="D57"/>
      <c r="E57"/>
      <c r="F57"/>
      <c r="G57"/>
      <c r="H57"/>
      <c r="I57"/>
      <c r="J57"/>
      <c r="K57"/>
      <c r="L57"/>
    </row>
    <row r="58" spans="1:12" x14ac:dyDescent="0.25">
      <c r="A58"/>
      <c r="B58"/>
      <c r="C58"/>
      <c r="D58"/>
      <c r="E58"/>
      <c r="F58"/>
      <c r="G58"/>
      <c r="H58"/>
      <c r="I58"/>
      <c r="J58"/>
      <c r="K58"/>
      <c r="L58"/>
    </row>
    <row r="59" spans="1:12" x14ac:dyDescent="0.25">
      <c r="A59"/>
      <c r="B59"/>
      <c r="C59"/>
      <c r="D59"/>
      <c r="E59"/>
      <c r="F59"/>
      <c r="G59"/>
      <c r="H59"/>
      <c r="I59"/>
      <c r="J59"/>
      <c r="K59"/>
      <c r="L59"/>
    </row>
    <row r="60" spans="1:12" x14ac:dyDescent="0.25">
      <c r="A60"/>
      <c r="B60"/>
      <c r="C60"/>
      <c r="D60"/>
      <c r="E60"/>
      <c r="F60"/>
      <c r="G60"/>
      <c r="H60"/>
      <c r="I60"/>
      <c r="J60"/>
      <c r="K60"/>
      <c r="L60"/>
    </row>
    <row r="61" spans="1:12" x14ac:dyDescent="0.25">
      <c r="A61"/>
      <c r="B61"/>
      <c r="C61"/>
      <c r="D61"/>
      <c r="E61"/>
      <c r="F61"/>
      <c r="G61"/>
      <c r="H61"/>
      <c r="I61"/>
      <c r="J61"/>
      <c r="K61"/>
      <c r="L61"/>
    </row>
    <row r="62" spans="1:12" x14ac:dyDescent="0.25">
      <c r="A62"/>
      <c r="B62"/>
      <c r="C62"/>
      <c r="D62"/>
      <c r="E62"/>
      <c r="F62"/>
      <c r="G62"/>
      <c r="H62"/>
      <c r="I62"/>
      <c r="J62"/>
      <c r="K62"/>
      <c r="L62"/>
    </row>
    <row r="63" spans="1:12" x14ac:dyDescent="0.25">
      <c r="A63"/>
      <c r="B63"/>
      <c r="C63"/>
      <c r="D63"/>
      <c r="E63"/>
      <c r="F63"/>
      <c r="G63"/>
      <c r="H63"/>
      <c r="I63"/>
      <c r="J63"/>
      <c r="K63"/>
      <c r="L63"/>
    </row>
    <row r="64" spans="1:12" x14ac:dyDescent="0.25">
      <c r="A64"/>
      <c r="B64"/>
      <c r="C64"/>
      <c r="D64"/>
      <c r="E64"/>
      <c r="F64"/>
      <c r="G64"/>
      <c r="H64"/>
      <c r="I64"/>
      <c r="J64"/>
      <c r="K64"/>
      <c r="L64"/>
    </row>
    <row r="65" spans="1:12" x14ac:dyDescent="0.25">
      <c r="A65"/>
      <c r="B65"/>
      <c r="C65"/>
      <c r="D65"/>
      <c r="E65"/>
      <c r="F65"/>
      <c r="G65"/>
      <c r="H65"/>
      <c r="I65"/>
      <c r="J65"/>
      <c r="K65"/>
      <c r="L65"/>
    </row>
  </sheetData>
  <sheetProtection algorithmName="SHA-512" hashValue="rY4bj3J/itPkG5FlVolIOJqTkmZDqAgdyZwl5gE90cVGWXi0j90BCFczieKpCgoXCGMCW1IahrtxbrKokRY/0A==" saltValue="bRDootOKE7z643aLWOtgbA==" spinCount="100000" sheet="1" objects="1" scenarios="1"/>
  <conditionalFormatting sqref="A6:A21">
    <cfRule type="expression" dxfId="292" priority="3" stopIfTrue="1">
      <formula>MOD(ROW(),2)=0</formula>
    </cfRule>
    <cfRule type="expression" dxfId="291" priority="4" stopIfTrue="1">
      <formula>MOD(ROW(),2)&lt;&gt;0</formula>
    </cfRule>
  </conditionalFormatting>
  <conditionalFormatting sqref="A26:A38">
    <cfRule type="expression" dxfId="290" priority="7" stopIfTrue="1">
      <formula>MOD(ROW(),2)=0</formula>
    </cfRule>
    <cfRule type="expression" dxfId="289" priority="8" stopIfTrue="1">
      <formula>MOD(ROW(),2)&lt;&gt;0</formula>
    </cfRule>
  </conditionalFormatting>
  <conditionalFormatting sqref="B6:L21 B26:L38">
    <cfRule type="expression" dxfId="288" priority="29" stopIfTrue="1">
      <formula>MOD(ROW(),2)=0</formula>
    </cfRule>
    <cfRule type="expression" dxfId="287" priority="30" stopIfTrue="1">
      <formula>MOD(ROW(),2)&lt;&gt;0</formula>
    </cfRule>
  </conditionalFormatting>
  <conditionalFormatting sqref="B12:L12">
    <cfRule type="expression" dxfId="286" priority="15" stopIfTrue="1">
      <formula>MOD(ROW(),2)=0</formula>
    </cfRule>
    <cfRule type="expression" dxfId="285" priority="16" stopIfTrue="1">
      <formula>MOD(ROW(),2)&lt;&gt;0</formula>
    </cfRule>
  </conditionalFormatting>
  <conditionalFormatting sqref="B17:L21">
    <cfRule type="expression" dxfId="284" priority="19" stopIfTrue="1">
      <formula>MOD(ROW(),2)=0</formula>
    </cfRule>
    <cfRule type="expression" dxfId="283" priority="2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98"/>
  <dimension ref="A1:I65"/>
  <sheetViews>
    <sheetView showGridLines="0" zoomScale="85" zoomScaleNormal="85" workbookViewId="0">
      <selection activeCell="A4" sqref="A4"/>
    </sheetView>
  </sheetViews>
  <sheetFormatPr defaultColWidth="10" defaultRowHeight="13.2" x14ac:dyDescent="0.25"/>
  <cols>
    <col min="1" max="1" width="31.88671875" style="27" customWidth="1"/>
    <col min="2" max="2" width="22.88671875" style="27" customWidth="1"/>
    <col min="3" max="3" width="28.4414062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Triv Comm - x-501</v>
      </c>
      <c r="B3" s="42"/>
      <c r="C3" s="42"/>
      <c r="D3" s="42"/>
      <c r="E3" s="42"/>
      <c r="F3" s="42"/>
      <c r="G3" s="42"/>
      <c r="H3" s="42"/>
      <c r="I3" s="42"/>
    </row>
    <row r="4" spans="1:9" x14ac:dyDescent="0.25">
      <c r="A4" s="44"/>
    </row>
    <row r="6" spans="1:9" x14ac:dyDescent="0.25">
      <c r="A6" s="75" t="s">
        <v>484</v>
      </c>
      <c r="B6" s="162" t="s">
        <v>485</v>
      </c>
      <c r="C6" s="162"/>
    </row>
    <row r="7" spans="1:9" x14ac:dyDescent="0.25">
      <c r="A7" s="76" t="s">
        <v>486</v>
      </c>
      <c r="B7" s="162" t="s">
        <v>81</v>
      </c>
      <c r="C7" s="162"/>
    </row>
    <row r="8" spans="1:9" x14ac:dyDescent="0.25">
      <c r="A8" s="76" t="s">
        <v>282</v>
      </c>
      <c r="B8" s="162" t="s">
        <v>397</v>
      </c>
      <c r="C8" s="162"/>
    </row>
    <row r="9" spans="1:9" x14ac:dyDescent="0.25">
      <c r="A9" s="76" t="s">
        <v>283</v>
      </c>
      <c r="B9" s="162" t="s">
        <v>398</v>
      </c>
      <c r="C9" s="162"/>
    </row>
    <row r="10" spans="1:9" x14ac:dyDescent="0.25">
      <c r="A10" s="76" t="s">
        <v>6</v>
      </c>
      <c r="B10" s="162" t="s">
        <v>399</v>
      </c>
      <c r="C10" s="162"/>
    </row>
    <row r="11" spans="1:9" x14ac:dyDescent="0.25">
      <c r="A11" s="76" t="s">
        <v>284</v>
      </c>
      <c r="B11" s="162" t="s">
        <v>349</v>
      </c>
      <c r="C11" s="162"/>
    </row>
    <row r="12" spans="1:9" x14ac:dyDescent="0.25">
      <c r="A12" s="76" t="s">
        <v>285</v>
      </c>
      <c r="B12" s="162" t="s">
        <v>400</v>
      </c>
      <c r="C12" s="162"/>
    </row>
    <row r="13" spans="1:9" hidden="1" x14ac:dyDescent="0.25">
      <c r="A13" s="76" t="s">
        <v>493</v>
      </c>
      <c r="B13" s="162">
        <v>1</v>
      </c>
      <c r="C13" s="162"/>
    </row>
    <row r="14" spans="1:9" hidden="1" x14ac:dyDescent="0.25">
      <c r="A14" s="76" t="s">
        <v>287</v>
      </c>
      <c r="B14" s="162">
        <v>501</v>
      </c>
      <c r="C14" s="162"/>
    </row>
    <row r="15" spans="1:9" x14ac:dyDescent="0.25">
      <c r="A15" s="76" t="s">
        <v>496</v>
      </c>
      <c r="B15" s="162" t="s">
        <v>401</v>
      </c>
      <c r="C15" s="162"/>
    </row>
    <row r="16" spans="1:9" x14ac:dyDescent="0.25">
      <c r="A16" s="76" t="s">
        <v>288</v>
      </c>
      <c r="B16" s="162" t="s">
        <v>402</v>
      </c>
      <c r="C16" s="162"/>
    </row>
    <row r="17" spans="1:4" x14ac:dyDescent="0.25">
      <c r="A17" s="76" t="s">
        <v>568</v>
      </c>
      <c r="B17" s="162"/>
      <c r="C17" s="162"/>
    </row>
    <row r="18" spans="1:4" x14ac:dyDescent="0.25">
      <c r="A18" s="76" t="s">
        <v>500</v>
      </c>
      <c r="B18" s="164">
        <v>45135</v>
      </c>
      <c r="C18" s="162"/>
    </row>
    <row r="19" spans="1:4" x14ac:dyDescent="0.25">
      <c r="A19" s="76" t="s">
        <v>290</v>
      </c>
      <c r="B19" s="164">
        <v>45135</v>
      </c>
      <c r="C19" s="162"/>
    </row>
    <row r="20" spans="1:4" x14ac:dyDescent="0.25">
      <c r="A20" s="76" t="s">
        <v>291</v>
      </c>
      <c r="B20" s="162" t="s">
        <v>298</v>
      </c>
      <c r="C20" s="162"/>
    </row>
    <row r="21" spans="1:4" x14ac:dyDescent="0.25">
      <c r="A21" s="150" t="s">
        <v>569</v>
      </c>
      <c r="B21" s="162" t="s">
        <v>297</v>
      </c>
      <c r="C21" s="162"/>
    </row>
    <row r="23" spans="1:4" x14ac:dyDescent="0.25">
      <c r="B23" s="91" t="str">
        <f>HYPERLINK("#'Factor List'!A1","Back to Factor List")</f>
        <v>Back to Factor List</v>
      </c>
    </row>
    <row r="24" spans="1:4" x14ac:dyDescent="0.25">
      <c r="B24" s="91" t="str">
        <f>HYPERLINK("#'Assumptions'!A1","Assumptions")</f>
        <v>Assumptions</v>
      </c>
    </row>
    <row r="26" spans="1:4" ht="39.6" x14ac:dyDescent="0.25">
      <c r="A26" s="87" t="s">
        <v>570</v>
      </c>
      <c r="B26" s="87" t="s">
        <v>619</v>
      </c>
      <c r="C26" s="87" t="s">
        <v>620</v>
      </c>
    </row>
    <row r="27" spans="1:4" x14ac:dyDescent="0.25">
      <c r="A27" s="88">
        <v>60</v>
      </c>
      <c r="B27" s="90">
        <v>19.577000000000002</v>
      </c>
      <c r="C27" s="90">
        <v>3.8730000000000002</v>
      </c>
      <c r="D27" s="84"/>
    </row>
    <row r="28" spans="1:4" x14ac:dyDescent="0.25">
      <c r="A28" s="88">
        <v>61</v>
      </c>
      <c r="B28" s="90">
        <v>18.957999999999998</v>
      </c>
      <c r="C28" s="90">
        <v>3.8860000000000001</v>
      </c>
    </row>
    <row r="29" spans="1:4" x14ac:dyDescent="0.25">
      <c r="A29" s="88">
        <v>62</v>
      </c>
      <c r="B29" s="90">
        <v>18.335000000000001</v>
      </c>
      <c r="C29" s="90">
        <v>3.8959999999999999</v>
      </c>
    </row>
    <row r="30" spans="1:4" x14ac:dyDescent="0.25">
      <c r="A30" s="88">
        <v>63</v>
      </c>
      <c r="B30" s="90">
        <v>17.709</v>
      </c>
      <c r="C30" s="90">
        <v>3.9020000000000001</v>
      </c>
    </row>
    <row r="31" spans="1:4" x14ac:dyDescent="0.25">
      <c r="A31" s="88">
        <v>64</v>
      </c>
      <c r="B31" s="90">
        <v>17.082000000000001</v>
      </c>
      <c r="C31" s="90">
        <v>3.9039999999999999</v>
      </c>
    </row>
    <row r="32" spans="1:4" x14ac:dyDescent="0.25">
      <c r="A32" s="88">
        <v>65</v>
      </c>
      <c r="B32" s="90">
        <v>16.454000000000001</v>
      </c>
      <c r="C32" s="90">
        <v>3.9009999999999998</v>
      </c>
    </row>
    <row r="33" spans="1:3" x14ac:dyDescent="0.25">
      <c r="A33" s="88">
        <v>66</v>
      </c>
      <c r="B33" s="90">
        <v>15.824999999999999</v>
      </c>
      <c r="C33" s="90">
        <v>3.8940000000000001</v>
      </c>
    </row>
    <row r="34" spans="1:3" x14ac:dyDescent="0.25">
      <c r="A34" s="88">
        <v>67</v>
      </c>
      <c r="B34" s="90">
        <v>15.196999999999999</v>
      </c>
      <c r="C34" s="90">
        <v>3.883</v>
      </c>
    </row>
    <row r="35" spans="1:3" x14ac:dyDescent="0.25">
      <c r="A35" s="88">
        <v>68</v>
      </c>
      <c r="B35" s="90">
        <v>14.569000000000001</v>
      </c>
      <c r="C35" s="90">
        <v>3.867</v>
      </c>
    </row>
    <row r="36" spans="1:3" x14ac:dyDescent="0.25">
      <c r="A36" s="88">
        <v>69</v>
      </c>
      <c r="B36" s="90">
        <v>13.943</v>
      </c>
      <c r="C36" s="90">
        <v>3.8460000000000001</v>
      </c>
    </row>
    <row r="37" spans="1:3" x14ac:dyDescent="0.25">
      <c r="A37" s="88">
        <v>70</v>
      </c>
      <c r="B37" s="90">
        <v>13.317</v>
      </c>
      <c r="C37" s="90">
        <v>3.82</v>
      </c>
    </row>
    <row r="38" spans="1:3" x14ac:dyDescent="0.25">
      <c r="A38" s="88">
        <v>71</v>
      </c>
      <c r="B38" s="90">
        <v>12.696</v>
      </c>
      <c r="C38" s="90">
        <v>3.7890000000000001</v>
      </c>
    </row>
    <row r="39" spans="1:3" x14ac:dyDescent="0.25">
      <c r="A39" s="88">
        <v>72</v>
      </c>
      <c r="B39" s="90">
        <v>12.079000000000001</v>
      </c>
      <c r="C39" s="90">
        <v>3.7519999999999998</v>
      </c>
    </row>
    <row r="40" spans="1:3" x14ac:dyDescent="0.25">
      <c r="A40" s="88">
        <v>73</v>
      </c>
      <c r="B40" s="90">
        <v>11.468</v>
      </c>
      <c r="C40" s="90">
        <v>3.7069999999999999</v>
      </c>
    </row>
    <row r="41" spans="1:3" x14ac:dyDescent="0.25">
      <c r="A41" s="88">
        <v>74</v>
      </c>
      <c r="B41" s="90">
        <v>10.864000000000001</v>
      </c>
      <c r="C41" s="90">
        <v>3.5609999999999999</v>
      </c>
    </row>
    <row r="42" spans="1:3" x14ac:dyDescent="0.25">
      <c r="A42"/>
      <c r="B42"/>
    </row>
    <row r="43" spans="1:3" x14ac:dyDescent="0.25">
      <c r="A43"/>
      <c r="B43"/>
    </row>
    <row r="44" spans="1:3" ht="39.6" customHeight="1" x14ac:dyDescent="0.25">
      <c r="A44"/>
      <c r="B44"/>
    </row>
    <row r="45" spans="1:3" x14ac:dyDescent="0.25">
      <c r="A45"/>
      <c r="B45"/>
    </row>
    <row r="46" spans="1:3" ht="27.6" customHeight="1"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SwKDULrRnVj0SNnRg9cWQ6NqpUOZPVLHfAZUOD1o2YSBBxKGPY2fbmxo7WzwldKZdPpq2rBIQgZtQ02IY/bUvA==" saltValue="90fz9rR5rPc/pet/YtEocQ==" spinCount="100000" sheet="1" objects="1" scenarios="1"/>
  <conditionalFormatting sqref="A6:A21">
    <cfRule type="expression" dxfId="282" priority="3" stopIfTrue="1">
      <formula>MOD(ROW(),2)=0</formula>
    </cfRule>
    <cfRule type="expression" dxfId="281" priority="4" stopIfTrue="1">
      <formula>MOD(ROW(),2)&lt;&gt;0</formula>
    </cfRule>
  </conditionalFormatting>
  <conditionalFormatting sqref="A26:A41">
    <cfRule type="expression" dxfId="280" priority="7" stopIfTrue="1">
      <formula>MOD(ROW(),2)=0</formula>
    </cfRule>
    <cfRule type="expression" dxfId="279" priority="8" stopIfTrue="1">
      <formula>MOD(ROW(),2)&lt;&gt;0</formula>
    </cfRule>
  </conditionalFormatting>
  <conditionalFormatting sqref="B17:B21">
    <cfRule type="expression" dxfId="278" priority="15" stopIfTrue="1">
      <formula>MOD(ROW(),2)=0</formula>
    </cfRule>
    <cfRule type="expression" dxfId="277" priority="16" stopIfTrue="1">
      <formula>MOD(ROW(),2)&lt;&gt;0</formula>
    </cfRule>
  </conditionalFormatting>
  <conditionalFormatting sqref="B6:C21">
    <cfRule type="expression" dxfId="276" priority="23" stopIfTrue="1">
      <formula>MOD(ROW(),2)=0</formula>
    </cfRule>
    <cfRule type="expression" dxfId="275" priority="24" stopIfTrue="1">
      <formula>MOD(ROW(),2)&lt;&gt;0</formula>
    </cfRule>
  </conditionalFormatting>
  <conditionalFormatting sqref="B26:C41">
    <cfRule type="expression" dxfId="274" priority="9" stopIfTrue="1">
      <formula>MOD(ROW(),2)=0</formula>
    </cfRule>
    <cfRule type="expression" dxfId="273"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99"/>
  <dimension ref="A1:I101"/>
  <sheetViews>
    <sheetView showGridLines="0" zoomScale="85" zoomScaleNormal="85" workbookViewId="0">
      <selection activeCell="A4" sqref="A4"/>
    </sheetView>
  </sheetViews>
  <sheetFormatPr defaultColWidth="10" defaultRowHeight="13.2" x14ac:dyDescent="0.25"/>
  <cols>
    <col min="1" max="1" width="31.88671875" style="27" customWidth="1"/>
    <col min="2" max="2" width="51.88671875" style="27" customWidth="1"/>
    <col min="3" max="3" width="10.1093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Triv Comm - x-502</v>
      </c>
      <c r="B3" s="42"/>
      <c r="C3" s="42"/>
      <c r="D3" s="42"/>
      <c r="E3" s="42"/>
      <c r="F3" s="42"/>
      <c r="G3" s="42"/>
      <c r="H3" s="42"/>
      <c r="I3" s="42"/>
    </row>
    <row r="4" spans="1:9" x14ac:dyDescent="0.25">
      <c r="A4" s="44"/>
    </row>
    <row r="6" spans="1:9" x14ac:dyDescent="0.25">
      <c r="A6" s="75" t="s">
        <v>484</v>
      </c>
      <c r="B6" s="162" t="s">
        <v>485</v>
      </c>
    </row>
    <row r="7" spans="1:9" x14ac:dyDescent="0.25">
      <c r="A7" s="76" t="s">
        <v>486</v>
      </c>
      <c r="B7" s="162" t="s">
        <v>81</v>
      </c>
    </row>
    <row r="8" spans="1:9" x14ac:dyDescent="0.25">
      <c r="A8" s="76" t="s">
        <v>282</v>
      </c>
      <c r="B8" s="162" t="s">
        <v>397</v>
      </c>
    </row>
    <row r="9" spans="1:9" x14ac:dyDescent="0.25">
      <c r="A9" s="76" t="s">
        <v>283</v>
      </c>
      <c r="B9" s="162" t="s">
        <v>398</v>
      </c>
    </row>
    <row r="10" spans="1:9" x14ac:dyDescent="0.25">
      <c r="A10" s="76" t="s">
        <v>6</v>
      </c>
      <c r="B10" s="162" t="s">
        <v>403</v>
      </c>
    </row>
    <row r="11" spans="1:9" x14ac:dyDescent="0.25">
      <c r="A11" s="76" t="s">
        <v>284</v>
      </c>
      <c r="B11" s="162" t="s">
        <v>349</v>
      </c>
    </row>
    <row r="12" spans="1:9" x14ac:dyDescent="0.25">
      <c r="A12" s="76" t="s">
        <v>285</v>
      </c>
      <c r="B12" s="162" t="s">
        <v>400</v>
      </c>
    </row>
    <row r="13" spans="1:9" hidden="1" x14ac:dyDescent="0.25">
      <c r="A13" s="76" t="s">
        <v>493</v>
      </c>
      <c r="B13" s="162">
        <v>1</v>
      </c>
    </row>
    <row r="14" spans="1:9" hidden="1" x14ac:dyDescent="0.25">
      <c r="A14" s="76" t="s">
        <v>287</v>
      </c>
      <c r="B14" s="162">
        <v>502</v>
      </c>
    </row>
    <row r="15" spans="1:9" x14ac:dyDescent="0.25">
      <c r="A15" s="76" t="s">
        <v>496</v>
      </c>
      <c r="B15" s="162" t="s">
        <v>404</v>
      </c>
    </row>
    <row r="16" spans="1:9" x14ac:dyDescent="0.25">
      <c r="A16" s="76" t="s">
        <v>288</v>
      </c>
      <c r="B16" s="162" t="s">
        <v>405</v>
      </c>
    </row>
    <row r="17" spans="1:2" x14ac:dyDescent="0.25">
      <c r="A17" s="76" t="s">
        <v>568</v>
      </c>
      <c r="B17" s="162"/>
    </row>
    <row r="18" spans="1:2" x14ac:dyDescent="0.25">
      <c r="A18" s="76" t="s">
        <v>500</v>
      </c>
      <c r="B18" s="164">
        <v>45135</v>
      </c>
    </row>
    <row r="19" spans="1:2" x14ac:dyDescent="0.25">
      <c r="A19" s="76" t="s">
        <v>290</v>
      </c>
      <c r="B19" s="164">
        <v>45135</v>
      </c>
    </row>
    <row r="20" spans="1:2" x14ac:dyDescent="0.25">
      <c r="A20" s="76" t="s">
        <v>291</v>
      </c>
      <c r="B20" s="162" t="s">
        <v>298</v>
      </c>
    </row>
    <row r="21" spans="1:2" x14ac:dyDescent="0.25">
      <c r="A21" s="150" t="s">
        <v>569</v>
      </c>
      <c r="B21" s="162" t="s">
        <v>297</v>
      </c>
    </row>
    <row r="23" spans="1:2" x14ac:dyDescent="0.25">
      <c r="B23" s="91" t="str">
        <f>HYPERLINK("#'Factor List'!A1","Back to Factor List")</f>
        <v>Back to Factor List</v>
      </c>
    </row>
    <row r="24" spans="1:2" x14ac:dyDescent="0.25">
      <c r="B24" s="91" t="str">
        <f>HYPERLINK("#'Assumptions'!A1","Assumptions")</f>
        <v>Assumptions</v>
      </c>
    </row>
    <row r="26" spans="1:2" x14ac:dyDescent="0.25">
      <c r="A26" s="87" t="s">
        <v>570</v>
      </c>
      <c r="B26" s="87" t="s">
        <v>621</v>
      </c>
    </row>
    <row r="27" spans="1:2" x14ac:dyDescent="0.25">
      <c r="A27" s="88">
        <v>25</v>
      </c>
      <c r="B27" s="90">
        <v>37.994999999999997</v>
      </c>
    </row>
    <row r="28" spans="1:2" x14ac:dyDescent="0.25">
      <c r="A28" s="88">
        <v>26</v>
      </c>
      <c r="B28" s="90">
        <v>37.603000000000002</v>
      </c>
    </row>
    <row r="29" spans="1:2" x14ac:dyDescent="0.25">
      <c r="A29" s="88">
        <v>27</v>
      </c>
      <c r="B29" s="90">
        <v>37.204999999999998</v>
      </c>
    </row>
    <row r="30" spans="1:2" x14ac:dyDescent="0.25">
      <c r="A30" s="88">
        <v>28</v>
      </c>
      <c r="B30" s="90">
        <v>36.801000000000002</v>
      </c>
    </row>
    <row r="31" spans="1:2" x14ac:dyDescent="0.25">
      <c r="A31" s="88">
        <v>29</v>
      </c>
      <c r="B31" s="90">
        <v>36.39</v>
      </c>
    </row>
    <row r="32" spans="1:2" x14ac:dyDescent="0.25">
      <c r="A32" s="88">
        <v>30</v>
      </c>
      <c r="B32" s="90">
        <v>35.972000000000001</v>
      </c>
    </row>
    <row r="33" spans="1:2" x14ac:dyDescent="0.25">
      <c r="A33" s="88">
        <v>31</v>
      </c>
      <c r="B33" s="90">
        <v>35.548000000000002</v>
      </c>
    </row>
    <row r="34" spans="1:2" x14ac:dyDescent="0.25">
      <c r="A34" s="88">
        <v>32</v>
      </c>
      <c r="B34" s="90">
        <v>35.116999999999997</v>
      </c>
    </row>
    <row r="35" spans="1:2" x14ac:dyDescent="0.25">
      <c r="A35" s="88">
        <v>33</v>
      </c>
      <c r="B35" s="90">
        <v>34.68</v>
      </c>
    </row>
    <row r="36" spans="1:2" x14ac:dyDescent="0.25">
      <c r="A36" s="88">
        <v>34</v>
      </c>
      <c r="B36" s="90">
        <v>34.235999999999997</v>
      </c>
    </row>
    <row r="37" spans="1:2" x14ac:dyDescent="0.25">
      <c r="A37" s="88">
        <v>35</v>
      </c>
      <c r="B37" s="90">
        <v>33.786000000000001</v>
      </c>
    </row>
    <row r="38" spans="1:2" x14ac:dyDescent="0.25">
      <c r="A38" s="88">
        <v>36</v>
      </c>
      <c r="B38" s="90">
        <v>33.33</v>
      </c>
    </row>
    <row r="39" spans="1:2" x14ac:dyDescent="0.25">
      <c r="A39" s="88">
        <v>37</v>
      </c>
      <c r="B39" s="90">
        <v>32.866999999999997</v>
      </c>
    </row>
    <row r="40" spans="1:2" x14ac:dyDescent="0.25">
      <c r="A40" s="88">
        <v>38</v>
      </c>
      <c r="B40" s="90">
        <v>32.398000000000003</v>
      </c>
    </row>
    <row r="41" spans="1:2" x14ac:dyDescent="0.25">
      <c r="A41" s="88">
        <v>39</v>
      </c>
      <c r="B41" s="90">
        <v>31.922999999999998</v>
      </c>
    </row>
    <row r="42" spans="1:2" x14ac:dyDescent="0.25">
      <c r="A42" s="88">
        <v>40</v>
      </c>
      <c r="B42" s="90">
        <v>31.440999999999999</v>
      </c>
    </row>
    <row r="43" spans="1:2" x14ac:dyDescent="0.25">
      <c r="A43" s="88">
        <v>41</v>
      </c>
      <c r="B43" s="90">
        <v>30.954000000000001</v>
      </c>
    </row>
    <row r="44" spans="1:2" x14ac:dyDescent="0.25">
      <c r="A44" s="88">
        <v>42</v>
      </c>
      <c r="B44" s="90">
        <v>30.460999999999999</v>
      </c>
    </row>
    <row r="45" spans="1:2" x14ac:dyDescent="0.25">
      <c r="A45" s="88">
        <v>43</v>
      </c>
      <c r="B45" s="90">
        <v>29.962</v>
      </c>
    </row>
    <row r="46" spans="1:2" x14ac:dyDescent="0.25">
      <c r="A46" s="88">
        <v>44</v>
      </c>
      <c r="B46" s="90">
        <v>29.457999999999998</v>
      </c>
    </row>
    <row r="47" spans="1:2" x14ac:dyDescent="0.25">
      <c r="A47" s="88">
        <v>45</v>
      </c>
      <c r="B47" s="90">
        <v>28.95</v>
      </c>
    </row>
    <row r="48" spans="1:2" x14ac:dyDescent="0.25">
      <c r="A48" s="88">
        <v>46</v>
      </c>
      <c r="B48" s="90">
        <v>28.437999999999999</v>
      </c>
    </row>
    <row r="49" spans="1:2" x14ac:dyDescent="0.25">
      <c r="A49" s="88">
        <v>47</v>
      </c>
      <c r="B49" s="90">
        <v>27.922000000000001</v>
      </c>
    </row>
    <row r="50" spans="1:2" x14ac:dyDescent="0.25">
      <c r="A50" s="88">
        <v>48</v>
      </c>
      <c r="B50" s="90">
        <v>27.401</v>
      </c>
    </row>
    <row r="51" spans="1:2" x14ac:dyDescent="0.25">
      <c r="A51" s="88">
        <v>49</v>
      </c>
      <c r="B51" s="90">
        <v>26.873999999999999</v>
      </c>
    </row>
    <row r="52" spans="1:2" x14ac:dyDescent="0.25">
      <c r="A52" s="88">
        <v>50</v>
      </c>
      <c r="B52" s="90">
        <v>26.343</v>
      </c>
    </row>
    <row r="53" spans="1:2" x14ac:dyDescent="0.25">
      <c r="A53" s="88">
        <v>51</v>
      </c>
      <c r="B53" s="90">
        <v>25.805</v>
      </c>
    </row>
    <row r="54" spans="1:2" x14ac:dyDescent="0.25">
      <c r="A54" s="88">
        <v>52</v>
      </c>
      <c r="B54" s="90">
        <v>25.262</v>
      </c>
    </row>
    <row r="55" spans="1:2" x14ac:dyDescent="0.25">
      <c r="A55" s="88">
        <v>53</v>
      </c>
      <c r="B55" s="90">
        <v>24.713999999999999</v>
      </c>
    </row>
    <row r="56" spans="1:2" x14ac:dyDescent="0.25">
      <c r="A56" s="88">
        <v>54</v>
      </c>
      <c r="B56" s="90">
        <v>24.158999999999999</v>
      </c>
    </row>
    <row r="57" spans="1:2" x14ac:dyDescent="0.25">
      <c r="A57" s="88">
        <v>55</v>
      </c>
      <c r="B57" s="90">
        <v>23.599</v>
      </c>
    </row>
    <row r="58" spans="1:2" x14ac:dyDescent="0.25">
      <c r="A58" s="88">
        <v>56</v>
      </c>
      <c r="B58" s="90">
        <v>23.033000000000001</v>
      </c>
    </row>
    <row r="59" spans="1:2" x14ac:dyDescent="0.25">
      <c r="A59" s="88">
        <v>57</v>
      </c>
      <c r="B59" s="90">
        <v>22.460999999999999</v>
      </c>
    </row>
    <row r="60" spans="1:2" x14ac:dyDescent="0.25">
      <c r="A60" s="88">
        <v>58</v>
      </c>
      <c r="B60" s="90">
        <v>21.884</v>
      </c>
    </row>
    <row r="61" spans="1:2" x14ac:dyDescent="0.25">
      <c r="A61" s="88">
        <v>59</v>
      </c>
      <c r="B61" s="90">
        <v>21.302</v>
      </c>
    </row>
    <row r="62" spans="1:2" x14ac:dyDescent="0.25">
      <c r="A62" s="88">
        <v>60</v>
      </c>
      <c r="B62" s="90">
        <v>20.715</v>
      </c>
    </row>
    <row r="63" spans="1:2" x14ac:dyDescent="0.25">
      <c r="A63" s="88">
        <v>61</v>
      </c>
      <c r="B63" s="90">
        <v>20.123000000000001</v>
      </c>
    </row>
    <row r="64" spans="1:2" x14ac:dyDescent="0.25">
      <c r="A64" s="88">
        <v>62</v>
      </c>
      <c r="B64" s="90">
        <v>19.527000000000001</v>
      </c>
    </row>
    <row r="65" spans="1:2" x14ac:dyDescent="0.25">
      <c r="A65" s="88">
        <v>63</v>
      </c>
      <c r="B65" s="90">
        <v>18.925999999999998</v>
      </c>
    </row>
    <row r="66" spans="1:2" x14ac:dyDescent="0.25">
      <c r="A66" s="88">
        <v>64</v>
      </c>
      <c r="B66" s="90">
        <v>18.321999999999999</v>
      </c>
    </row>
    <row r="67" spans="1:2" x14ac:dyDescent="0.25">
      <c r="A67" s="88">
        <v>65</v>
      </c>
      <c r="B67" s="90">
        <v>17.715</v>
      </c>
    </row>
    <row r="68" spans="1:2" x14ac:dyDescent="0.25">
      <c r="A68" s="88">
        <v>66</v>
      </c>
      <c r="B68" s="90">
        <v>17.105</v>
      </c>
    </row>
    <row r="69" spans="1:2" x14ac:dyDescent="0.25">
      <c r="A69" s="88">
        <v>67</v>
      </c>
      <c r="B69" s="90">
        <v>16.492000000000001</v>
      </c>
    </row>
    <row r="70" spans="1:2" x14ac:dyDescent="0.25">
      <c r="A70" s="88">
        <v>68</v>
      </c>
      <c r="B70" s="90">
        <v>15.877000000000001</v>
      </c>
    </row>
    <row r="71" spans="1:2" x14ac:dyDescent="0.25">
      <c r="A71" s="88">
        <v>69</v>
      </c>
      <c r="B71" s="90">
        <v>15.259</v>
      </c>
    </row>
    <row r="72" spans="1:2" x14ac:dyDescent="0.25">
      <c r="A72" s="88">
        <v>70</v>
      </c>
      <c r="B72" s="90">
        <v>14.638</v>
      </c>
    </row>
    <row r="73" spans="1:2" x14ac:dyDescent="0.25">
      <c r="A73" s="88">
        <v>71</v>
      </c>
      <c r="B73" s="90">
        <v>14.016</v>
      </c>
    </row>
    <row r="74" spans="1:2" x14ac:dyDescent="0.25">
      <c r="A74" s="88">
        <v>72</v>
      </c>
      <c r="B74" s="90">
        <v>13.398999999999999</v>
      </c>
    </row>
    <row r="75" spans="1:2" x14ac:dyDescent="0.25">
      <c r="A75" s="88">
        <v>73</v>
      </c>
      <c r="B75" s="90">
        <v>12.784000000000001</v>
      </c>
    </row>
    <row r="76" spans="1:2" x14ac:dyDescent="0.25">
      <c r="A76" s="88">
        <v>74</v>
      </c>
      <c r="B76" s="90">
        <v>12.170999999999999</v>
      </c>
    </row>
    <row r="77" spans="1:2" x14ac:dyDescent="0.25">
      <c r="A77" s="88">
        <v>75</v>
      </c>
      <c r="B77" s="90">
        <v>11.561999999999999</v>
      </c>
    </row>
    <row r="78" spans="1:2" x14ac:dyDescent="0.25">
      <c r="A78" s="88">
        <v>76</v>
      </c>
      <c r="B78" s="90">
        <v>10.958</v>
      </c>
    </row>
    <row r="79" spans="1:2" x14ac:dyDescent="0.25">
      <c r="A79" s="88">
        <v>77</v>
      </c>
      <c r="B79" s="90">
        <v>10.362</v>
      </c>
    </row>
    <row r="80" spans="1:2" x14ac:dyDescent="0.25">
      <c r="A80" s="88">
        <v>78</v>
      </c>
      <c r="B80" s="90">
        <v>9.7739999999999991</v>
      </c>
    </row>
    <row r="81" spans="1:2" x14ac:dyDescent="0.25">
      <c r="A81" s="88">
        <v>79</v>
      </c>
      <c r="B81" s="90">
        <v>9.1969999999999992</v>
      </c>
    </row>
    <row r="82" spans="1:2" x14ac:dyDescent="0.25">
      <c r="A82" s="88">
        <v>80</v>
      </c>
      <c r="B82" s="90">
        <v>8.6319999999999997</v>
      </c>
    </row>
    <row r="83" spans="1:2" x14ac:dyDescent="0.25">
      <c r="A83" s="88">
        <v>81</v>
      </c>
      <c r="B83" s="90">
        <v>8.08</v>
      </c>
    </row>
    <row r="84" spans="1:2" x14ac:dyDescent="0.25">
      <c r="A84" s="88">
        <v>82</v>
      </c>
      <c r="B84" s="90">
        <v>7.5439999999999996</v>
      </c>
    </row>
    <row r="85" spans="1:2" x14ac:dyDescent="0.25">
      <c r="A85" s="88">
        <v>83</v>
      </c>
      <c r="B85" s="90">
        <v>7.0229999999999997</v>
      </c>
    </row>
    <row r="86" spans="1:2" x14ac:dyDescent="0.25">
      <c r="A86" s="88">
        <v>84</v>
      </c>
      <c r="B86" s="90">
        <v>6.5190000000000001</v>
      </c>
    </row>
    <row r="87" spans="1:2" x14ac:dyDescent="0.25">
      <c r="A87" s="88">
        <v>85</v>
      </c>
      <c r="B87" s="90">
        <v>6.0330000000000004</v>
      </c>
    </row>
    <row r="88" spans="1:2" x14ac:dyDescent="0.25">
      <c r="A88" s="88">
        <v>86</v>
      </c>
      <c r="B88" s="90">
        <v>5.5720000000000001</v>
      </c>
    </row>
    <row r="89" spans="1:2" x14ac:dyDescent="0.25">
      <c r="A89" s="88">
        <v>87</v>
      </c>
      <c r="B89" s="90">
        <v>5.1379999999999999</v>
      </c>
    </row>
    <row r="90" spans="1:2" x14ac:dyDescent="0.25">
      <c r="A90" s="88">
        <v>88</v>
      </c>
      <c r="B90" s="90">
        <v>4.7309999999999999</v>
      </c>
    </row>
    <row r="91" spans="1:2" x14ac:dyDescent="0.25">
      <c r="A91" s="88">
        <v>89</v>
      </c>
      <c r="B91" s="90">
        <v>4.3499999999999996</v>
      </c>
    </row>
    <row r="92" spans="1:2" x14ac:dyDescent="0.25">
      <c r="A92" s="88">
        <v>90</v>
      </c>
      <c r="B92" s="90">
        <v>3.996</v>
      </c>
    </row>
    <row r="93" spans="1:2" x14ac:dyDescent="0.25">
      <c r="A93" s="88">
        <v>91</v>
      </c>
      <c r="B93" s="90">
        <v>3.669</v>
      </c>
    </row>
    <row r="94" spans="1:2" x14ac:dyDescent="0.25">
      <c r="A94" s="88">
        <v>92</v>
      </c>
      <c r="B94" s="90">
        <v>3.37</v>
      </c>
    </row>
    <row r="95" spans="1:2" x14ac:dyDescent="0.25">
      <c r="A95" s="88">
        <v>93</v>
      </c>
      <c r="B95" s="90">
        <v>3.0979999999999999</v>
      </c>
    </row>
    <row r="96" spans="1:2" x14ac:dyDescent="0.25">
      <c r="A96" s="88">
        <v>94</v>
      </c>
      <c r="B96" s="90">
        <v>2.85</v>
      </c>
    </row>
    <row r="97" spans="1:2" x14ac:dyDescent="0.25">
      <c r="A97" s="88">
        <v>95</v>
      </c>
      <c r="B97" s="90">
        <v>2.6259999999999999</v>
      </c>
    </row>
    <row r="98" spans="1:2" x14ac:dyDescent="0.25">
      <c r="A98" s="88">
        <v>96</v>
      </c>
      <c r="B98" s="90">
        <v>2.427</v>
      </c>
    </row>
    <row r="99" spans="1:2" x14ac:dyDescent="0.25">
      <c r="A99" s="88">
        <v>97</v>
      </c>
      <c r="B99" s="90">
        <v>2.2490000000000001</v>
      </c>
    </row>
    <row r="100" spans="1:2" x14ac:dyDescent="0.25">
      <c r="A100" s="88">
        <v>98</v>
      </c>
      <c r="B100" s="90">
        <v>2.0950000000000002</v>
      </c>
    </row>
    <row r="101" spans="1:2" x14ac:dyDescent="0.25">
      <c r="A101" s="88">
        <v>99</v>
      </c>
      <c r="B101" s="90">
        <v>1.9730000000000001</v>
      </c>
    </row>
  </sheetData>
  <sheetProtection algorithmName="SHA-512" hashValue="zYZ3JhoAqRXGKU5ofU5yMBP0ADEB4/bH0TwR8fEGP0LfpYRPH7KeLcV2loUXwh1o274fKOdXC4mHCa49N2jUzQ==" saltValue="tKvpBxaAlkepw+p/r1xcNg==" spinCount="100000" sheet="1" objects="1" scenarios="1"/>
  <conditionalFormatting sqref="A6:A21">
    <cfRule type="expression" dxfId="272" priority="3" stopIfTrue="1">
      <formula>MOD(ROW(),2)=0</formula>
    </cfRule>
    <cfRule type="expression" dxfId="271" priority="4" stopIfTrue="1">
      <formula>MOD(ROW(),2)&lt;&gt;0</formula>
    </cfRule>
  </conditionalFormatting>
  <conditionalFormatting sqref="A26:A101">
    <cfRule type="expression" dxfId="270" priority="7" stopIfTrue="1">
      <formula>MOD(ROW(),2)=0</formula>
    </cfRule>
    <cfRule type="expression" dxfId="269" priority="8" stopIfTrue="1">
      <formula>MOD(ROW(),2)&lt;&gt;0</formula>
    </cfRule>
  </conditionalFormatting>
  <conditionalFormatting sqref="B6:B21">
    <cfRule type="expression" dxfId="268" priority="21" stopIfTrue="1">
      <formula>MOD(ROW(),2)=0</formula>
    </cfRule>
    <cfRule type="expression" dxfId="267" priority="22" stopIfTrue="1">
      <formula>MOD(ROW(),2)&lt;&gt;0</formula>
    </cfRule>
  </conditionalFormatting>
  <conditionalFormatting sqref="B17:B21">
    <cfRule type="expression" dxfId="266" priority="13" stopIfTrue="1">
      <formula>MOD(ROW(),2)=0</formula>
    </cfRule>
    <cfRule type="expression" dxfId="265" priority="14" stopIfTrue="1">
      <formula>MOD(ROW(),2)&lt;&gt;0</formula>
    </cfRule>
  </conditionalFormatting>
  <conditionalFormatting sqref="B26:B101">
    <cfRule type="expression" dxfId="264" priority="9" stopIfTrue="1">
      <formula>MOD(ROW(),2)=0</formula>
    </cfRule>
    <cfRule type="expression" dxfId="263"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100"/>
  <dimension ref="A1:I65"/>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Triv Comm - x-503</v>
      </c>
      <c r="B3" s="42"/>
      <c r="C3" s="42"/>
      <c r="D3" s="42"/>
      <c r="E3" s="42"/>
      <c r="F3" s="42"/>
      <c r="G3" s="42"/>
      <c r="H3" s="42"/>
      <c r="I3" s="42"/>
    </row>
    <row r="4" spans="1:9" x14ac:dyDescent="0.25">
      <c r="A4" s="44"/>
    </row>
    <row r="6" spans="1:9" x14ac:dyDescent="0.25">
      <c r="A6" s="75" t="s">
        <v>484</v>
      </c>
      <c r="B6" s="162" t="s">
        <v>485</v>
      </c>
      <c r="C6" s="162"/>
    </row>
    <row r="7" spans="1:9" x14ac:dyDescent="0.25">
      <c r="A7" s="76" t="s">
        <v>486</v>
      </c>
      <c r="B7" s="162" t="s">
        <v>81</v>
      </c>
      <c r="C7" s="162"/>
    </row>
    <row r="8" spans="1:9" x14ac:dyDescent="0.25">
      <c r="A8" s="76" t="s">
        <v>282</v>
      </c>
      <c r="B8" s="162">
        <v>2015</v>
      </c>
      <c r="C8" s="162"/>
    </row>
    <row r="9" spans="1:9" x14ac:dyDescent="0.25">
      <c r="A9" s="76" t="s">
        <v>283</v>
      </c>
      <c r="B9" s="162" t="s">
        <v>398</v>
      </c>
      <c r="C9" s="162"/>
    </row>
    <row r="10" spans="1:9" x14ac:dyDescent="0.25">
      <c r="A10" s="76" t="s">
        <v>6</v>
      </c>
      <c r="B10" s="162" t="s">
        <v>406</v>
      </c>
      <c r="C10" s="162"/>
    </row>
    <row r="11" spans="1:9" x14ac:dyDescent="0.25">
      <c r="A11" s="76" t="s">
        <v>284</v>
      </c>
      <c r="B11" s="162" t="s">
        <v>349</v>
      </c>
      <c r="C11" s="162"/>
    </row>
    <row r="12" spans="1:9" x14ac:dyDescent="0.25">
      <c r="A12" s="76" t="s">
        <v>285</v>
      </c>
      <c r="B12" s="162" t="s">
        <v>400</v>
      </c>
      <c r="C12" s="162"/>
    </row>
    <row r="13" spans="1:9" hidden="1" x14ac:dyDescent="0.25">
      <c r="A13" s="76" t="s">
        <v>493</v>
      </c>
      <c r="B13" s="162">
        <v>0</v>
      </c>
      <c r="C13" s="162"/>
    </row>
    <row r="14" spans="1:9" hidden="1" x14ac:dyDescent="0.25">
      <c r="A14" s="76" t="s">
        <v>287</v>
      </c>
      <c r="B14" s="162">
        <v>503</v>
      </c>
      <c r="C14" s="162"/>
    </row>
    <row r="15" spans="1:9" x14ac:dyDescent="0.25">
      <c r="A15" s="76" t="s">
        <v>496</v>
      </c>
      <c r="B15" s="162" t="s">
        <v>407</v>
      </c>
      <c r="C15" s="162"/>
    </row>
    <row r="16" spans="1:9" x14ac:dyDescent="0.25">
      <c r="A16" s="76" t="s">
        <v>288</v>
      </c>
      <c r="B16" s="162" t="s">
        <v>402</v>
      </c>
      <c r="C16" s="162"/>
    </row>
    <row r="17" spans="1:3" x14ac:dyDescent="0.25">
      <c r="A17" s="76" t="s">
        <v>568</v>
      </c>
      <c r="B17" s="162"/>
      <c r="C17" s="162"/>
    </row>
    <row r="18" spans="1:3" x14ac:dyDescent="0.25">
      <c r="A18" s="76" t="s">
        <v>500</v>
      </c>
      <c r="B18" s="164">
        <v>45135</v>
      </c>
      <c r="C18" s="162"/>
    </row>
    <row r="19" spans="1:3" x14ac:dyDescent="0.25">
      <c r="A19" s="76" t="s">
        <v>290</v>
      </c>
      <c r="B19" s="164">
        <v>45135</v>
      </c>
      <c r="C19" s="162"/>
    </row>
    <row r="20" spans="1:3" x14ac:dyDescent="0.25">
      <c r="A20" s="76" t="s">
        <v>291</v>
      </c>
      <c r="B20" s="162" t="s">
        <v>298</v>
      </c>
      <c r="C20" s="162"/>
    </row>
    <row r="21" spans="1:3" x14ac:dyDescent="0.25">
      <c r="A21" s="150" t="s">
        <v>569</v>
      </c>
      <c r="B21" s="162" t="s">
        <v>297</v>
      </c>
      <c r="C21" s="162"/>
    </row>
    <row r="23" spans="1:3" x14ac:dyDescent="0.25">
      <c r="B23" s="91" t="str">
        <f>HYPERLINK("#'Factor List'!A1","Back to Factor List")</f>
        <v>Back to Factor List</v>
      </c>
    </row>
    <row r="24" spans="1:3" x14ac:dyDescent="0.25">
      <c r="B24" s="91" t="str">
        <f>HYPERLINK("#'Assumptions'!A1","Assumptions")</f>
        <v>Assumptions</v>
      </c>
    </row>
    <row r="26" spans="1:3" ht="39.6" x14ac:dyDescent="0.25">
      <c r="A26" s="87" t="s">
        <v>570</v>
      </c>
      <c r="B26" s="87" t="s">
        <v>622</v>
      </c>
      <c r="C26" s="87" t="s">
        <v>623</v>
      </c>
    </row>
    <row r="27" spans="1:3" x14ac:dyDescent="0.25">
      <c r="A27" s="88">
        <v>55</v>
      </c>
      <c r="B27" s="90">
        <v>22.648</v>
      </c>
      <c r="C27" s="90">
        <v>4.0279999999999996</v>
      </c>
    </row>
    <row r="28" spans="1:3" x14ac:dyDescent="0.25">
      <c r="A28" s="88">
        <v>56</v>
      </c>
      <c r="B28" s="90">
        <v>22.059000000000001</v>
      </c>
      <c r="C28" s="90">
        <v>4.0519999999999996</v>
      </c>
    </row>
    <row r="29" spans="1:3" x14ac:dyDescent="0.25">
      <c r="A29" s="88">
        <v>57</v>
      </c>
      <c r="B29" s="90">
        <v>21.465</v>
      </c>
      <c r="C29" s="90">
        <v>4.0750000000000002</v>
      </c>
    </row>
    <row r="30" spans="1:3" x14ac:dyDescent="0.25">
      <c r="A30" s="88">
        <v>58</v>
      </c>
      <c r="B30" s="90">
        <v>20.864999999999998</v>
      </c>
      <c r="C30" s="90">
        <v>4.0960000000000001</v>
      </c>
    </row>
    <row r="31" spans="1:3" x14ac:dyDescent="0.25">
      <c r="A31" s="88">
        <v>59</v>
      </c>
      <c r="B31" s="90">
        <v>20.260999999999999</v>
      </c>
      <c r="C31" s="90">
        <v>4.1150000000000002</v>
      </c>
    </row>
    <row r="32" spans="1:3" x14ac:dyDescent="0.25">
      <c r="A32" s="88">
        <v>60</v>
      </c>
      <c r="B32" s="90">
        <v>19.652000000000001</v>
      </c>
      <c r="C32" s="90">
        <v>4.1310000000000002</v>
      </c>
    </row>
    <row r="33" spans="1:3" x14ac:dyDescent="0.25">
      <c r="A33" s="88">
        <v>61</v>
      </c>
      <c r="B33" s="90">
        <v>19.04</v>
      </c>
      <c r="C33" s="90">
        <v>4.1449999999999996</v>
      </c>
    </row>
    <row r="34" spans="1:3" x14ac:dyDescent="0.25">
      <c r="A34" s="88">
        <v>62</v>
      </c>
      <c r="B34" s="90">
        <v>18.425999999999998</v>
      </c>
      <c r="C34" s="90">
        <v>4.1550000000000002</v>
      </c>
    </row>
    <row r="35" spans="1:3" x14ac:dyDescent="0.25">
      <c r="A35" s="88">
        <v>63</v>
      </c>
      <c r="B35" s="90">
        <v>17.809999999999999</v>
      </c>
      <c r="C35" s="90">
        <v>4.1619999999999999</v>
      </c>
    </row>
    <row r="36" spans="1:3" x14ac:dyDescent="0.25">
      <c r="A36" s="88">
        <v>64</v>
      </c>
      <c r="B36" s="90">
        <v>17.193000000000001</v>
      </c>
      <c r="C36" s="90">
        <v>4.1639999999999997</v>
      </c>
    </row>
    <row r="37" spans="1:3" x14ac:dyDescent="0.25">
      <c r="A37" s="88">
        <v>65</v>
      </c>
      <c r="B37" s="90">
        <v>16.577000000000002</v>
      </c>
      <c r="C37" s="90">
        <v>4.1619999999999999</v>
      </c>
    </row>
    <row r="38" spans="1:3" x14ac:dyDescent="0.25">
      <c r="A38" s="88">
        <v>66</v>
      </c>
      <c r="B38" s="90">
        <v>15.961</v>
      </c>
      <c r="C38" s="90">
        <v>4.1539999999999999</v>
      </c>
    </row>
    <row r="39" spans="1:3" x14ac:dyDescent="0.25">
      <c r="A39" s="88">
        <v>67</v>
      </c>
      <c r="B39" s="90">
        <v>15.347</v>
      </c>
      <c r="C39" s="90">
        <v>4.1420000000000003</v>
      </c>
    </row>
    <row r="40" spans="1:3" x14ac:dyDescent="0.25">
      <c r="A40" s="88">
        <v>68</v>
      </c>
      <c r="B40" s="90">
        <v>14.734999999999999</v>
      </c>
      <c r="C40" s="90">
        <v>4.1239999999999997</v>
      </c>
    </row>
    <row r="41" spans="1:3" x14ac:dyDescent="0.25">
      <c r="A41" s="88">
        <v>69</v>
      </c>
      <c r="B41" s="90">
        <v>14.125999999999999</v>
      </c>
      <c r="C41" s="90">
        <v>4.0510000000000002</v>
      </c>
    </row>
    <row r="42" spans="1:3" x14ac:dyDescent="0.25">
      <c r="A42" s="88">
        <v>70</v>
      </c>
      <c r="B42" s="90">
        <v>13.523</v>
      </c>
      <c r="C42" s="90">
        <v>3.9729999999999999</v>
      </c>
    </row>
    <row r="43" spans="1:3" x14ac:dyDescent="0.25">
      <c r="A43" s="88">
        <v>71</v>
      </c>
      <c r="B43" s="90">
        <v>12.926</v>
      </c>
      <c r="C43" s="90">
        <v>3.94</v>
      </c>
    </row>
    <row r="44" spans="1:3" x14ac:dyDescent="0.25">
      <c r="A44" s="88">
        <v>72</v>
      </c>
      <c r="B44" s="90">
        <v>12.337999999999999</v>
      </c>
      <c r="C44" s="90">
        <v>3.9020000000000001</v>
      </c>
    </row>
    <row r="45" spans="1:3" x14ac:dyDescent="0.25">
      <c r="A45" s="88">
        <v>73</v>
      </c>
      <c r="B45" s="90">
        <v>11.760999999999999</v>
      </c>
      <c r="C45" s="90">
        <v>3.8559999999999999</v>
      </c>
    </row>
    <row r="46" spans="1:3" x14ac:dyDescent="0.25">
      <c r="A46" s="88">
        <v>74</v>
      </c>
      <c r="B46" s="90">
        <v>11.195</v>
      </c>
      <c r="C46" s="90">
        <v>3.6829999999999998</v>
      </c>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yFEhVqKfdBHutl6km4PkgW1vRWDTiEvKDSgIp7Sc30Cw5xuhPj8oW86Z2S7lslAKwDQ02nHb6D3zXE6D+P3uEg==" saltValue="fJ2kkKB2r3u7dsPc/iHrgA==" spinCount="100000" sheet="1" objects="1" scenarios="1"/>
  <conditionalFormatting sqref="A6:A21">
    <cfRule type="expression" dxfId="262" priority="3" stopIfTrue="1">
      <formula>MOD(ROW(),2)=0</formula>
    </cfRule>
    <cfRule type="expression" dxfId="261" priority="4" stopIfTrue="1">
      <formula>MOD(ROW(),2)&lt;&gt;0</formula>
    </cfRule>
  </conditionalFormatting>
  <conditionalFormatting sqref="A26:A46">
    <cfRule type="expression" dxfId="260" priority="7" stopIfTrue="1">
      <formula>MOD(ROW(),2)=0</formula>
    </cfRule>
    <cfRule type="expression" dxfId="259" priority="8" stopIfTrue="1">
      <formula>MOD(ROW(),2)&lt;&gt;0</formula>
    </cfRule>
  </conditionalFormatting>
  <conditionalFormatting sqref="B17:B21">
    <cfRule type="expression" dxfId="258" priority="15" stopIfTrue="1">
      <formula>MOD(ROW(),2)=0</formula>
    </cfRule>
    <cfRule type="expression" dxfId="257" priority="16" stopIfTrue="1">
      <formula>MOD(ROW(),2)&lt;&gt;0</formula>
    </cfRule>
  </conditionalFormatting>
  <conditionalFormatting sqref="B6:C21">
    <cfRule type="expression" dxfId="256" priority="23" stopIfTrue="1">
      <formula>MOD(ROW(),2)=0</formula>
    </cfRule>
    <cfRule type="expression" dxfId="255" priority="24" stopIfTrue="1">
      <formula>MOD(ROW(),2)&lt;&gt;0</formula>
    </cfRule>
  </conditionalFormatting>
  <conditionalFormatting sqref="B26:C46">
    <cfRule type="expression" dxfId="254" priority="9" stopIfTrue="1">
      <formula>MOD(ROW(),2)=0</formula>
    </cfRule>
    <cfRule type="expression" dxfId="253"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101"/>
  <dimension ref="A1:I101"/>
  <sheetViews>
    <sheetView showGridLines="0" zoomScale="85" zoomScaleNormal="85" workbookViewId="0">
      <selection activeCell="A4" sqref="A4"/>
    </sheetView>
  </sheetViews>
  <sheetFormatPr defaultColWidth="10" defaultRowHeight="13.2" x14ac:dyDescent="0.25"/>
  <cols>
    <col min="1" max="1" width="31.88671875" style="27" customWidth="1"/>
    <col min="2" max="2" width="47.109375" style="27" customWidth="1"/>
    <col min="3" max="3" width="10.1093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Triv Comm - x-504</v>
      </c>
      <c r="B3" s="42"/>
      <c r="C3" s="42"/>
      <c r="D3" s="42"/>
      <c r="E3" s="42"/>
      <c r="F3" s="42"/>
      <c r="G3" s="42"/>
      <c r="H3" s="42"/>
      <c r="I3" s="42"/>
    </row>
    <row r="4" spans="1:9" x14ac:dyDescent="0.25">
      <c r="A4" s="44"/>
    </row>
    <row r="6" spans="1:9" x14ac:dyDescent="0.25">
      <c r="A6" s="75" t="s">
        <v>484</v>
      </c>
      <c r="B6" s="162" t="s">
        <v>485</v>
      </c>
    </row>
    <row r="7" spans="1:9" x14ac:dyDescent="0.25">
      <c r="A7" s="76" t="s">
        <v>486</v>
      </c>
      <c r="B7" s="162" t="s">
        <v>81</v>
      </c>
    </row>
    <row r="8" spans="1:9" x14ac:dyDescent="0.25">
      <c r="A8" s="76" t="s">
        <v>282</v>
      </c>
      <c r="B8" s="162">
        <v>2015</v>
      </c>
    </row>
    <row r="9" spans="1:9" x14ac:dyDescent="0.25">
      <c r="A9" s="76" t="s">
        <v>283</v>
      </c>
      <c r="B9" s="162" t="s">
        <v>398</v>
      </c>
    </row>
    <row r="10" spans="1:9" x14ac:dyDescent="0.25">
      <c r="A10" s="76" t="s">
        <v>6</v>
      </c>
      <c r="B10" s="162" t="s">
        <v>408</v>
      </c>
    </row>
    <row r="11" spans="1:9" x14ac:dyDescent="0.25">
      <c r="A11" s="76" t="s">
        <v>284</v>
      </c>
      <c r="B11" s="162" t="s">
        <v>349</v>
      </c>
    </row>
    <row r="12" spans="1:9" x14ac:dyDescent="0.25">
      <c r="A12" s="76" t="s">
        <v>285</v>
      </c>
      <c r="B12" s="162" t="s">
        <v>400</v>
      </c>
    </row>
    <row r="13" spans="1:9" hidden="1" x14ac:dyDescent="0.25">
      <c r="A13" s="76" t="s">
        <v>493</v>
      </c>
      <c r="B13" s="162">
        <v>0</v>
      </c>
    </row>
    <row r="14" spans="1:9" hidden="1" x14ac:dyDescent="0.25">
      <c r="A14" s="76" t="s">
        <v>287</v>
      </c>
      <c r="B14" s="162">
        <v>504</v>
      </c>
    </row>
    <row r="15" spans="1:9" x14ac:dyDescent="0.25">
      <c r="A15" s="76" t="s">
        <v>496</v>
      </c>
      <c r="B15" s="162" t="s">
        <v>409</v>
      </c>
    </row>
    <row r="16" spans="1:9" x14ac:dyDescent="0.25">
      <c r="A16" s="76" t="s">
        <v>288</v>
      </c>
      <c r="B16" s="162" t="s">
        <v>405</v>
      </c>
    </row>
    <row r="17" spans="1:2" x14ac:dyDescent="0.25">
      <c r="A17" s="76" t="s">
        <v>568</v>
      </c>
      <c r="B17" s="162"/>
    </row>
    <row r="18" spans="1:2" x14ac:dyDescent="0.25">
      <c r="A18" s="76" t="s">
        <v>500</v>
      </c>
      <c r="B18" s="164">
        <v>45135</v>
      </c>
    </row>
    <row r="19" spans="1:2" x14ac:dyDescent="0.25">
      <c r="A19" s="76" t="s">
        <v>290</v>
      </c>
      <c r="B19" s="164">
        <v>45135</v>
      </c>
    </row>
    <row r="20" spans="1:2" x14ac:dyDescent="0.25">
      <c r="A20" s="76" t="s">
        <v>291</v>
      </c>
      <c r="B20" s="162" t="s">
        <v>298</v>
      </c>
    </row>
    <row r="21" spans="1:2" x14ac:dyDescent="0.25">
      <c r="A21" s="150" t="s">
        <v>569</v>
      </c>
      <c r="B21" s="162" t="s">
        <v>297</v>
      </c>
    </row>
    <row r="23" spans="1:2" x14ac:dyDescent="0.25">
      <c r="B23" s="91" t="str">
        <f>HYPERLINK("#'Factor List'!A1","Back to Factor List")</f>
        <v>Back to Factor List</v>
      </c>
    </row>
    <row r="24" spans="1:2" x14ac:dyDescent="0.25">
      <c r="B24" s="91" t="str">
        <f>HYPERLINK("#'Assumptions'!A1","Assumptions")</f>
        <v>Assumptions</v>
      </c>
    </row>
    <row r="26" spans="1:2" x14ac:dyDescent="0.25">
      <c r="A26" s="87" t="s">
        <v>570</v>
      </c>
      <c r="B26" s="87" t="s">
        <v>624</v>
      </c>
    </row>
    <row r="27" spans="1:2" x14ac:dyDescent="0.25">
      <c r="A27" s="88">
        <v>25</v>
      </c>
      <c r="B27" s="90">
        <v>37.994999999999997</v>
      </c>
    </row>
    <row r="28" spans="1:2" x14ac:dyDescent="0.25">
      <c r="A28" s="88">
        <v>26</v>
      </c>
      <c r="B28" s="90">
        <v>37.603000000000002</v>
      </c>
    </row>
    <row r="29" spans="1:2" x14ac:dyDescent="0.25">
      <c r="A29" s="88">
        <v>27</v>
      </c>
      <c r="B29" s="90">
        <v>37.204999999999998</v>
      </c>
    </row>
    <row r="30" spans="1:2" x14ac:dyDescent="0.25">
      <c r="A30" s="88">
        <v>28</v>
      </c>
      <c r="B30" s="90">
        <v>36.801000000000002</v>
      </c>
    </row>
    <row r="31" spans="1:2" x14ac:dyDescent="0.25">
      <c r="A31" s="88">
        <v>29</v>
      </c>
      <c r="B31" s="90">
        <v>36.39</v>
      </c>
    </row>
    <row r="32" spans="1:2" x14ac:dyDescent="0.25">
      <c r="A32" s="88">
        <v>30</v>
      </c>
      <c r="B32" s="90">
        <v>35.972000000000001</v>
      </c>
    </row>
    <row r="33" spans="1:2" x14ac:dyDescent="0.25">
      <c r="A33" s="88">
        <v>31</v>
      </c>
      <c r="B33" s="90">
        <v>35.548000000000002</v>
      </c>
    </row>
    <row r="34" spans="1:2" x14ac:dyDescent="0.25">
      <c r="A34" s="88">
        <v>32</v>
      </c>
      <c r="B34" s="90">
        <v>35.116999999999997</v>
      </c>
    </row>
    <row r="35" spans="1:2" x14ac:dyDescent="0.25">
      <c r="A35" s="88">
        <v>33</v>
      </c>
      <c r="B35" s="90">
        <v>34.68</v>
      </c>
    </row>
    <row r="36" spans="1:2" x14ac:dyDescent="0.25">
      <c r="A36" s="88">
        <v>34</v>
      </c>
      <c r="B36" s="90">
        <v>34.235999999999997</v>
      </c>
    </row>
    <row r="37" spans="1:2" x14ac:dyDescent="0.25">
      <c r="A37" s="88">
        <v>35</v>
      </c>
      <c r="B37" s="90">
        <v>33.786000000000001</v>
      </c>
    </row>
    <row r="38" spans="1:2" x14ac:dyDescent="0.25">
      <c r="A38" s="88">
        <v>36</v>
      </c>
      <c r="B38" s="90">
        <v>33.33</v>
      </c>
    </row>
    <row r="39" spans="1:2" x14ac:dyDescent="0.25">
      <c r="A39" s="88">
        <v>37</v>
      </c>
      <c r="B39" s="90">
        <v>32.866999999999997</v>
      </c>
    </row>
    <row r="40" spans="1:2" x14ac:dyDescent="0.25">
      <c r="A40" s="88">
        <v>38</v>
      </c>
      <c r="B40" s="90">
        <v>32.398000000000003</v>
      </c>
    </row>
    <row r="41" spans="1:2" x14ac:dyDescent="0.25">
      <c r="A41" s="88">
        <v>39</v>
      </c>
      <c r="B41" s="90">
        <v>31.922999999999998</v>
      </c>
    </row>
    <row r="42" spans="1:2" x14ac:dyDescent="0.25">
      <c r="A42" s="88">
        <v>40</v>
      </c>
      <c r="B42" s="90">
        <v>31.440999999999999</v>
      </c>
    </row>
    <row r="43" spans="1:2" x14ac:dyDescent="0.25">
      <c r="A43" s="88">
        <v>41</v>
      </c>
      <c r="B43" s="90">
        <v>30.954000000000001</v>
      </c>
    </row>
    <row r="44" spans="1:2" x14ac:dyDescent="0.25">
      <c r="A44" s="88">
        <v>42</v>
      </c>
      <c r="B44" s="90">
        <v>30.460999999999999</v>
      </c>
    </row>
    <row r="45" spans="1:2" x14ac:dyDescent="0.25">
      <c r="A45" s="88">
        <v>43</v>
      </c>
      <c r="B45" s="90">
        <v>29.962</v>
      </c>
    </row>
    <row r="46" spans="1:2" x14ac:dyDescent="0.25">
      <c r="A46" s="88">
        <v>44</v>
      </c>
      <c r="B46" s="90">
        <v>29.457999999999998</v>
      </c>
    </row>
    <row r="47" spans="1:2" x14ac:dyDescent="0.25">
      <c r="A47" s="88">
        <v>45</v>
      </c>
      <c r="B47" s="90">
        <v>28.95</v>
      </c>
    </row>
    <row r="48" spans="1:2" x14ac:dyDescent="0.25">
      <c r="A48" s="88">
        <v>46</v>
      </c>
      <c r="B48" s="90">
        <v>28.437999999999999</v>
      </c>
    </row>
    <row r="49" spans="1:2" x14ac:dyDescent="0.25">
      <c r="A49" s="88">
        <v>47</v>
      </c>
      <c r="B49" s="90">
        <v>27.922000000000001</v>
      </c>
    </row>
    <row r="50" spans="1:2" x14ac:dyDescent="0.25">
      <c r="A50" s="88">
        <v>48</v>
      </c>
      <c r="B50" s="90">
        <v>27.401</v>
      </c>
    </row>
    <row r="51" spans="1:2" x14ac:dyDescent="0.25">
      <c r="A51" s="88">
        <v>49</v>
      </c>
      <c r="B51" s="90">
        <v>26.873999999999999</v>
      </c>
    </row>
    <row r="52" spans="1:2" x14ac:dyDescent="0.25">
      <c r="A52" s="88">
        <v>50</v>
      </c>
      <c r="B52" s="90">
        <v>26.343</v>
      </c>
    </row>
    <row r="53" spans="1:2" x14ac:dyDescent="0.25">
      <c r="A53" s="88">
        <v>51</v>
      </c>
      <c r="B53" s="90">
        <v>25.805</v>
      </c>
    </row>
    <row r="54" spans="1:2" x14ac:dyDescent="0.25">
      <c r="A54" s="88">
        <v>52</v>
      </c>
      <c r="B54" s="90">
        <v>25.262</v>
      </c>
    </row>
    <row r="55" spans="1:2" x14ac:dyDescent="0.25">
      <c r="A55" s="88">
        <v>53</v>
      </c>
      <c r="B55" s="90">
        <v>24.713999999999999</v>
      </c>
    </row>
    <row r="56" spans="1:2" x14ac:dyDescent="0.25">
      <c r="A56" s="88">
        <v>54</v>
      </c>
      <c r="B56" s="90">
        <v>24.158999999999999</v>
      </c>
    </row>
    <row r="57" spans="1:2" x14ac:dyDescent="0.25">
      <c r="A57" s="88">
        <v>55</v>
      </c>
      <c r="B57" s="90">
        <v>23.599</v>
      </c>
    </row>
    <row r="58" spans="1:2" x14ac:dyDescent="0.25">
      <c r="A58" s="88">
        <v>56</v>
      </c>
      <c r="B58" s="90">
        <v>23.033000000000001</v>
      </c>
    </row>
    <row r="59" spans="1:2" x14ac:dyDescent="0.25">
      <c r="A59" s="88">
        <v>57</v>
      </c>
      <c r="B59" s="90">
        <v>22.460999999999999</v>
      </c>
    </row>
    <row r="60" spans="1:2" x14ac:dyDescent="0.25">
      <c r="A60" s="88">
        <v>58</v>
      </c>
      <c r="B60" s="90">
        <v>21.884</v>
      </c>
    </row>
    <row r="61" spans="1:2" x14ac:dyDescent="0.25">
      <c r="A61" s="88">
        <v>59</v>
      </c>
      <c r="B61" s="90">
        <v>21.302</v>
      </c>
    </row>
    <row r="62" spans="1:2" x14ac:dyDescent="0.25">
      <c r="A62" s="88">
        <v>60</v>
      </c>
      <c r="B62" s="90">
        <v>20.715</v>
      </c>
    </row>
    <row r="63" spans="1:2" x14ac:dyDescent="0.25">
      <c r="A63" s="88">
        <v>61</v>
      </c>
      <c r="B63" s="90">
        <v>20.123000000000001</v>
      </c>
    </row>
    <row r="64" spans="1:2" x14ac:dyDescent="0.25">
      <c r="A64" s="88">
        <v>62</v>
      </c>
      <c r="B64" s="90">
        <v>19.527000000000001</v>
      </c>
    </row>
    <row r="65" spans="1:2" x14ac:dyDescent="0.25">
      <c r="A65" s="88">
        <v>63</v>
      </c>
      <c r="B65" s="90">
        <v>18.925999999999998</v>
      </c>
    </row>
    <row r="66" spans="1:2" x14ac:dyDescent="0.25">
      <c r="A66" s="88">
        <v>64</v>
      </c>
      <c r="B66" s="90">
        <v>18.321999999999999</v>
      </c>
    </row>
    <row r="67" spans="1:2" x14ac:dyDescent="0.25">
      <c r="A67" s="88">
        <v>65</v>
      </c>
      <c r="B67" s="90">
        <v>17.715</v>
      </c>
    </row>
    <row r="68" spans="1:2" x14ac:dyDescent="0.25">
      <c r="A68" s="88">
        <v>66</v>
      </c>
      <c r="B68" s="90">
        <v>17.105</v>
      </c>
    </row>
    <row r="69" spans="1:2" x14ac:dyDescent="0.25">
      <c r="A69" s="88">
        <v>67</v>
      </c>
      <c r="B69" s="90">
        <v>16.492000000000001</v>
      </c>
    </row>
    <row r="70" spans="1:2" x14ac:dyDescent="0.25">
      <c r="A70" s="88">
        <v>68</v>
      </c>
      <c r="B70" s="90">
        <v>15.877000000000001</v>
      </c>
    </row>
    <row r="71" spans="1:2" x14ac:dyDescent="0.25">
      <c r="A71" s="88">
        <v>69</v>
      </c>
      <c r="B71" s="90">
        <v>15.259</v>
      </c>
    </row>
    <row r="72" spans="1:2" x14ac:dyDescent="0.25">
      <c r="A72" s="88">
        <v>70</v>
      </c>
      <c r="B72" s="90">
        <v>14.638</v>
      </c>
    </row>
    <row r="73" spans="1:2" x14ac:dyDescent="0.25">
      <c r="A73" s="88">
        <v>71</v>
      </c>
      <c r="B73" s="90">
        <v>14.016</v>
      </c>
    </row>
    <row r="74" spans="1:2" x14ac:dyDescent="0.25">
      <c r="A74" s="88">
        <v>72</v>
      </c>
      <c r="B74" s="90">
        <v>13.398999999999999</v>
      </c>
    </row>
    <row r="75" spans="1:2" x14ac:dyDescent="0.25">
      <c r="A75" s="88">
        <v>73</v>
      </c>
      <c r="B75" s="90">
        <v>12.784000000000001</v>
      </c>
    </row>
    <row r="76" spans="1:2" x14ac:dyDescent="0.25">
      <c r="A76" s="88">
        <v>74</v>
      </c>
      <c r="B76" s="90">
        <v>12.170999999999999</v>
      </c>
    </row>
    <row r="77" spans="1:2" x14ac:dyDescent="0.25">
      <c r="A77" s="88">
        <v>75</v>
      </c>
      <c r="B77" s="90">
        <v>11.561999999999999</v>
      </c>
    </row>
    <row r="78" spans="1:2" x14ac:dyDescent="0.25">
      <c r="A78" s="88">
        <v>76</v>
      </c>
      <c r="B78" s="90">
        <v>10.958</v>
      </c>
    </row>
    <row r="79" spans="1:2" x14ac:dyDescent="0.25">
      <c r="A79" s="88">
        <v>77</v>
      </c>
      <c r="B79" s="90">
        <v>10.362</v>
      </c>
    </row>
    <row r="80" spans="1:2" x14ac:dyDescent="0.25">
      <c r="A80" s="88">
        <v>78</v>
      </c>
      <c r="B80" s="90">
        <v>9.7739999999999991</v>
      </c>
    </row>
    <row r="81" spans="1:2" x14ac:dyDescent="0.25">
      <c r="A81" s="88">
        <v>79</v>
      </c>
      <c r="B81" s="90">
        <v>9.1969999999999992</v>
      </c>
    </row>
    <row r="82" spans="1:2" x14ac:dyDescent="0.25">
      <c r="A82" s="88">
        <v>80</v>
      </c>
      <c r="B82" s="90">
        <v>8.6319999999999997</v>
      </c>
    </row>
    <row r="83" spans="1:2" x14ac:dyDescent="0.25">
      <c r="A83" s="88">
        <v>81</v>
      </c>
      <c r="B83" s="90">
        <v>8.08</v>
      </c>
    </row>
    <row r="84" spans="1:2" x14ac:dyDescent="0.25">
      <c r="A84" s="88">
        <v>82</v>
      </c>
      <c r="B84" s="90">
        <v>7.5439999999999996</v>
      </c>
    </row>
    <row r="85" spans="1:2" x14ac:dyDescent="0.25">
      <c r="A85" s="88">
        <v>83</v>
      </c>
      <c r="B85" s="90">
        <v>7.0229999999999997</v>
      </c>
    </row>
    <row r="86" spans="1:2" x14ac:dyDescent="0.25">
      <c r="A86" s="88">
        <v>84</v>
      </c>
      <c r="B86" s="90">
        <v>6.5190000000000001</v>
      </c>
    </row>
    <row r="87" spans="1:2" x14ac:dyDescent="0.25">
      <c r="A87" s="88">
        <v>85</v>
      </c>
      <c r="B87" s="90">
        <v>6.0330000000000004</v>
      </c>
    </row>
    <row r="88" spans="1:2" x14ac:dyDescent="0.25">
      <c r="A88" s="88">
        <v>86</v>
      </c>
      <c r="B88" s="90">
        <v>5.5720000000000001</v>
      </c>
    </row>
    <row r="89" spans="1:2" x14ac:dyDescent="0.25">
      <c r="A89" s="88">
        <v>87</v>
      </c>
      <c r="B89" s="90">
        <v>5.1379999999999999</v>
      </c>
    </row>
    <row r="90" spans="1:2" x14ac:dyDescent="0.25">
      <c r="A90" s="88">
        <v>88</v>
      </c>
      <c r="B90" s="90">
        <v>4.7309999999999999</v>
      </c>
    </row>
    <row r="91" spans="1:2" x14ac:dyDescent="0.25">
      <c r="A91" s="88">
        <v>89</v>
      </c>
      <c r="B91" s="90">
        <v>4.3499999999999996</v>
      </c>
    </row>
    <row r="92" spans="1:2" x14ac:dyDescent="0.25">
      <c r="A92" s="88">
        <v>90</v>
      </c>
      <c r="B92" s="90">
        <v>3.996</v>
      </c>
    </row>
    <row r="93" spans="1:2" x14ac:dyDescent="0.25">
      <c r="A93" s="88">
        <v>91</v>
      </c>
      <c r="B93" s="90">
        <v>3.669</v>
      </c>
    </row>
    <row r="94" spans="1:2" x14ac:dyDescent="0.25">
      <c r="A94" s="88">
        <v>92</v>
      </c>
      <c r="B94" s="90">
        <v>3.37</v>
      </c>
    </row>
    <row r="95" spans="1:2" x14ac:dyDescent="0.25">
      <c r="A95" s="88">
        <v>93</v>
      </c>
      <c r="B95" s="90">
        <v>3.0979999999999999</v>
      </c>
    </row>
    <row r="96" spans="1:2" x14ac:dyDescent="0.25">
      <c r="A96" s="88">
        <v>94</v>
      </c>
      <c r="B96" s="90">
        <v>2.85</v>
      </c>
    </row>
    <row r="97" spans="1:2" x14ac:dyDescent="0.25">
      <c r="A97" s="88">
        <v>95</v>
      </c>
      <c r="B97" s="90">
        <v>2.6259999999999999</v>
      </c>
    </row>
    <row r="98" spans="1:2" x14ac:dyDescent="0.25">
      <c r="A98" s="88">
        <v>96</v>
      </c>
      <c r="B98" s="90">
        <v>2.427</v>
      </c>
    </row>
    <row r="99" spans="1:2" x14ac:dyDescent="0.25">
      <c r="A99" s="88">
        <v>97</v>
      </c>
      <c r="B99" s="90">
        <v>2.2490000000000001</v>
      </c>
    </row>
    <row r="100" spans="1:2" x14ac:dyDescent="0.25">
      <c r="A100" s="88">
        <v>98</v>
      </c>
      <c r="B100" s="90">
        <v>2.0950000000000002</v>
      </c>
    </row>
    <row r="101" spans="1:2" x14ac:dyDescent="0.25">
      <c r="A101" s="88">
        <v>99</v>
      </c>
      <c r="B101" s="90">
        <v>1.9730000000000001</v>
      </c>
    </row>
  </sheetData>
  <sheetProtection algorithmName="SHA-512" hashValue="1O4F+Pila8tTAK0ZlCK+E4HB2VuK+0Zuz50GMZSlpa/20XIC4dRblDhGH0Jl409DJstJonX/Zkk366A7kqC1xg==" saltValue="awKQ64lJ3NUNumhRQczoFg==" spinCount="100000" sheet="1" objects="1" scenarios="1"/>
  <conditionalFormatting sqref="A6:A21">
    <cfRule type="expression" dxfId="252" priority="3" stopIfTrue="1">
      <formula>MOD(ROW(),2)=0</formula>
    </cfRule>
    <cfRule type="expression" dxfId="251" priority="4" stopIfTrue="1">
      <formula>MOD(ROW(),2)&lt;&gt;0</formula>
    </cfRule>
  </conditionalFormatting>
  <conditionalFormatting sqref="A26:A101">
    <cfRule type="expression" dxfId="250" priority="7" stopIfTrue="1">
      <formula>MOD(ROW(),2)=0</formula>
    </cfRule>
    <cfRule type="expression" dxfId="249" priority="8" stopIfTrue="1">
      <formula>MOD(ROW(),2)&lt;&gt;0</formula>
    </cfRule>
  </conditionalFormatting>
  <conditionalFormatting sqref="B6:B21">
    <cfRule type="expression" dxfId="248" priority="21" stopIfTrue="1">
      <formula>MOD(ROW(),2)=0</formula>
    </cfRule>
    <cfRule type="expression" dxfId="247" priority="22" stopIfTrue="1">
      <formula>MOD(ROW(),2)&lt;&gt;0</formula>
    </cfRule>
  </conditionalFormatting>
  <conditionalFormatting sqref="B17:B21">
    <cfRule type="expression" dxfId="246" priority="13" stopIfTrue="1">
      <formula>MOD(ROW(),2)=0</formula>
    </cfRule>
    <cfRule type="expression" dxfId="245" priority="14" stopIfTrue="1">
      <formula>MOD(ROW(),2)&lt;&gt;0</formula>
    </cfRule>
  </conditionalFormatting>
  <conditionalFormatting sqref="B26:B101">
    <cfRule type="expression" dxfId="244" priority="9" stopIfTrue="1">
      <formula>MOD(ROW(),2)=0</formula>
    </cfRule>
    <cfRule type="expression" dxfId="243"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0D080-94FD-49F5-B7A6-AF427347AD40}">
  <sheetPr codeName="Sheet102"/>
  <dimension ref="A1:M53"/>
  <sheetViews>
    <sheetView showGridLines="0" topLeftCell="BB1" zoomScale="85" zoomScaleNormal="85" workbookViewId="0">
      <selection activeCell="A4" sqref="A4"/>
    </sheetView>
  </sheetViews>
  <sheetFormatPr defaultColWidth="10" defaultRowHeight="13.2" x14ac:dyDescent="0.25"/>
  <cols>
    <col min="1" max="1" width="31.88671875" style="27" customWidth="1"/>
    <col min="2" max="2" width="47.109375" style="27" customWidth="1"/>
    <col min="3" max="3" width="10.109375" style="27" customWidth="1"/>
    <col min="4" max="4" width="10" style="27" customWidth="1"/>
    <col min="5" max="16384" width="10" style="27"/>
  </cols>
  <sheetData>
    <row r="1" spans="1:13" ht="21" x14ac:dyDescent="0.4">
      <c r="A1" s="39" t="s">
        <v>0</v>
      </c>
      <c r="B1" s="40"/>
      <c r="C1" s="40"/>
      <c r="D1" s="40"/>
      <c r="E1" s="40"/>
      <c r="F1" s="40"/>
      <c r="G1" s="40"/>
      <c r="H1" s="40"/>
      <c r="I1" s="40"/>
    </row>
    <row r="2" spans="1:13" ht="15.6" x14ac:dyDescent="0.3">
      <c r="A2" s="41" t="str">
        <f>IF(title="&gt; Enter workbook title here","Enter workbook title in Cover sheet",title)</f>
        <v>Fire_S - Consolidated Factor Spreadsheet</v>
      </c>
      <c r="B2" s="42"/>
      <c r="C2" s="42"/>
      <c r="D2" s="42"/>
      <c r="E2" s="42"/>
      <c r="F2" s="42"/>
      <c r="G2" s="42"/>
      <c r="H2" s="42"/>
      <c r="I2" s="42"/>
    </row>
    <row r="3" spans="1:13" ht="15.6" x14ac:dyDescent="0.3">
      <c r="A3" s="43" t="str">
        <f>TABLE_FACTOR_TYPE_1&amp;" - x-"&amp;TABLE_SERIES_NUMBER_1</f>
        <v>Commutation - x-505</v>
      </c>
      <c r="B3" s="42"/>
      <c r="C3" s="42"/>
      <c r="D3" s="42"/>
      <c r="E3" s="42"/>
      <c r="F3" s="42"/>
      <c r="G3" s="42"/>
      <c r="H3" s="42"/>
      <c r="I3" s="42"/>
    </row>
    <row r="4" spans="1:13" x14ac:dyDescent="0.25">
      <c r="A4" s="44"/>
    </row>
    <row r="6" spans="1:13" x14ac:dyDescent="0.25">
      <c r="A6" s="75" t="s">
        <v>484</v>
      </c>
      <c r="B6" s="163" t="s">
        <v>485</v>
      </c>
      <c r="C6" s="163"/>
      <c r="D6" s="163"/>
      <c r="E6" s="163"/>
      <c r="F6" s="163"/>
      <c r="G6" s="163"/>
      <c r="H6" s="163"/>
      <c r="I6" s="163"/>
      <c r="J6" s="163"/>
      <c r="K6" s="163"/>
      <c r="L6" s="163"/>
      <c r="M6" s="163"/>
    </row>
    <row r="7" spans="1:13" x14ac:dyDescent="0.25">
      <c r="A7" s="76" t="s">
        <v>486</v>
      </c>
      <c r="B7" s="163" t="s">
        <v>81</v>
      </c>
      <c r="C7" s="163"/>
      <c r="D7" s="163"/>
      <c r="E7" s="163"/>
      <c r="F7" s="163"/>
      <c r="G7" s="163"/>
      <c r="H7" s="163"/>
      <c r="I7" s="163"/>
      <c r="J7" s="163"/>
      <c r="K7" s="163"/>
      <c r="L7" s="163"/>
      <c r="M7" s="163"/>
    </row>
    <row r="8" spans="1:13" x14ac:dyDescent="0.25">
      <c r="A8" s="76" t="s">
        <v>282</v>
      </c>
      <c r="B8" s="163">
        <v>1992</v>
      </c>
      <c r="C8" s="163"/>
      <c r="D8" s="163"/>
      <c r="E8" s="163"/>
      <c r="F8" s="163"/>
      <c r="G8" s="163"/>
      <c r="H8" s="163"/>
      <c r="I8" s="163"/>
      <c r="J8" s="163"/>
      <c r="K8" s="163"/>
      <c r="L8" s="163"/>
      <c r="M8" s="163"/>
    </row>
    <row r="9" spans="1:13" x14ac:dyDescent="0.25">
      <c r="A9" s="76" t="s">
        <v>283</v>
      </c>
      <c r="B9" s="163" t="s">
        <v>410</v>
      </c>
      <c r="C9" s="163"/>
      <c r="D9" s="163"/>
      <c r="E9" s="163"/>
      <c r="F9" s="163"/>
      <c r="G9" s="163"/>
      <c r="H9" s="163"/>
      <c r="I9" s="163"/>
      <c r="J9" s="163"/>
      <c r="K9" s="163"/>
      <c r="L9" s="163"/>
      <c r="M9" s="163"/>
    </row>
    <row r="10" spans="1:13" ht="12.75" customHeight="1" x14ac:dyDescent="0.25">
      <c r="A10" s="76" t="s">
        <v>6</v>
      </c>
      <c r="B10" s="163" t="s">
        <v>411</v>
      </c>
      <c r="C10" s="163"/>
      <c r="D10" s="163"/>
      <c r="E10" s="163"/>
      <c r="F10" s="163"/>
      <c r="G10" s="163"/>
      <c r="H10" s="163"/>
      <c r="I10" s="163"/>
      <c r="J10" s="163"/>
      <c r="K10" s="163"/>
      <c r="L10" s="163"/>
      <c r="M10" s="163"/>
    </row>
    <row r="11" spans="1:13" x14ac:dyDescent="0.25">
      <c r="A11" s="76" t="s">
        <v>284</v>
      </c>
      <c r="B11" s="163" t="s">
        <v>349</v>
      </c>
      <c r="C11" s="163"/>
      <c r="D11" s="163"/>
      <c r="E11" s="163"/>
      <c r="F11" s="163"/>
      <c r="G11" s="163"/>
      <c r="H11" s="163"/>
      <c r="I11" s="163"/>
      <c r="J11" s="163"/>
      <c r="K11" s="163"/>
      <c r="L11" s="163"/>
      <c r="M11" s="163"/>
    </row>
    <row r="12" spans="1:13" ht="12.6" customHeight="1" x14ac:dyDescent="0.25">
      <c r="A12" s="76" t="s">
        <v>285</v>
      </c>
      <c r="B12" s="163" t="s">
        <v>412</v>
      </c>
      <c r="C12" s="163"/>
      <c r="D12" s="163"/>
      <c r="E12" s="163"/>
      <c r="F12" s="163"/>
      <c r="G12" s="163"/>
      <c r="H12" s="163"/>
      <c r="I12" s="163"/>
      <c r="J12" s="163"/>
      <c r="K12" s="163"/>
      <c r="L12" s="163"/>
      <c r="M12" s="163"/>
    </row>
    <row r="13" spans="1:13" ht="12.6" hidden="1" customHeight="1" x14ac:dyDescent="0.25">
      <c r="A13" s="76" t="s">
        <v>493</v>
      </c>
      <c r="B13" s="163">
        <v>0</v>
      </c>
      <c r="C13" s="163"/>
      <c r="D13" s="163"/>
      <c r="E13" s="163"/>
      <c r="F13" s="163"/>
      <c r="G13" s="163"/>
      <c r="H13" s="163"/>
      <c r="I13" s="163"/>
      <c r="J13" s="163"/>
      <c r="K13" s="163"/>
      <c r="L13" s="163"/>
      <c r="M13" s="163"/>
    </row>
    <row r="14" spans="1:13" ht="12.6" hidden="1" customHeight="1" x14ac:dyDescent="0.25">
      <c r="A14" s="76" t="s">
        <v>287</v>
      </c>
      <c r="B14" s="163">
        <v>505</v>
      </c>
      <c r="C14" s="163"/>
      <c r="D14" s="163"/>
      <c r="E14" s="163"/>
      <c r="F14" s="163"/>
      <c r="G14" s="163"/>
      <c r="H14" s="163"/>
      <c r="I14" s="163"/>
      <c r="J14" s="163"/>
      <c r="K14" s="163"/>
      <c r="L14" s="163"/>
      <c r="M14" s="163"/>
    </row>
    <row r="15" spans="1:13" x14ac:dyDescent="0.25">
      <c r="A15" s="76" t="s">
        <v>496</v>
      </c>
      <c r="B15" s="163" t="s">
        <v>413</v>
      </c>
      <c r="C15" s="163"/>
      <c r="D15" s="163"/>
      <c r="E15" s="163"/>
      <c r="F15" s="163"/>
      <c r="G15" s="163"/>
      <c r="H15" s="163"/>
      <c r="I15" s="163"/>
      <c r="J15" s="163"/>
      <c r="K15" s="163"/>
      <c r="L15" s="163"/>
      <c r="M15" s="163"/>
    </row>
    <row r="16" spans="1:13" x14ac:dyDescent="0.25">
      <c r="A16" s="76" t="s">
        <v>288</v>
      </c>
      <c r="B16" s="163" t="s">
        <v>402</v>
      </c>
      <c r="C16" s="163"/>
      <c r="D16" s="163"/>
      <c r="E16" s="163"/>
      <c r="F16" s="163"/>
      <c r="G16" s="163"/>
      <c r="H16" s="163"/>
      <c r="I16" s="163"/>
      <c r="J16" s="163"/>
      <c r="K16" s="163"/>
      <c r="L16" s="163"/>
      <c r="M16" s="163"/>
    </row>
    <row r="17" spans="1:13" ht="41.1" customHeight="1" x14ac:dyDescent="0.25">
      <c r="A17" s="76" t="s">
        <v>568</v>
      </c>
      <c r="B17" s="163"/>
      <c r="C17" s="163"/>
      <c r="D17" s="163"/>
      <c r="E17" s="163"/>
      <c r="F17" s="163"/>
      <c r="G17" s="163"/>
      <c r="H17" s="163"/>
      <c r="I17" s="163"/>
      <c r="J17" s="163"/>
      <c r="K17" s="163"/>
      <c r="L17" s="163"/>
      <c r="M17" s="163"/>
    </row>
    <row r="18" spans="1:13" x14ac:dyDescent="0.25">
      <c r="A18" s="76" t="s">
        <v>500</v>
      </c>
      <c r="B18" s="166">
        <v>45019</v>
      </c>
      <c r="C18" s="163"/>
      <c r="D18" s="163"/>
      <c r="E18" s="163"/>
      <c r="F18" s="163"/>
      <c r="G18" s="163"/>
      <c r="H18" s="163"/>
      <c r="I18" s="163"/>
      <c r="J18" s="163"/>
      <c r="K18" s="163"/>
      <c r="L18" s="163"/>
      <c r="M18" s="163"/>
    </row>
    <row r="19" spans="1:13" ht="12.75" customHeight="1" x14ac:dyDescent="0.25">
      <c r="A19" s="76" t="s">
        <v>290</v>
      </c>
      <c r="B19" s="166">
        <v>45019</v>
      </c>
      <c r="C19" s="163"/>
      <c r="D19" s="163"/>
      <c r="E19" s="163"/>
      <c r="F19" s="163"/>
      <c r="G19" s="163"/>
      <c r="H19" s="163"/>
      <c r="I19" s="163"/>
      <c r="J19" s="163"/>
      <c r="K19" s="163"/>
      <c r="L19" s="163"/>
      <c r="M19" s="163"/>
    </row>
    <row r="20" spans="1:13" x14ac:dyDescent="0.25">
      <c r="A20" s="76" t="s">
        <v>291</v>
      </c>
      <c r="B20" s="163" t="s">
        <v>298</v>
      </c>
      <c r="C20" s="163"/>
      <c r="D20" s="163"/>
      <c r="E20" s="163"/>
      <c r="F20" s="163"/>
      <c r="G20" s="163"/>
      <c r="H20" s="163"/>
      <c r="I20" s="163"/>
      <c r="J20" s="163"/>
      <c r="K20" s="163"/>
      <c r="L20" s="163"/>
      <c r="M20" s="163"/>
    </row>
    <row r="21" spans="1:13" x14ac:dyDescent="0.25">
      <c r="A21" s="150" t="s">
        <v>569</v>
      </c>
      <c r="B21" s="163" t="s">
        <v>297</v>
      </c>
      <c r="C21" s="163"/>
      <c r="D21" s="163"/>
      <c r="E21" s="163"/>
      <c r="F21" s="163"/>
      <c r="G21" s="163"/>
      <c r="H21" s="163"/>
      <c r="I21" s="163"/>
      <c r="J21" s="163"/>
      <c r="K21" s="163"/>
      <c r="L21" s="163"/>
      <c r="M21" s="163"/>
    </row>
    <row r="23" spans="1:13" x14ac:dyDescent="0.25">
      <c r="B23" s="91" t="str">
        <f>HYPERLINK("#'Factor List'!A1","Back to Factor List")</f>
        <v>Back to Factor List</v>
      </c>
    </row>
    <row r="24" spans="1:13" x14ac:dyDescent="0.25">
      <c r="B24" s="91" t="str">
        <f>HYPERLINK("#'Assumptions'!A1","Assumptions")</f>
        <v>Assumptions</v>
      </c>
    </row>
    <row r="25" spans="1:13" x14ac:dyDescent="0.25">
      <c r="B25" s="91"/>
    </row>
    <row r="26" spans="1:13" x14ac:dyDescent="0.25">
      <c r="A26" s="100" t="s">
        <v>614</v>
      </c>
      <c r="B26" s="101">
        <v>0</v>
      </c>
      <c r="C26" s="101">
        <v>1</v>
      </c>
      <c r="D26" s="101">
        <v>2</v>
      </c>
      <c r="E26" s="101">
        <v>3</v>
      </c>
      <c r="F26" s="101">
        <v>4</v>
      </c>
      <c r="G26" s="101">
        <v>5</v>
      </c>
      <c r="H26" s="101">
        <v>6</v>
      </c>
      <c r="I26" s="101">
        <v>7</v>
      </c>
      <c r="J26" s="101">
        <v>8</v>
      </c>
      <c r="K26" s="101">
        <v>9</v>
      </c>
      <c r="L26" s="101">
        <v>10</v>
      </c>
      <c r="M26" s="101">
        <v>11</v>
      </c>
    </row>
    <row r="27" spans="1:13" x14ac:dyDescent="0.25">
      <c r="A27" s="102" t="s">
        <v>625</v>
      </c>
      <c r="B27" s="103">
        <v>26.2</v>
      </c>
      <c r="C27" s="103"/>
      <c r="D27" s="103"/>
      <c r="E27" s="103"/>
      <c r="F27" s="103"/>
      <c r="G27" s="103"/>
      <c r="H27" s="103"/>
      <c r="I27" s="103"/>
      <c r="J27" s="103"/>
      <c r="K27" s="103"/>
      <c r="L27" s="103"/>
      <c r="M27" s="103"/>
    </row>
    <row r="28" spans="1:13" x14ac:dyDescent="0.25">
      <c r="A28" s="104">
        <v>50</v>
      </c>
      <c r="B28" s="103">
        <v>26.2</v>
      </c>
      <c r="C28" s="103">
        <v>26.2</v>
      </c>
      <c r="D28" s="103">
        <v>26.1</v>
      </c>
      <c r="E28" s="103">
        <v>26.1</v>
      </c>
      <c r="F28" s="103">
        <v>26.1</v>
      </c>
      <c r="G28" s="103">
        <v>26</v>
      </c>
      <c r="H28" s="103">
        <v>26</v>
      </c>
      <c r="I28" s="103">
        <v>25.9</v>
      </c>
      <c r="J28" s="103">
        <v>25.9</v>
      </c>
      <c r="K28" s="103">
        <v>25.9</v>
      </c>
      <c r="L28" s="103">
        <v>25.8</v>
      </c>
      <c r="M28" s="103">
        <v>25.8</v>
      </c>
    </row>
    <row r="29" spans="1:13" x14ac:dyDescent="0.25">
      <c r="A29" s="104">
        <v>51</v>
      </c>
      <c r="B29" s="103">
        <v>25.7</v>
      </c>
      <c r="C29" s="103">
        <v>25.7</v>
      </c>
      <c r="D29" s="103">
        <v>25.7</v>
      </c>
      <c r="E29" s="103">
        <v>25.6</v>
      </c>
      <c r="F29" s="103">
        <v>25.6</v>
      </c>
      <c r="G29" s="103">
        <v>25.5</v>
      </c>
      <c r="H29" s="103">
        <v>25.5</v>
      </c>
      <c r="I29" s="103">
        <v>25.5</v>
      </c>
      <c r="J29" s="103">
        <v>25.4</v>
      </c>
      <c r="K29" s="103">
        <v>25.4</v>
      </c>
      <c r="L29" s="103">
        <v>25.3</v>
      </c>
      <c r="M29" s="103">
        <v>25.3</v>
      </c>
    </row>
    <row r="30" spans="1:13" x14ac:dyDescent="0.25">
      <c r="A30" s="104">
        <v>52</v>
      </c>
      <c r="B30" s="103">
        <v>25.2</v>
      </c>
      <c r="C30" s="103">
        <v>25.2</v>
      </c>
      <c r="D30" s="103">
        <v>25.2</v>
      </c>
      <c r="E30" s="103">
        <v>25.1</v>
      </c>
      <c r="F30" s="103">
        <v>25.1</v>
      </c>
      <c r="G30" s="103">
        <v>25</v>
      </c>
      <c r="H30" s="103">
        <v>25</v>
      </c>
      <c r="I30" s="103">
        <v>24.9</v>
      </c>
      <c r="J30" s="103">
        <v>24.9</v>
      </c>
      <c r="K30" s="103">
        <v>24.9</v>
      </c>
      <c r="L30" s="103">
        <v>24.8</v>
      </c>
      <c r="M30" s="103">
        <v>24.8</v>
      </c>
    </row>
    <row r="31" spans="1:13" x14ac:dyDescent="0.25">
      <c r="A31" s="104">
        <v>53</v>
      </c>
      <c r="B31" s="103">
        <v>24.7</v>
      </c>
      <c r="C31" s="103">
        <v>24.7</v>
      </c>
      <c r="D31" s="103">
        <v>24.6</v>
      </c>
      <c r="E31" s="103">
        <v>24.6</v>
      </c>
      <c r="F31" s="103">
        <v>24.5</v>
      </c>
      <c r="G31" s="103">
        <v>24.5</v>
      </c>
      <c r="H31" s="103">
        <v>24.5</v>
      </c>
      <c r="I31" s="103">
        <v>24.4</v>
      </c>
      <c r="J31" s="103">
        <v>24.4</v>
      </c>
      <c r="K31" s="103">
        <v>24.3</v>
      </c>
      <c r="L31" s="103">
        <v>24.3</v>
      </c>
      <c r="M31" s="103">
        <v>24.2</v>
      </c>
    </row>
    <row r="32" spans="1:13" x14ac:dyDescent="0.25">
      <c r="A32" s="104">
        <v>54</v>
      </c>
      <c r="B32" s="103">
        <v>24.2</v>
      </c>
      <c r="C32" s="103">
        <v>24.1</v>
      </c>
      <c r="D32" s="103">
        <v>24.1</v>
      </c>
      <c r="E32" s="103">
        <v>24</v>
      </c>
      <c r="F32" s="103">
        <v>24</v>
      </c>
      <c r="G32" s="103">
        <v>24</v>
      </c>
      <c r="H32" s="103">
        <v>23.9</v>
      </c>
      <c r="I32" s="103">
        <v>23.9</v>
      </c>
      <c r="J32" s="103">
        <v>23.8</v>
      </c>
      <c r="K32" s="103">
        <v>23.8</v>
      </c>
      <c r="L32" s="103">
        <v>23.7</v>
      </c>
      <c r="M32" s="103">
        <v>23.7</v>
      </c>
    </row>
    <row r="33" spans="1:13" x14ac:dyDescent="0.25">
      <c r="A33" s="104">
        <v>55</v>
      </c>
      <c r="B33" s="103">
        <v>23.6</v>
      </c>
      <c r="C33" s="103">
        <v>23.6</v>
      </c>
      <c r="D33" s="103">
        <v>23.5</v>
      </c>
      <c r="E33" s="103">
        <v>23.5</v>
      </c>
      <c r="F33" s="103">
        <v>23.4</v>
      </c>
      <c r="G33" s="103">
        <v>23.4</v>
      </c>
      <c r="H33" s="103">
        <v>23.3</v>
      </c>
      <c r="I33" s="103">
        <v>23.3</v>
      </c>
      <c r="J33" s="103">
        <v>23.2</v>
      </c>
      <c r="K33" s="103">
        <v>23.2</v>
      </c>
      <c r="L33" s="103">
        <v>23.1</v>
      </c>
      <c r="M33" s="103">
        <v>23.1</v>
      </c>
    </row>
    <row r="34" spans="1:13" x14ac:dyDescent="0.25">
      <c r="A34" s="104">
        <v>56</v>
      </c>
      <c r="B34" s="103">
        <v>23</v>
      </c>
      <c r="C34" s="103">
        <v>23</v>
      </c>
      <c r="D34" s="103">
        <v>22.9</v>
      </c>
      <c r="E34" s="103">
        <v>22.9</v>
      </c>
      <c r="F34" s="103">
        <v>22.8</v>
      </c>
      <c r="G34" s="103">
        <v>22.8</v>
      </c>
      <c r="H34" s="103">
        <v>22.7</v>
      </c>
      <c r="I34" s="103">
        <v>22.7</v>
      </c>
      <c r="J34" s="103">
        <v>22.6</v>
      </c>
      <c r="K34" s="103">
        <v>22.6</v>
      </c>
      <c r="L34" s="103">
        <v>22.5</v>
      </c>
      <c r="M34" s="103">
        <v>22.5</v>
      </c>
    </row>
    <row r="35" spans="1:13" x14ac:dyDescent="0.25">
      <c r="A35" s="104">
        <v>57</v>
      </c>
      <c r="B35" s="103">
        <v>22.4</v>
      </c>
      <c r="C35" s="103">
        <v>22.4</v>
      </c>
      <c r="D35" s="103">
        <v>22.3</v>
      </c>
      <c r="E35" s="103">
        <v>22.3</v>
      </c>
      <c r="F35" s="103">
        <v>22.2</v>
      </c>
      <c r="G35" s="103">
        <v>22.2</v>
      </c>
      <c r="H35" s="103">
        <v>22.1</v>
      </c>
      <c r="I35" s="103">
        <v>22.1</v>
      </c>
      <c r="J35" s="103">
        <v>22</v>
      </c>
      <c r="K35" s="103">
        <v>22</v>
      </c>
      <c r="L35" s="103">
        <v>21.9</v>
      </c>
      <c r="M35" s="103">
        <v>21.9</v>
      </c>
    </row>
    <row r="36" spans="1:13" x14ac:dyDescent="0.25">
      <c r="A36" s="104">
        <v>58</v>
      </c>
      <c r="B36" s="103">
        <v>21.8</v>
      </c>
      <c r="C36" s="103">
        <v>21.8</v>
      </c>
      <c r="D36" s="103">
        <v>21.7</v>
      </c>
      <c r="E36" s="103">
        <v>21.7</v>
      </c>
      <c r="F36" s="103">
        <v>21.6</v>
      </c>
      <c r="G36" s="103">
        <v>21.6</v>
      </c>
      <c r="H36" s="103">
        <v>21.5</v>
      </c>
      <c r="I36" s="103">
        <v>21.5</v>
      </c>
      <c r="J36" s="103">
        <v>21.4</v>
      </c>
      <c r="K36" s="103">
        <v>21.4</v>
      </c>
      <c r="L36" s="103">
        <v>21.3</v>
      </c>
      <c r="M36" s="103">
        <v>21.3</v>
      </c>
    </row>
    <row r="37" spans="1:13" x14ac:dyDescent="0.25">
      <c r="A37" s="104">
        <v>59</v>
      </c>
      <c r="B37" s="103">
        <v>21.2</v>
      </c>
      <c r="C37" s="103">
        <v>21.2</v>
      </c>
      <c r="D37" s="103">
        <v>21.1</v>
      </c>
      <c r="E37" s="103">
        <v>21.1</v>
      </c>
      <c r="F37" s="103">
        <v>21</v>
      </c>
      <c r="G37" s="103">
        <v>21</v>
      </c>
      <c r="H37" s="103">
        <v>20.9</v>
      </c>
      <c r="I37" s="103">
        <v>20.9</v>
      </c>
      <c r="J37" s="103">
        <v>20.8</v>
      </c>
      <c r="K37" s="103">
        <v>20.8</v>
      </c>
      <c r="L37" s="103">
        <v>20.7</v>
      </c>
      <c r="M37" s="103">
        <v>20.7</v>
      </c>
    </row>
    <row r="38" spans="1:13" x14ac:dyDescent="0.25">
      <c r="A38" s="104">
        <v>60</v>
      </c>
      <c r="B38" s="103">
        <v>20.6</v>
      </c>
      <c r="C38" s="103">
        <v>20.6</v>
      </c>
      <c r="D38" s="103">
        <v>20.5</v>
      </c>
      <c r="E38" s="103">
        <v>20.5</v>
      </c>
      <c r="F38" s="103">
        <v>20.399999999999999</v>
      </c>
      <c r="G38" s="103">
        <v>20.399999999999999</v>
      </c>
      <c r="H38" s="103">
        <v>20.3</v>
      </c>
      <c r="I38" s="103">
        <v>20.3</v>
      </c>
      <c r="J38" s="103">
        <v>20.2</v>
      </c>
      <c r="K38" s="103">
        <v>20.2</v>
      </c>
      <c r="L38" s="103">
        <v>20.100000000000001</v>
      </c>
      <c r="M38" s="103">
        <v>20.100000000000001</v>
      </c>
    </row>
    <row r="39" spans="1:13" x14ac:dyDescent="0.25">
      <c r="A39" s="104">
        <v>61</v>
      </c>
      <c r="B39" s="103">
        <v>20</v>
      </c>
      <c r="C39" s="103">
        <v>20</v>
      </c>
      <c r="D39" s="103">
        <v>19.899999999999999</v>
      </c>
      <c r="E39" s="103">
        <v>19.899999999999999</v>
      </c>
      <c r="F39" s="103">
        <v>19.8</v>
      </c>
      <c r="G39" s="103">
        <v>19.8</v>
      </c>
      <c r="H39" s="103">
        <v>19.7</v>
      </c>
      <c r="I39" s="103">
        <v>19.7</v>
      </c>
      <c r="J39" s="103">
        <v>19.600000000000001</v>
      </c>
      <c r="K39" s="103">
        <v>19.5</v>
      </c>
      <c r="L39" s="103">
        <v>19.5</v>
      </c>
      <c r="M39" s="103">
        <v>19.399999999999999</v>
      </c>
    </row>
    <row r="40" spans="1:13" x14ac:dyDescent="0.25">
      <c r="A40" s="104">
        <v>62</v>
      </c>
      <c r="B40" s="103">
        <v>19.399999999999999</v>
      </c>
      <c r="C40" s="103">
        <v>19.3</v>
      </c>
      <c r="D40" s="103">
        <v>19.3</v>
      </c>
      <c r="E40" s="103">
        <v>19.2</v>
      </c>
      <c r="F40" s="103">
        <v>19.2</v>
      </c>
      <c r="G40" s="103">
        <v>19.100000000000001</v>
      </c>
      <c r="H40" s="103">
        <v>19.100000000000001</v>
      </c>
      <c r="I40" s="103">
        <v>19</v>
      </c>
      <c r="J40" s="103">
        <v>19</v>
      </c>
      <c r="K40" s="103">
        <v>18.899999999999999</v>
      </c>
      <c r="L40" s="103">
        <v>18.899999999999999</v>
      </c>
      <c r="M40" s="103">
        <v>18.8</v>
      </c>
    </row>
    <row r="41" spans="1:13" x14ac:dyDescent="0.25">
      <c r="A41" s="104">
        <v>63</v>
      </c>
      <c r="B41" s="103">
        <v>18.8</v>
      </c>
      <c r="C41" s="103">
        <v>18.7</v>
      </c>
      <c r="D41" s="103">
        <v>18.7</v>
      </c>
      <c r="E41" s="103">
        <v>18.600000000000001</v>
      </c>
      <c r="F41" s="103">
        <v>18.600000000000001</v>
      </c>
      <c r="G41" s="103">
        <v>18.5</v>
      </c>
      <c r="H41" s="103">
        <v>18.5</v>
      </c>
      <c r="I41" s="103">
        <v>18.399999999999999</v>
      </c>
      <c r="J41" s="103">
        <v>18.399999999999999</v>
      </c>
      <c r="K41" s="103">
        <v>18.3</v>
      </c>
      <c r="L41" s="103">
        <v>18.2</v>
      </c>
      <c r="M41" s="103">
        <v>18.2</v>
      </c>
    </row>
    <row r="42" spans="1:13" x14ac:dyDescent="0.25">
      <c r="A42" s="104">
        <v>64</v>
      </c>
      <c r="B42" s="103">
        <v>18.100000000000001</v>
      </c>
      <c r="C42" s="103">
        <v>18.100000000000001</v>
      </c>
      <c r="D42" s="103">
        <v>18</v>
      </c>
      <c r="E42" s="103">
        <v>18</v>
      </c>
      <c r="F42" s="103">
        <v>17.899999999999999</v>
      </c>
      <c r="G42" s="103">
        <v>17.899999999999999</v>
      </c>
      <c r="H42" s="103">
        <v>17.8</v>
      </c>
      <c r="I42" s="103">
        <v>17.8</v>
      </c>
      <c r="J42" s="103">
        <v>17.7</v>
      </c>
      <c r="K42" s="103">
        <v>17.7</v>
      </c>
      <c r="L42" s="103">
        <v>17.600000000000001</v>
      </c>
      <c r="M42" s="103">
        <v>17.600000000000001</v>
      </c>
    </row>
    <row r="43" spans="1:13" x14ac:dyDescent="0.25">
      <c r="A43" s="104">
        <v>65</v>
      </c>
      <c r="B43" s="103">
        <v>17.5</v>
      </c>
      <c r="C43" s="103">
        <v>17.5</v>
      </c>
      <c r="D43" s="103">
        <v>17.399999999999999</v>
      </c>
      <c r="E43" s="103">
        <v>17.399999999999999</v>
      </c>
      <c r="F43" s="103">
        <v>17.3</v>
      </c>
      <c r="G43" s="103">
        <v>17.3</v>
      </c>
      <c r="H43" s="103">
        <v>17.2</v>
      </c>
      <c r="I43" s="103">
        <v>17.100000000000001</v>
      </c>
      <c r="J43" s="103">
        <v>17.100000000000001</v>
      </c>
      <c r="K43" s="103">
        <v>17</v>
      </c>
      <c r="L43" s="103">
        <v>17</v>
      </c>
      <c r="M43" s="103">
        <v>16.899999999999999</v>
      </c>
    </row>
    <row r="44" spans="1:13" x14ac:dyDescent="0.25">
      <c r="A44" s="104">
        <v>66</v>
      </c>
      <c r="B44" s="103">
        <v>16.899999999999999</v>
      </c>
      <c r="C44" s="103">
        <v>16.8</v>
      </c>
      <c r="D44" s="103">
        <v>16.8</v>
      </c>
      <c r="E44" s="103">
        <v>16.7</v>
      </c>
      <c r="F44" s="103">
        <v>16.7</v>
      </c>
      <c r="G44" s="103">
        <v>16.600000000000001</v>
      </c>
      <c r="H44" s="103">
        <v>16.600000000000001</v>
      </c>
      <c r="I44" s="103">
        <v>16.5</v>
      </c>
      <c r="J44" s="103">
        <v>16.5</v>
      </c>
      <c r="K44" s="103">
        <v>16.399999999999999</v>
      </c>
      <c r="L44" s="103">
        <v>16.399999999999999</v>
      </c>
      <c r="M44" s="103">
        <v>16.3</v>
      </c>
    </row>
    <row r="45" spans="1:13" x14ac:dyDescent="0.25">
      <c r="A45" s="104">
        <v>67</v>
      </c>
      <c r="B45" s="103">
        <v>16.3</v>
      </c>
      <c r="C45" s="103">
        <v>16.2</v>
      </c>
      <c r="D45" s="103">
        <v>16.100000000000001</v>
      </c>
      <c r="E45" s="103">
        <v>16.100000000000001</v>
      </c>
      <c r="F45" s="103">
        <v>16</v>
      </c>
      <c r="G45" s="103">
        <v>16</v>
      </c>
      <c r="H45" s="103">
        <v>15.9</v>
      </c>
      <c r="I45" s="103">
        <v>15.9</v>
      </c>
      <c r="J45" s="103">
        <v>15.8</v>
      </c>
      <c r="K45" s="103">
        <v>15.8</v>
      </c>
      <c r="L45" s="103">
        <v>15.7</v>
      </c>
      <c r="M45" s="103">
        <v>15.7</v>
      </c>
    </row>
    <row r="46" spans="1:13" x14ac:dyDescent="0.25">
      <c r="A46" s="104">
        <v>68</v>
      </c>
      <c r="B46" s="103">
        <v>15.6</v>
      </c>
      <c r="C46" s="103">
        <v>15.6</v>
      </c>
      <c r="D46" s="103">
        <v>15.5</v>
      </c>
      <c r="E46" s="103">
        <v>15.5</v>
      </c>
      <c r="F46" s="103">
        <v>15.4</v>
      </c>
      <c r="G46" s="103">
        <v>15.4</v>
      </c>
      <c r="H46" s="103">
        <v>15.3</v>
      </c>
      <c r="I46" s="103">
        <v>15.3</v>
      </c>
      <c r="J46" s="103">
        <v>15.2</v>
      </c>
      <c r="K46" s="103">
        <v>15.1</v>
      </c>
      <c r="L46" s="103">
        <v>15.1</v>
      </c>
      <c r="M46" s="103">
        <v>15</v>
      </c>
    </row>
    <row r="47" spans="1:13" x14ac:dyDescent="0.25">
      <c r="A47" s="104">
        <v>69</v>
      </c>
      <c r="B47" s="103">
        <v>15</v>
      </c>
      <c r="C47" s="103">
        <v>14.9</v>
      </c>
      <c r="D47" s="103">
        <v>14.9</v>
      </c>
      <c r="E47" s="103">
        <v>14.8</v>
      </c>
      <c r="F47" s="103">
        <v>14.8</v>
      </c>
      <c r="G47" s="103">
        <v>14.7</v>
      </c>
      <c r="H47" s="103">
        <v>14.7</v>
      </c>
      <c r="I47" s="103">
        <v>14.6</v>
      </c>
      <c r="J47" s="103">
        <v>14.6</v>
      </c>
      <c r="K47" s="103">
        <v>14.5</v>
      </c>
      <c r="L47" s="103">
        <v>14.5</v>
      </c>
      <c r="M47" s="103">
        <v>14.4</v>
      </c>
    </row>
    <row r="48" spans="1:13" x14ac:dyDescent="0.25">
      <c r="A48" s="104">
        <v>70</v>
      </c>
      <c r="B48" s="103">
        <v>14.4</v>
      </c>
      <c r="C48" s="103">
        <v>14.3</v>
      </c>
      <c r="D48" s="103">
        <v>14.3</v>
      </c>
      <c r="E48" s="103">
        <v>14.2</v>
      </c>
      <c r="F48" s="103">
        <v>14.1</v>
      </c>
      <c r="G48" s="103">
        <v>14.1</v>
      </c>
      <c r="H48" s="103">
        <v>14</v>
      </c>
      <c r="I48" s="103">
        <v>14</v>
      </c>
      <c r="J48" s="103">
        <v>13.9</v>
      </c>
      <c r="K48" s="103">
        <v>13.9</v>
      </c>
      <c r="L48" s="103">
        <v>13.8</v>
      </c>
      <c r="M48" s="103">
        <v>13.8</v>
      </c>
    </row>
    <row r="49" spans="1:13" x14ac:dyDescent="0.25">
      <c r="A49" s="104">
        <v>71</v>
      </c>
      <c r="B49" s="103">
        <v>13.7</v>
      </c>
      <c r="C49" s="103">
        <v>13.7</v>
      </c>
      <c r="D49" s="103">
        <v>13.6</v>
      </c>
      <c r="E49" s="103">
        <v>13.6</v>
      </c>
      <c r="F49" s="103">
        <v>13.5</v>
      </c>
      <c r="G49" s="103">
        <v>13.5</v>
      </c>
      <c r="H49" s="103">
        <v>13.4</v>
      </c>
      <c r="I49" s="103">
        <v>13.4</v>
      </c>
      <c r="J49" s="103">
        <v>13.3</v>
      </c>
      <c r="K49" s="103">
        <v>13.3</v>
      </c>
      <c r="L49" s="103">
        <v>13.2</v>
      </c>
      <c r="M49" s="103">
        <v>13.2</v>
      </c>
    </row>
    <row r="50" spans="1:13" x14ac:dyDescent="0.25">
      <c r="A50" s="104">
        <v>72</v>
      </c>
      <c r="B50" s="103">
        <v>13.1</v>
      </c>
      <c r="C50" s="103">
        <v>13.1</v>
      </c>
      <c r="D50" s="103">
        <v>13</v>
      </c>
      <c r="E50" s="103">
        <v>12.9</v>
      </c>
      <c r="F50" s="103">
        <v>12.9</v>
      </c>
      <c r="G50" s="103">
        <v>12.8</v>
      </c>
      <c r="H50" s="103">
        <v>12.8</v>
      </c>
      <c r="I50" s="103">
        <v>12.7</v>
      </c>
      <c r="J50" s="103">
        <v>12.7</v>
      </c>
      <c r="K50" s="103">
        <v>12.6</v>
      </c>
      <c r="L50" s="103">
        <v>12.6</v>
      </c>
      <c r="M50" s="103">
        <v>12.5</v>
      </c>
    </row>
    <row r="51" spans="1:13" x14ac:dyDescent="0.25">
      <c r="A51" s="104">
        <v>73</v>
      </c>
      <c r="B51" s="103">
        <v>12.5</v>
      </c>
      <c r="C51" s="103">
        <v>12.4</v>
      </c>
      <c r="D51" s="103">
        <v>12.4</v>
      </c>
      <c r="E51" s="103">
        <v>12.3</v>
      </c>
      <c r="F51" s="103">
        <v>12.3</v>
      </c>
      <c r="G51" s="103">
        <v>12.2</v>
      </c>
      <c r="H51" s="103">
        <v>12.2</v>
      </c>
      <c r="I51" s="103">
        <v>12.1</v>
      </c>
      <c r="J51" s="103">
        <v>12.1</v>
      </c>
      <c r="K51" s="103">
        <v>12</v>
      </c>
      <c r="L51" s="103">
        <v>12</v>
      </c>
      <c r="M51" s="103">
        <v>11.9</v>
      </c>
    </row>
    <row r="52" spans="1:13" x14ac:dyDescent="0.25">
      <c r="A52" s="104">
        <v>74</v>
      </c>
      <c r="B52" s="103">
        <v>11.9</v>
      </c>
      <c r="C52" s="103">
        <v>11.8</v>
      </c>
      <c r="D52" s="103">
        <v>11.8</v>
      </c>
      <c r="E52" s="103">
        <v>11.7</v>
      </c>
      <c r="F52" s="103">
        <v>11.7</v>
      </c>
      <c r="G52" s="103">
        <v>11.6</v>
      </c>
      <c r="H52" s="103">
        <v>11.6</v>
      </c>
      <c r="I52" s="103">
        <v>11.5</v>
      </c>
      <c r="J52" s="103">
        <v>11.5</v>
      </c>
      <c r="K52" s="103">
        <v>11.4</v>
      </c>
      <c r="L52" s="103">
        <v>11.4</v>
      </c>
      <c r="M52" s="103">
        <v>11.3</v>
      </c>
    </row>
    <row r="53" spans="1:13" x14ac:dyDescent="0.25">
      <c r="A53" s="104">
        <v>75</v>
      </c>
      <c r="B53" s="103">
        <v>11.3</v>
      </c>
      <c r="C53" s="103"/>
      <c r="D53" s="103"/>
      <c r="E53" s="103"/>
      <c r="F53" s="103"/>
      <c r="G53" s="103"/>
      <c r="H53" s="103"/>
      <c r="I53" s="103"/>
      <c r="J53" s="103"/>
      <c r="K53" s="103"/>
      <c r="L53" s="103"/>
      <c r="M53" s="103"/>
    </row>
  </sheetData>
  <sheetProtection algorithmName="SHA-512" hashValue="IkeIKd20a0jymdTkviyP3QPsu3E8B0bGc0E66qXPFrVLfnBPxZjP6cWC9sEHU9RvJcGXd7Fw4mvHxD59P/fINA==" saltValue="cDJkqUsinzWoSlPEMwLQsw==" spinCount="100000" sheet="1" objects="1" scenarios="1"/>
  <conditionalFormatting sqref="A6:A21">
    <cfRule type="expression" dxfId="242" priority="5" stopIfTrue="1">
      <formula>MOD(ROW(),2)=0</formula>
    </cfRule>
    <cfRule type="expression" dxfId="241" priority="6" stopIfTrue="1">
      <formula>MOD(ROW(),2)&lt;&gt;0</formula>
    </cfRule>
  </conditionalFormatting>
  <conditionalFormatting sqref="A26:A53">
    <cfRule type="expression" dxfId="240" priority="17" stopIfTrue="1">
      <formula>MOD(ROW(),2)=0</formula>
    </cfRule>
    <cfRule type="expression" dxfId="239" priority="18" stopIfTrue="1">
      <formula>MOD(ROW(),2)&lt;&gt;0</formula>
    </cfRule>
  </conditionalFormatting>
  <conditionalFormatting sqref="B6:M6 B26:M53">
    <cfRule type="expression" dxfId="238" priority="37" stopIfTrue="1">
      <formula>MOD(ROW(),2)=0</formula>
    </cfRule>
    <cfRule type="expression" dxfId="237" priority="38" stopIfTrue="1">
      <formula>MOD(ROW(),2)&lt;&gt;0</formula>
    </cfRule>
  </conditionalFormatting>
  <conditionalFormatting sqref="B6:M21">
    <cfRule type="expression" dxfId="236" priority="15" stopIfTrue="1">
      <formula>MOD(ROW(),2)=0</formula>
    </cfRule>
    <cfRule type="expression" dxfId="235" priority="16" stopIfTrue="1">
      <formula>MOD(ROW(),2)&lt;&gt;0</formula>
    </cfRule>
  </conditionalFormatting>
  <conditionalFormatting sqref="B17:M21">
    <cfRule type="expression" dxfId="234" priority="9" stopIfTrue="1">
      <formula>MOD(ROW(),2)=0</formula>
    </cfRule>
    <cfRule type="expression" dxfId="233"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A2450-972E-496C-AFB0-C804B32E92D7}">
  <sheetPr codeName="Sheet119"/>
  <dimension ref="A1:M45"/>
  <sheetViews>
    <sheetView showGridLines="0" zoomScale="85" zoomScaleNormal="85" workbookViewId="0">
      <selection activeCell="A4" sqref="A4"/>
    </sheetView>
  </sheetViews>
  <sheetFormatPr defaultColWidth="10" defaultRowHeight="13.2" x14ac:dyDescent="0.25"/>
  <cols>
    <col min="1" max="1" width="31.88671875" style="27" customWidth="1"/>
    <col min="2" max="2" width="47.109375" style="27" customWidth="1"/>
    <col min="3" max="3" width="10.109375" style="27" customWidth="1"/>
    <col min="4" max="4" width="10" style="27" customWidth="1"/>
    <col min="5" max="16384" width="10" style="27"/>
  </cols>
  <sheetData>
    <row r="1" spans="1:13" ht="21" x14ac:dyDescent="0.4">
      <c r="A1" s="39" t="s">
        <v>0</v>
      </c>
      <c r="B1" s="40"/>
      <c r="C1" s="40"/>
      <c r="D1" s="40"/>
      <c r="E1" s="40"/>
      <c r="F1" s="40"/>
      <c r="G1" s="40"/>
      <c r="H1" s="40"/>
      <c r="I1" s="40"/>
    </row>
    <row r="2" spans="1:13" ht="15.6" x14ac:dyDescent="0.3">
      <c r="A2" s="41" t="str">
        <f>IF(title="&gt; Enter workbook title here","Enter workbook title in Cover sheet",title)</f>
        <v>Fire_S - Consolidated Factor Spreadsheet</v>
      </c>
      <c r="B2" s="42"/>
      <c r="C2" s="42"/>
      <c r="D2" s="42"/>
      <c r="E2" s="42"/>
      <c r="F2" s="42"/>
      <c r="G2" s="42"/>
      <c r="H2" s="42"/>
      <c r="I2" s="42"/>
    </row>
    <row r="3" spans="1:13" ht="15.6" x14ac:dyDescent="0.3">
      <c r="A3" s="43" t="str">
        <f>TABLE_FACTOR_TYPE_1&amp;" - x-"&amp;TABLE_SERIES_NUMBER_1</f>
        <v>Commutation - x-506</v>
      </c>
      <c r="B3" s="42"/>
      <c r="C3" s="42"/>
      <c r="D3" s="42"/>
      <c r="E3" s="42"/>
      <c r="F3" s="42"/>
      <c r="G3" s="42"/>
      <c r="H3" s="42"/>
      <c r="I3" s="42"/>
    </row>
    <row r="4" spans="1:13" x14ac:dyDescent="0.25">
      <c r="A4" s="44"/>
    </row>
    <row r="6" spans="1:13" x14ac:dyDescent="0.25">
      <c r="A6" s="75" t="s">
        <v>484</v>
      </c>
      <c r="B6" s="161" t="s">
        <v>485</v>
      </c>
      <c r="C6" s="77"/>
      <c r="D6" s="77"/>
      <c r="E6" s="77"/>
      <c r="F6" s="77"/>
      <c r="G6" s="77"/>
      <c r="H6" s="77"/>
      <c r="I6" s="77"/>
      <c r="J6" s="77"/>
      <c r="K6" s="77"/>
      <c r="L6" s="77"/>
      <c r="M6" s="77"/>
    </row>
    <row r="7" spans="1:13" x14ac:dyDescent="0.25">
      <c r="A7" s="76" t="s">
        <v>486</v>
      </c>
      <c r="B7" s="163" t="s">
        <v>81</v>
      </c>
      <c r="C7" s="82"/>
      <c r="D7" s="82"/>
      <c r="E7" s="82"/>
      <c r="F7" s="82"/>
      <c r="G7" s="82"/>
      <c r="H7" s="82"/>
      <c r="I7" s="82"/>
      <c r="J7" s="82"/>
      <c r="K7" s="82"/>
      <c r="L7" s="82"/>
      <c r="M7" s="82"/>
    </row>
    <row r="8" spans="1:13" x14ac:dyDescent="0.25">
      <c r="A8" s="76" t="s">
        <v>282</v>
      </c>
      <c r="B8" s="163">
        <v>1992</v>
      </c>
      <c r="C8" s="82"/>
      <c r="D8" s="82"/>
      <c r="E8" s="82"/>
      <c r="F8" s="82"/>
      <c r="G8" s="82"/>
      <c r="H8" s="82"/>
      <c r="I8" s="82"/>
      <c r="J8" s="82"/>
      <c r="K8" s="82"/>
      <c r="L8" s="82"/>
      <c r="M8" s="82"/>
    </row>
    <row r="9" spans="1:13" x14ac:dyDescent="0.25">
      <c r="A9" s="76" t="s">
        <v>283</v>
      </c>
      <c r="B9" s="163" t="s">
        <v>410</v>
      </c>
      <c r="C9" s="82"/>
      <c r="D9" s="82"/>
      <c r="E9" s="82"/>
      <c r="F9" s="82"/>
      <c r="G9" s="82"/>
      <c r="H9" s="82"/>
      <c r="I9" s="82"/>
      <c r="J9" s="82"/>
      <c r="K9" s="82"/>
      <c r="L9" s="82"/>
      <c r="M9" s="82"/>
    </row>
    <row r="10" spans="1:13" ht="12.75" customHeight="1" x14ac:dyDescent="0.25">
      <c r="A10" s="76" t="s">
        <v>6</v>
      </c>
      <c r="B10" s="163" t="s">
        <v>414</v>
      </c>
      <c r="C10" s="82"/>
      <c r="D10" s="82"/>
      <c r="E10" s="82"/>
      <c r="F10" s="82"/>
      <c r="G10" s="82"/>
      <c r="H10" s="82"/>
      <c r="I10" s="82"/>
      <c r="J10" s="82"/>
      <c r="K10" s="82"/>
      <c r="L10" s="82"/>
      <c r="M10" s="82"/>
    </row>
    <row r="11" spans="1:13" x14ac:dyDescent="0.25">
      <c r="A11" s="76" t="s">
        <v>284</v>
      </c>
      <c r="B11" s="163" t="s">
        <v>349</v>
      </c>
      <c r="C11" s="82"/>
      <c r="D11" s="82"/>
      <c r="E11" s="82"/>
      <c r="F11" s="82"/>
      <c r="G11" s="82"/>
      <c r="H11" s="82"/>
      <c r="I11" s="82"/>
      <c r="J11" s="82"/>
      <c r="K11" s="82"/>
      <c r="L11" s="82"/>
      <c r="M11" s="82"/>
    </row>
    <row r="12" spans="1:13" ht="12.6" customHeight="1" x14ac:dyDescent="0.25">
      <c r="A12" s="76" t="s">
        <v>285</v>
      </c>
      <c r="B12" s="163" t="s">
        <v>412</v>
      </c>
      <c r="C12" s="82"/>
      <c r="D12" s="82"/>
      <c r="E12" s="82"/>
      <c r="F12" s="82"/>
      <c r="G12" s="82"/>
      <c r="H12" s="82"/>
      <c r="I12" s="82"/>
      <c r="J12" s="82"/>
      <c r="K12" s="82"/>
      <c r="L12" s="82"/>
      <c r="M12" s="82"/>
    </row>
    <row r="13" spans="1:13" ht="12.6" hidden="1" customHeight="1" x14ac:dyDescent="0.25">
      <c r="A13" s="76" t="s">
        <v>493</v>
      </c>
      <c r="B13" s="163">
        <v>0</v>
      </c>
      <c r="C13" s="82"/>
      <c r="D13" s="82"/>
      <c r="E13" s="82"/>
      <c r="F13" s="82"/>
      <c r="G13" s="82"/>
      <c r="H13" s="82"/>
      <c r="I13" s="82"/>
      <c r="J13" s="82"/>
      <c r="K13" s="82"/>
      <c r="L13" s="82"/>
      <c r="M13" s="82"/>
    </row>
    <row r="14" spans="1:13" ht="12.6" hidden="1" customHeight="1" x14ac:dyDescent="0.25">
      <c r="A14" s="76" t="s">
        <v>287</v>
      </c>
      <c r="B14" s="163">
        <v>506</v>
      </c>
      <c r="C14" s="82"/>
      <c r="D14" s="82"/>
      <c r="E14" s="82"/>
      <c r="F14" s="82"/>
      <c r="G14" s="82"/>
      <c r="H14" s="82"/>
      <c r="I14" s="82"/>
      <c r="J14" s="82"/>
      <c r="K14" s="82"/>
      <c r="L14" s="82"/>
      <c r="M14" s="82"/>
    </row>
    <row r="15" spans="1:13" x14ac:dyDescent="0.25">
      <c r="A15" s="76" t="s">
        <v>496</v>
      </c>
      <c r="B15" s="163" t="s">
        <v>415</v>
      </c>
      <c r="C15" s="82"/>
      <c r="D15" s="82"/>
      <c r="E15" s="82"/>
      <c r="F15" s="82"/>
      <c r="G15" s="82"/>
      <c r="H15" s="82"/>
      <c r="I15" s="82"/>
      <c r="J15" s="82"/>
      <c r="K15" s="82"/>
      <c r="L15" s="82"/>
      <c r="M15" s="82"/>
    </row>
    <row r="16" spans="1:13" x14ac:dyDescent="0.25">
      <c r="A16" s="76" t="s">
        <v>288</v>
      </c>
      <c r="B16" s="163" t="s">
        <v>416</v>
      </c>
      <c r="C16" s="82"/>
      <c r="D16" s="82"/>
      <c r="E16" s="82"/>
      <c r="F16" s="82"/>
      <c r="G16" s="82"/>
      <c r="H16" s="82"/>
      <c r="I16" s="82"/>
      <c r="J16" s="82"/>
      <c r="K16" s="82"/>
      <c r="L16" s="82"/>
      <c r="M16" s="82"/>
    </row>
    <row r="17" spans="1:13" ht="41.1" customHeight="1" x14ac:dyDescent="0.25">
      <c r="A17" s="76" t="s">
        <v>568</v>
      </c>
      <c r="B17" s="163"/>
      <c r="C17" s="82"/>
      <c r="D17" s="82"/>
      <c r="E17" s="82"/>
      <c r="F17" s="82"/>
      <c r="G17" s="82"/>
      <c r="H17" s="82"/>
      <c r="I17" s="82"/>
      <c r="J17" s="82"/>
      <c r="K17" s="82"/>
      <c r="L17" s="82"/>
      <c r="M17" s="82"/>
    </row>
    <row r="18" spans="1:13" x14ac:dyDescent="0.25">
      <c r="A18" s="76" t="s">
        <v>500</v>
      </c>
      <c r="B18" s="166">
        <v>45019</v>
      </c>
      <c r="C18" s="83"/>
      <c r="D18" s="83"/>
      <c r="E18" s="83"/>
      <c r="F18" s="83"/>
      <c r="G18" s="83"/>
      <c r="H18" s="83"/>
      <c r="I18" s="83"/>
      <c r="J18" s="83"/>
      <c r="K18" s="83"/>
      <c r="L18" s="83"/>
      <c r="M18" s="83"/>
    </row>
    <row r="19" spans="1:13" ht="12.75" customHeight="1" x14ac:dyDescent="0.25">
      <c r="A19" s="76" t="s">
        <v>290</v>
      </c>
      <c r="B19" s="166">
        <v>45019</v>
      </c>
      <c r="C19" s="83"/>
      <c r="D19" s="83"/>
      <c r="E19" s="83"/>
      <c r="F19" s="83"/>
      <c r="G19" s="83"/>
      <c r="H19" s="83"/>
      <c r="I19" s="83"/>
      <c r="J19" s="83"/>
      <c r="K19" s="83"/>
      <c r="L19" s="83"/>
      <c r="M19" s="83"/>
    </row>
    <row r="20" spans="1:13" x14ac:dyDescent="0.25">
      <c r="A20" s="76" t="s">
        <v>291</v>
      </c>
      <c r="B20" s="163" t="s">
        <v>298</v>
      </c>
      <c r="C20" s="82"/>
      <c r="D20" s="82"/>
      <c r="E20" s="82"/>
      <c r="F20" s="82"/>
      <c r="G20" s="82"/>
      <c r="H20" s="82"/>
      <c r="I20" s="82"/>
      <c r="J20" s="82"/>
      <c r="K20" s="82"/>
      <c r="L20" s="82"/>
      <c r="M20" s="82"/>
    </row>
    <row r="21" spans="1:13" x14ac:dyDescent="0.25">
      <c r="A21" s="150" t="s">
        <v>569</v>
      </c>
      <c r="B21" s="163" t="s">
        <v>297</v>
      </c>
      <c r="C21" s="82"/>
      <c r="D21" s="82"/>
      <c r="E21" s="82"/>
      <c r="F21" s="82"/>
      <c r="G21" s="82"/>
      <c r="H21" s="82"/>
      <c r="I21" s="82"/>
      <c r="J21" s="82"/>
      <c r="K21" s="82"/>
      <c r="L21" s="82"/>
      <c r="M21" s="82"/>
    </row>
    <row r="23" spans="1:13" x14ac:dyDescent="0.25">
      <c r="B23" s="91" t="str">
        <f>HYPERLINK("#'Factor List'!A1","Back to Factor List")</f>
        <v>Back to Factor List</v>
      </c>
    </row>
    <row r="24" spans="1:13" x14ac:dyDescent="0.25">
      <c r="B24" s="91" t="str">
        <f>HYPERLINK("#'Assumptions'!A1","Assumptions")</f>
        <v>Assumptions</v>
      </c>
    </row>
    <row r="26" spans="1:13" ht="12.6" customHeight="1" x14ac:dyDescent="0.25">
      <c r="B26" s="152" t="s">
        <v>626</v>
      </c>
      <c r="C26" s="152"/>
      <c r="D26" s="152"/>
      <c r="E26" s="152"/>
      <c r="F26" s="152"/>
      <c r="G26" s="152"/>
      <c r="H26" s="152"/>
      <c r="I26" s="152"/>
      <c r="J26" s="152"/>
      <c r="K26" s="152"/>
      <c r="L26" s="152"/>
      <c r="M26" s="152"/>
    </row>
    <row r="27" spans="1:13" x14ac:dyDescent="0.25">
      <c r="B27" s="91"/>
    </row>
    <row r="28" spans="1:13" ht="12.9" customHeight="1" x14ac:dyDescent="0.25">
      <c r="A28" s="100"/>
      <c r="B28" s="151" t="s">
        <v>412</v>
      </c>
      <c r="C28" s="151"/>
      <c r="D28" s="151"/>
      <c r="E28" s="151"/>
      <c r="F28" s="151"/>
      <c r="G28" s="151"/>
      <c r="H28" s="151"/>
      <c r="I28" s="151"/>
      <c r="J28" s="151"/>
      <c r="K28" s="151"/>
      <c r="L28" s="151"/>
      <c r="M28" s="151"/>
    </row>
    <row r="29" spans="1:13" x14ac:dyDescent="0.25">
      <c r="A29" s="100" t="s">
        <v>614</v>
      </c>
      <c r="B29" s="101">
        <v>0</v>
      </c>
      <c r="C29" s="101">
        <v>1</v>
      </c>
      <c r="D29" s="101">
        <v>2</v>
      </c>
      <c r="E29" s="101">
        <v>3</v>
      </c>
      <c r="F29" s="101">
        <v>4</v>
      </c>
      <c r="G29" s="101">
        <v>5</v>
      </c>
      <c r="H29" s="101">
        <v>6</v>
      </c>
      <c r="I29" s="101">
        <v>7</v>
      </c>
      <c r="J29" s="101">
        <v>8</v>
      </c>
      <c r="K29" s="101">
        <v>9</v>
      </c>
      <c r="L29" s="101">
        <v>10</v>
      </c>
      <c r="M29" s="101">
        <v>11</v>
      </c>
    </row>
    <row r="30" spans="1:13" x14ac:dyDescent="0.25">
      <c r="A30" s="104">
        <v>60</v>
      </c>
      <c r="B30" s="103">
        <v>19.899999999999999</v>
      </c>
      <c r="C30" s="103">
        <v>19.8</v>
      </c>
      <c r="D30" s="103">
        <v>19.8</v>
      </c>
      <c r="E30" s="103">
        <v>19.7</v>
      </c>
      <c r="F30" s="103">
        <v>19.7</v>
      </c>
      <c r="G30" s="103">
        <v>19.600000000000001</v>
      </c>
      <c r="H30" s="103">
        <v>19.600000000000001</v>
      </c>
      <c r="I30" s="103">
        <v>19.5</v>
      </c>
      <c r="J30" s="103">
        <v>19.5</v>
      </c>
      <c r="K30" s="103">
        <v>19.399999999999999</v>
      </c>
      <c r="L30" s="103">
        <v>19.399999999999999</v>
      </c>
      <c r="M30" s="103">
        <v>19.3</v>
      </c>
    </row>
    <row r="31" spans="1:13" x14ac:dyDescent="0.25">
      <c r="A31" s="104">
        <v>61</v>
      </c>
      <c r="B31" s="103">
        <v>19.3</v>
      </c>
      <c r="C31" s="103">
        <v>19.2</v>
      </c>
      <c r="D31" s="103">
        <v>19.2</v>
      </c>
      <c r="E31" s="103">
        <v>19.100000000000001</v>
      </c>
      <c r="F31" s="103">
        <v>19.100000000000001</v>
      </c>
      <c r="G31" s="103">
        <v>19</v>
      </c>
      <c r="H31" s="103">
        <v>19</v>
      </c>
      <c r="I31" s="103">
        <v>18.899999999999999</v>
      </c>
      <c r="J31" s="103">
        <v>18.899999999999999</v>
      </c>
      <c r="K31" s="103">
        <v>18.8</v>
      </c>
      <c r="L31" s="103">
        <v>18.8</v>
      </c>
      <c r="M31" s="103">
        <v>18.7</v>
      </c>
    </row>
    <row r="32" spans="1:13" x14ac:dyDescent="0.25">
      <c r="A32" s="104">
        <v>62</v>
      </c>
      <c r="B32" s="103">
        <v>18.600000000000001</v>
      </c>
      <c r="C32" s="103">
        <v>18.600000000000001</v>
      </c>
      <c r="D32" s="103">
        <v>18.5</v>
      </c>
      <c r="E32" s="103">
        <v>18.5</v>
      </c>
      <c r="F32" s="103">
        <v>18.399999999999999</v>
      </c>
      <c r="G32" s="103">
        <v>18.399999999999999</v>
      </c>
      <c r="H32" s="103">
        <v>18.3</v>
      </c>
      <c r="I32" s="103">
        <v>18.3</v>
      </c>
      <c r="J32" s="103">
        <v>18.2</v>
      </c>
      <c r="K32" s="103">
        <v>18.2</v>
      </c>
      <c r="L32" s="103">
        <v>18.100000000000001</v>
      </c>
      <c r="M32" s="103">
        <v>18.100000000000001</v>
      </c>
    </row>
    <row r="33" spans="1:13" x14ac:dyDescent="0.25">
      <c r="A33" s="104">
        <v>63</v>
      </c>
      <c r="B33" s="103">
        <v>18</v>
      </c>
      <c r="C33" s="103">
        <v>18</v>
      </c>
      <c r="D33" s="103">
        <v>17.899999999999999</v>
      </c>
      <c r="E33" s="103">
        <v>17.899999999999999</v>
      </c>
      <c r="F33" s="103">
        <v>17.8</v>
      </c>
      <c r="G33" s="103">
        <v>17.8</v>
      </c>
      <c r="H33" s="103">
        <v>17.7</v>
      </c>
      <c r="I33" s="103">
        <v>17.7</v>
      </c>
      <c r="J33" s="103">
        <v>17.600000000000001</v>
      </c>
      <c r="K33" s="103">
        <v>17.600000000000001</v>
      </c>
      <c r="L33" s="103">
        <v>17.5</v>
      </c>
      <c r="M33" s="103">
        <v>17.399999999999999</v>
      </c>
    </row>
    <row r="34" spans="1:13" x14ac:dyDescent="0.25">
      <c r="A34" s="104">
        <v>64</v>
      </c>
      <c r="B34" s="103">
        <v>17.399999999999999</v>
      </c>
      <c r="C34" s="103">
        <v>17.3</v>
      </c>
      <c r="D34" s="103">
        <v>17.3</v>
      </c>
      <c r="E34" s="103">
        <v>17.2</v>
      </c>
      <c r="F34" s="103">
        <v>17.2</v>
      </c>
      <c r="G34" s="103">
        <v>17.100000000000001</v>
      </c>
      <c r="H34" s="103">
        <v>17.100000000000001</v>
      </c>
      <c r="I34" s="103">
        <v>17</v>
      </c>
      <c r="J34" s="103">
        <v>17</v>
      </c>
      <c r="K34" s="103">
        <v>16.899999999999999</v>
      </c>
      <c r="L34" s="103">
        <v>16.899999999999999</v>
      </c>
      <c r="M34" s="103">
        <v>16.8</v>
      </c>
    </row>
    <row r="35" spans="1:13" x14ac:dyDescent="0.25">
      <c r="A35" s="104">
        <v>65</v>
      </c>
      <c r="B35" s="103">
        <v>16.8</v>
      </c>
      <c r="C35" s="103">
        <v>16.7</v>
      </c>
      <c r="D35" s="103">
        <v>16.7</v>
      </c>
      <c r="E35" s="103">
        <v>16.600000000000001</v>
      </c>
      <c r="F35" s="103">
        <v>16.600000000000001</v>
      </c>
      <c r="G35" s="103">
        <v>16.5</v>
      </c>
      <c r="H35" s="103">
        <v>16.5</v>
      </c>
      <c r="I35" s="103">
        <v>16.399999999999999</v>
      </c>
      <c r="J35" s="103">
        <v>16.3</v>
      </c>
      <c r="K35" s="103">
        <v>16.3</v>
      </c>
      <c r="L35" s="103">
        <v>16.2</v>
      </c>
      <c r="M35" s="103">
        <v>16.2</v>
      </c>
    </row>
    <row r="36" spans="1:13" x14ac:dyDescent="0.25">
      <c r="A36" s="104">
        <v>66</v>
      </c>
      <c r="B36" s="103">
        <v>16.100000000000001</v>
      </c>
      <c r="C36" s="103">
        <v>16.100000000000001</v>
      </c>
      <c r="D36" s="103">
        <v>16</v>
      </c>
      <c r="E36" s="103">
        <v>16</v>
      </c>
      <c r="F36" s="103">
        <v>15.9</v>
      </c>
      <c r="G36" s="103">
        <v>15.9</v>
      </c>
      <c r="H36" s="103">
        <v>15.8</v>
      </c>
      <c r="I36" s="103">
        <v>15.8</v>
      </c>
      <c r="J36" s="103">
        <v>15.7</v>
      </c>
      <c r="K36" s="103">
        <v>15.7</v>
      </c>
      <c r="L36" s="103">
        <v>15.6</v>
      </c>
      <c r="M36" s="103">
        <v>15.6</v>
      </c>
    </row>
    <row r="37" spans="1:13" x14ac:dyDescent="0.25">
      <c r="A37" s="104">
        <v>67</v>
      </c>
      <c r="B37" s="103">
        <v>15.5</v>
      </c>
      <c r="C37" s="103">
        <v>15.5</v>
      </c>
      <c r="D37" s="103">
        <v>15.4</v>
      </c>
      <c r="E37" s="103">
        <v>15.4</v>
      </c>
      <c r="F37" s="103">
        <v>15.3</v>
      </c>
      <c r="G37" s="103">
        <v>15.2</v>
      </c>
      <c r="H37" s="103">
        <v>15.2</v>
      </c>
      <c r="I37" s="103">
        <v>15.1</v>
      </c>
      <c r="J37" s="103">
        <v>15.1</v>
      </c>
      <c r="K37" s="103">
        <v>15</v>
      </c>
      <c r="L37" s="103">
        <v>15</v>
      </c>
      <c r="M37" s="103">
        <v>14.9</v>
      </c>
    </row>
    <row r="38" spans="1:13" x14ac:dyDescent="0.25">
      <c r="A38" s="104">
        <v>68</v>
      </c>
      <c r="B38" s="103">
        <v>14.9</v>
      </c>
      <c r="C38" s="103">
        <v>14.8</v>
      </c>
      <c r="D38" s="103">
        <v>14.8</v>
      </c>
      <c r="E38" s="103">
        <v>14.7</v>
      </c>
      <c r="F38" s="103">
        <v>14.7</v>
      </c>
      <c r="G38" s="103">
        <v>14.6</v>
      </c>
      <c r="H38" s="103">
        <v>14.6</v>
      </c>
      <c r="I38" s="103">
        <v>14.5</v>
      </c>
      <c r="J38" s="103">
        <v>14.5</v>
      </c>
      <c r="K38" s="103">
        <v>14.4</v>
      </c>
      <c r="L38" s="103">
        <v>14.4</v>
      </c>
      <c r="M38" s="103">
        <v>14.3</v>
      </c>
    </row>
    <row r="39" spans="1:13" x14ac:dyDescent="0.25">
      <c r="A39" s="104">
        <v>69</v>
      </c>
      <c r="B39" s="103">
        <v>14.3</v>
      </c>
      <c r="C39" s="103">
        <v>14.2</v>
      </c>
      <c r="D39" s="103">
        <v>14.2</v>
      </c>
      <c r="E39" s="103">
        <v>14.1</v>
      </c>
      <c r="F39" s="103">
        <v>14</v>
      </c>
      <c r="G39" s="103">
        <v>14</v>
      </c>
      <c r="H39" s="103">
        <v>13.9</v>
      </c>
      <c r="I39" s="103">
        <v>13.9</v>
      </c>
      <c r="J39" s="103">
        <v>13.8</v>
      </c>
      <c r="K39" s="103">
        <v>13.8</v>
      </c>
      <c r="L39" s="103">
        <v>13.7</v>
      </c>
      <c r="M39" s="103">
        <v>13.7</v>
      </c>
    </row>
    <row r="40" spans="1:13" x14ac:dyDescent="0.25">
      <c r="A40" s="104">
        <v>70</v>
      </c>
      <c r="B40" s="103">
        <v>13.6</v>
      </c>
      <c r="C40" s="103">
        <v>13.6</v>
      </c>
      <c r="D40" s="103">
        <v>13.5</v>
      </c>
      <c r="E40" s="103">
        <v>13.5</v>
      </c>
      <c r="F40" s="103">
        <v>13.4</v>
      </c>
      <c r="G40" s="103">
        <v>13.4</v>
      </c>
      <c r="H40" s="103">
        <v>13.3</v>
      </c>
      <c r="I40" s="103">
        <v>13.3</v>
      </c>
      <c r="J40" s="103">
        <v>13.2</v>
      </c>
      <c r="K40" s="103">
        <v>13.2</v>
      </c>
      <c r="L40" s="103">
        <v>13.1</v>
      </c>
      <c r="M40" s="103">
        <v>13.1</v>
      </c>
    </row>
    <row r="41" spans="1:13" x14ac:dyDescent="0.25">
      <c r="A41" s="104">
        <v>71</v>
      </c>
      <c r="B41" s="103">
        <v>13</v>
      </c>
      <c r="C41" s="103">
        <v>13</v>
      </c>
      <c r="D41" s="103">
        <v>12.9</v>
      </c>
      <c r="E41" s="103">
        <v>12.9</v>
      </c>
      <c r="F41" s="103">
        <v>12.8</v>
      </c>
      <c r="G41" s="103">
        <v>12.7</v>
      </c>
      <c r="H41" s="103">
        <v>12.7</v>
      </c>
      <c r="I41" s="103">
        <v>12.6</v>
      </c>
      <c r="J41" s="103">
        <v>12.6</v>
      </c>
      <c r="K41" s="103">
        <v>12.5</v>
      </c>
      <c r="L41" s="103">
        <v>12.5</v>
      </c>
      <c r="M41" s="103">
        <v>12.4</v>
      </c>
    </row>
    <row r="42" spans="1:13" x14ac:dyDescent="0.25">
      <c r="A42" s="104">
        <v>72</v>
      </c>
      <c r="B42" s="103">
        <v>12.4</v>
      </c>
      <c r="C42" s="103">
        <v>12.3</v>
      </c>
      <c r="D42" s="103">
        <v>12.3</v>
      </c>
      <c r="E42" s="103">
        <v>12.2</v>
      </c>
      <c r="F42" s="103">
        <v>12.2</v>
      </c>
      <c r="G42" s="103">
        <v>12.1</v>
      </c>
      <c r="H42" s="103">
        <v>12.1</v>
      </c>
      <c r="I42" s="103">
        <v>12</v>
      </c>
      <c r="J42" s="103">
        <v>12</v>
      </c>
      <c r="K42" s="103">
        <v>11.9</v>
      </c>
      <c r="L42" s="103">
        <v>11.9</v>
      </c>
      <c r="M42" s="103">
        <v>11.8</v>
      </c>
    </row>
    <row r="43" spans="1:13" x14ac:dyDescent="0.25">
      <c r="A43" s="104">
        <v>73</v>
      </c>
      <c r="B43" s="103">
        <v>11.8</v>
      </c>
      <c r="C43" s="103">
        <v>11.7</v>
      </c>
      <c r="D43" s="103">
        <v>11.7</v>
      </c>
      <c r="E43" s="103">
        <v>11.6</v>
      </c>
      <c r="F43" s="103">
        <v>11.6</v>
      </c>
      <c r="G43" s="103">
        <v>11.5</v>
      </c>
      <c r="H43" s="103">
        <v>11.5</v>
      </c>
      <c r="I43" s="103">
        <v>11.4</v>
      </c>
      <c r="J43" s="103">
        <v>11.4</v>
      </c>
      <c r="K43" s="103">
        <v>11.3</v>
      </c>
      <c r="L43" s="103">
        <v>11.3</v>
      </c>
      <c r="M43" s="103">
        <v>11.2</v>
      </c>
    </row>
    <row r="44" spans="1:13" x14ac:dyDescent="0.25">
      <c r="A44" s="104">
        <v>74</v>
      </c>
      <c r="B44" s="103">
        <v>11.2</v>
      </c>
      <c r="C44" s="103">
        <v>11.1</v>
      </c>
      <c r="D44" s="103">
        <v>11.1</v>
      </c>
      <c r="E44" s="103">
        <v>11</v>
      </c>
      <c r="F44" s="103">
        <v>11</v>
      </c>
      <c r="G44" s="103">
        <v>10.9</v>
      </c>
      <c r="H44" s="103">
        <v>10.9</v>
      </c>
      <c r="I44" s="103">
        <v>10.8</v>
      </c>
      <c r="J44" s="103">
        <v>10.8</v>
      </c>
      <c r="K44" s="103">
        <v>10.7</v>
      </c>
      <c r="L44" s="103">
        <v>10.7</v>
      </c>
      <c r="M44" s="103">
        <v>10.6</v>
      </c>
    </row>
    <row r="45" spans="1:13" x14ac:dyDescent="0.25">
      <c r="A45" s="104">
        <v>75</v>
      </c>
      <c r="B45" s="103">
        <v>10.6</v>
      </c>
      <c r="C45" s="103"/>
      <c r="D45" s="103"/>
      <c r="E45" s="103"/>
      <c r="F45" s="103"/>
      <c r="G45" s="103"/>
      <c r="H45" s="103"/>
      <c r="I45" s="103"/>
      <c r="J45" s="103"/>
      <c r="K45" s="103"/>
      <c r="L45" s="103"/>
      <c r="M45" s="103"/>
    </row>
  </sheetData>
  <sheetProtection algorithmName="SHA-512" hashValue="cvCBia0L29pSxR0cmagIJmdc+KcndAiSlNkA6uPL44K4Bf7ZlZRZNRzUc/40z8sZHNr9Nl7DxJRe0exoxP9SZw==" saltValue="0JEmdE5O6RtPnXsAFMYIOg==" spinCount="100000" sheet="1" objects="1" scenarios="1"/>
  <conditionalFormatting sqref="A6:A21">
    <cfRule type="expression" dxfId="232" priority="5" stopIfTrue="1">
      <formula>MOD(ROW(),2)=0</formula>
    </cfRule>
    <cfRule type="expression" dxfId="231" priority="6" stopIfTrue="1">
      <formula>MOD(ROW(),2)&lt;&gt;0</formula>
    </cfRule>
  </conditionalFormatting>
  <conditionalFormatting sqref="A28:A45">
    <cfRule type="expression" dxfId="230" priority="23" stopIfTrue="1">
      <formula>MOD(ROW(),2)=0</formula>
    </cfRule>
    <cfRule type="expression" dxfId="229" priority="24" stopIfTrue="1">
      <formula>MOD(ROW(),2)&lt;&gt;0</formula>
    </cfRule>
  </conditionalFormatting>
  <conditionalFormatting sqref="B28:B29">
    <cfRule type="expression" dxfId="228" priority="25" stopIfTrue="1">
      <formula>MOD(ROW(),2)=0</formula>
    </cfRule>
    <cfRule type="expression" dxfId="227" priority="26" stopIfTrue="1">
      <formula>MOD(ROW(),2)&lt;&gt;0</formula>
    </cfRule>
  </conditionalFormatting>
  <conditionalFormatting sqref="B6:M21">
    <cfRule type="expression" dxfId="226" priority="9" stopIfTrue="1">
      <formula>MOD(ROW(),2)=0</formula>
    </cfRule>
    <cfRule type="expression" dxfId="225" priority="10" stopIfTrue="1">
      <formula>MOD(ROW(),2)&lt;&gt;0</formula>
    </cfRule>
  </conditionalFormatting>
  <conditionalFormatting sqref="C29:D29 E29:M45 B30:D45">
    <cfRule type="expression" dxfId="224" priority="31" stopIfTrue="1">
      <formula>MOD(ROW(),2)=0</formula>
    </cfRule>
    <cfRule type="expression" dxfId="223" priority="3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A17B2-EEC1-499B-823A-04B7EB51EDB7}">
  <sheetPr codeName="Sheet121"/>
  <dimension ref="A1:M27"/>
  <sheetViews>
    <sheetView showGridLines="0" zoomScale="85" zoomScaleNormal="85" workbookViewId="0">
      <selection activeCell="A4" sqref="A4"/>
    </sheetView>
  </sheetViews>
  <sheetFormatPr defaultColWidth="10" defaultRowHeight="13.2" x14ac:dyDescent="0.25"/>
  <cols>
    <col min="1" max="1" width="34" style="27" customWidth="1"/>
    <col min="2" max="2" width="27.44140625" style="27" customWidth="1"/>
    <col min="3" max="3" width="10.109375" style="27" customWidth="1"/>
    <col min="4" max="4" width="10" style="27" customWidth="1"/>
    <col min="5" max="16384" width="10" style="27"/>
  </cols>
  <sheetData>
    <row r="1" spans="1:13" ht="21" x14ac:dyDescent="0.4">
      <c r="A1" s="39" t="s">
        <v>0</v>
      </c>
      <c r="B1" s="40"/>
      <c r="C1" s="40"/>
      <c r="D1" s="40"/>
      <c r="E1" s="40"/>
      <c r="F1" s="40"/>
      <c r="G1" s="40"/>
      <c r="H1" s="40"/>
      <c r="I1" s="40"/>
    </row>
    <row r="2" spans="1:13" ht="15.6" x14ac:dyDescent="0.3">
      <c r="A2" s="41" t="s">
        <v>627</v>
      </c>
      <c r="B2" s="42"/>
      <c r="C2" s="42"/>
      <c r="D2" s="42"/>
      <c r="E2" s="42"/>
      <c r="F2" s="42"/>
      <c r="G2" s="42"/>
      <c r="H2" s="42"/>
      <c r="I2" s="42"/>
    </row>
    <row r="3" spans="1:13" ht="15.6" x14ac:dyDescent="0.3">
      <c r="A3" s="43" t="str">
        <f>TABLE_FACTOR_TYPE_1&amp;" - x-"&amp;TABLE_SERIES_NUMBER_1</f>
        <v>Triv Comm - x-507</v>
      </c>
      <c r="B3" s="42"/>
      <c r="C3" s="42"/>
      <c r="D3" s="42"/>
      <c r="E3" s="42"/>
      <c r="F3" s="42"/>
      <c r="G3" s="42"/>
      <c r="H3" s="42"/>
      <c r="I3" s="42"/>
    </row>
    <row r="4" spans="1:13" x14ac:dyDescent="0.25">
      <c r="A4" s="44"/>
    </row>
    <row r="6" spans="1:13" x14ac:dyDescent="0.25">
      <c r="A6" s="85" t="s">
        <v>484</v>
      </c>
      <c r="B6" s="163" t="s">
        <v>485</v>
      </c>
      <c r="C6" s="86"/>
      <c r="D6" s="86"/>
      <c r="E6" s="86"/>
      <c r="F6" s="86"/>
      <c r="G6" s="86"/>
      <c r="H6" s="155"/>
      <c r="I6" s="155"/>
      <c r="J6" s="155"/>
      <c r="K6" s="155"/>
      <c r="L6" s="155"/>
      <c r="M6" s="155"/>
    </row>
    <row r="7" spans="1:13" x14ac:dyDescent="0.25">
      <c r="A7" s="165" t="s">
        <v>486</v>
      </c>
      <c r="B7" s="163" t="s">
        <v>81</v>
      </c>
      <c r="C7" s="82"/>
      <c r="D7" s="82"/>
      <c r="E7" s="82"/>
      <c r="F7" s="82"/>
      <c r="G7" s="82"/>
      <c r="H7" s="156"/>
      <c r="I7" s="156"/>
      <c r="J7" s="156"/>
      <c r="K7" s="156"/>
      <c r="L7" s="156"/>
      <c r="M7" s="156"/>
    </row>
    <row r="8" spans="1:13" x14ac:dyDescent="0.25">
      <c r="A8" s="165" t="s">
        <v>282</v>
      </c>
      <c r="B8" s="163" t="s">
        <v>648</v>
      </c>
      <c r="C8" s="82"/>
      <c r="D8" s="82"/>
      <c r="E8" s="82"/>
      <c r="F8" s="82"/>
      <c r="G8" s="82"/>
      <c r="H8" s="156"/>
      <c r="I8" s="156"/>
      <c r="J8" s="156"/>
      <c r="K8" s="156"/>
      <c r="L8" s="156"/>
      <c r="M8" s="156"/>
    </row>
    <row r="9" spans="1:13" x14ac:dyDescent="0.25">
      <c r="A9" s="165" t="s">
        <v>283</v>
      </c>
      <c r="B9" s="163" t="s">
        <v>398</v>
      </c>
      <c r="C9" s="82"/>
      <c r="D9" s="82"/>
      <c r="E9" s="82"/>
      <c r="F9" s="82"/>
      <c r="G9" s="82"/>
      <c r="H9" s="156"/>
      <c r="I9" s="156"/>
      <c r="J9" s="156"/>
      <c r="K9" s="156"/>
      <c r="L9" s="156"/>
      <c r="M9" s="156"/>
    </row>
    <row r="10" spans="1:13" x14ac:dyDescent="0.25">
      <c r="A10" s="165" t="s">
        <v>6</v>
      </c>
      <c r="B10" s="163" t="s">
        <v>649</v>
      </c>
      <c r="C10" s="82"/>
      <c r="D10" s="82"/>
      <c r="E10" s="82"/>
      <c r="F10" s="82"/>
      <c r="G10" s="82"/>
      <c r="H10" s="156"/>
      <c r="I10" s="156"/>
      <c r="J10" s="156"/>
      <c r="K10" s="156"/>
      <c r="L10" s="156"/>
      <c r="M10" s="156"/>
    </row>
    <row r="11" spans="1:13" x14ac:dyDescent="0.25">
      <c r="A11" s="165" t="s">
        <v>284</v>
      </c>
      <c r="B11" s="163" t="s">
        <v>349</v>
      </c>
      <c r="C11" s="82"/>
      <c r="D11" s="82"/>
      <c r="E11" s="82"/>
      <c r="F11" s="82"/>
      <c r="G11" s="82"/>
      <c r="H11" s="156"/>
      <c r="I11" s="156"/>
      <c r="J11" s="156"/>
      <c r="K11" s="156"/>
      <c r="L11" s="156"/>
      <c r="M11" s="156"/>
    </row>
    <row r="12" spans="1:13" ht="12.75" customHeight="1" x14ac:dyDescent="0.25">
      <c r="A12" s="165" t="s">
        <v>285</v>
      </c>
      <c r="B12" s="163" t="s">
        <v>417</v>
      </c>
      <c r="C12" s="82"/>
      <c r="D12" s="82"/>
      <c r="E12" s="82"/>
      <c r="F12" s="82"/>
      <c r="G12" s="82"/>
      <c r="H12" s="156"/>
      <c r="I12" s="156"/>
      <c r="J12" s="156"/>
      <c r="K12" s="156"/>
      <c r="L12" s="156"/>
      <c r="M12" s="156"/>
    </row>
    <row r="13" spans="1:13" x14ac:dyDescent="0.25">
      <c r="A13" s="165" t="s">
        <v>493</v>
      </c>
      <c r="B13" s="163">
        <v>0</v>
      </c>
      <c r="C13" s="82"/>
      <c r="D13" s="82"/>
      <c r="E13" s="82"/>
      <c r="F13" s="82"/>
      <c r="G13" s="82"/>
    </row>
    <row r="14" spans="1:13" x14ac:dyDescent="0.25">
      <c r="A14" s="165" t="s">
        <v>287</v>
      </c>
      <c r="B14" s="163">
        <v>507</v>
      </c>
      <c r="C14" s="82"/>
      <c r="D14" s="82"/>
      <c r="E14" s="82"/>
      <c r="F14" s="82"/>
      <c r="G14" s="82"/>
    </row>
    <row r="15" spans="1:13" x14ac:dyDescent="0.25">
      <c r="A15" s="165" t="s">
        <v>496</v>
      </c>
      <c r="B15" s="163" t="s">
        <v>418</v>
      </c>
      <c r="C15" s="82"/>
      <c r="D15" s="82"/>
      <c r="E15" s="82"/>
      <c r="F15" s="82"/>
      <c r="G15" s="82"/>
      <c r="H15" s="156"/>
      <c r="I15" s="156"/>
      <c r="J15" s="156"/>
      <c r="K15" s="156"/>
      <c r="L15" s="156"/>
      <c r="M15" s="156"/>
    </row>
    <row r="16" spans="1:13" x14ac:dyDescent="0.25">
      <c r="A16" s="165" t="s">
        <v>288</v>
      </c>
      <c r="B16" s="163" t="s">
        <v>307</v>
      </c>
      <c r="C16" s="82"/>
      <c r="D16" s="82"/>
      <c r="E16" s="82"/>
      <c r="F16" s="82"/>
      <c r="G16" s="82"/>
      <c r="H16" s="156"/>
      <c r="I16" s="156"/>
      <c r="J16" s="156"/>
      <c r="K16" s="156"/>
      <c r="L16" s="156"/>
      <c r="M16" s="156"/>
    </row>
    <row r="17" spans="1:13" ht="55.5" customHeight="1" x14ac:dyDescent="0.25">
      <c r="A17" s="165" t="s">
        <v>568</v>
      </c>
      <c r="B17" s="163"/>
      <c r="C17" s="82"/>
      <c r="D17" s="82"/>
      <c r="E17" s="82"/>
      <c r="F17" s="82"/>
      <c r="G17" s="82"/>
      <c r="H17" s="156"/>
      <c r="I17" s="156"/>
      <c r="J17" s="156"/>
      <c r="K17" s="156"/>
      <c r="L17" s="156"/>
      <c r="M17" s="156"/>
    </row>
    <row r="18" spans="1:13" x14ac:dyDescent="0.25">
      <c r="A18" s="165" t="s">
        <v>500</v>
      </c>
      <c r="B18" s="166">
        <v>45135</v>
      </c>
      <c r="C18" s="83"/>
      <c r="D18" s="83"/>
      <c r="E18" s="83"/>
      <c r="F18" s="83"/>
      <c r="G18" s="83"/>
      <c r="H18" s="157"/>
      <c r="I18" s="157"/>
      <c r="J18" s="157"/>
      <c r="K18" s="157"/>
      <c r="L18" s="157"/>
      <c r="M18" s="157"/>
    </row>
    <row r="19" spans="1:13" x14ac:dyDescent="0.25">
      <c r="A19" s="165" t="s">
        <v>290</v>
      </c>
      <c r="B19" s="166">
        <v>45135</v>
      </c>
      <c r="C19" s="83"/>
      <c r="D19" s="83"/>
      <c r="E19" s="83"/>
      <c r="F19" s="83"/>
      <c r="G19" s="83"/>
      <c r="H19" s="158"/>
      <c r="I19" s="158"/>
      <c r="J19" s="158"/>
      <c r="K19" s="158"/>
      <c r="L19" s="158"/>
      <c r="M19" s="158"/>
    </row>
    <row r="20" spans="1:13" x14ac:dyDescent="0.25">
      <c r="A20" s="165" t="s">
        <v>291</v>
      </c>
      <c r="B20" s="163" t="s">
        <v>298</v>
      </c>
      <c r="C20" s="82"/>
      <c r="D20" s="82"/>
      <c r="E20" s="82"/>
      <c r="F20" s="82"/>
      <c r="G20" s="82"/>
      <c r="H20" s="156"/>
      <c r="I20" s="156"/>
      <c r="J20" s="156"/>
      <c r="K20" s="156"/>
      <c r="L20" s="156"/>
      <c r="M20" s="156"/>
    </row>
    <row r="21" spans="1:13" x14ac:dyDescent="0.25">
      <c r="A21" s="165" t="s">
        <v>569</v>
      </c>
      <c r="B21" s="163" t="s">
        <v>297</v>
      </c>
      <c r="C21" s="82"/>
      <c r="D21" s="82"/>
      <c r="E21" s="82"/>
      <c r="F21" s="82"/>
      <c r="G21" s="82"/>
    </row>
    <row r="23" spans="1:13" x14ac:dyDescent="0.25">
      <c r="B23" s="91" t="str">
        <f>HYPERLINK("#'Factor List'!A1","Back to Factor List")</f>
        <v>Back to Factor List</v>
      </c>
    </row>
    <row r="24" spans="1:13" x14ac:dyDescent="0.25">
      <c r="B24" s="91" t="s">
        <v>13</v>
      </c>
    </row>
    <row r="26" spans="1:13" x14ac:dyDescent="0.25">
      <c r="A26" s="100" t="s">
        <v>628</v>
      </c>
      <c r="B26" s="100" t="s">
        <v>629</v>
      </c>
    </row>
    <row r="27" spans="1:13" x14ac:dyDescent="0.25">
      <c r="A27" s="159" t="s">
        <v>630</v>
      </c>
      <c r="B27" s="159">
        <v>11</v>
      </c>
    </row>
  </sheetData>
  <sheetProtection algorithmName="SHA-512" hashValue="5Ds70LPbKuYncQvLfFfPsrj10IrViJ7yV5R2ch0f0j9Fh0YmrelrzIoHoGnCMRiTWxe0iMr0fMIbsCp0CSgJ/Q==" saltValue="YYS/RUjKl8LGKREIa8gkHA==" spinCount="100000" sheet="1" objects="1" scenarios="1"/>
  <conditionalFormatting sqref="A6:A21">
    <cfRule type="expression" dxfId="222" priority="17" stopIfTrue="1">
      <formula>MOD(ROW(),2)=0</formula>
    </cfRule>
    <cfRule type="expression" dxfId="221" priority="18" stopIfTrue="1">
      <formula>MOD(ROW(),2)&lt;&gt;0</formula>
    </cfRule>
  </conditionalFormatting>
  <conditionalFormatting sqref="A26:A27">
    <cfRule type="expression" dxfId="220" priority="1" stopIfTrue="1">
      <formula>MOD(ROW(),2)=0</formula>
    </cfRule>
  </conditionalFormatting>
  <conditionalFormatting sqref="B6:B21">
    <cfRule type="expression" dxfId="219" priority="23" stopIfTrue="1">
      <formula>MOD(ROW(),2)=0</formula>
    </cfRule>
    <cfRule type="expression" dxfId="218" priority="24" stopIfTrue="1">
      <formula>MOD(ROW(),2)&lt;&gt;0</formula>
    </cfRule>
  </conditionalFormatting>
  <conditionalFormatting sqref="B8:B19">
    <cfRule type="expression" dxfId="217" priority="3" stopIfTrue="1">
      <formula>MOD(ROW(),2)=0</formula>
    </cfRule>
    <cfRule type="expression" dxfId="216" priority="4" stopIfTrue="1">
      <formula>MOD(ROW(),2)&lt;&gt;0</formula>
    </cfRule>
  </conditionalFormatting>
  <conditionalFormatting sqref="B26:B27">
    <cfRule type="expression" dxfId="215" priority="2" stopIfTrue="1">
      <formula>MOD(ROW(),2)&lt;&gt;0</formula>
    </cfRule>
    <cfRule type="expression" dxfId="214" priority="25" stopIfTrue="1">
      <formula>MOD(ROW(),2)=0</formula>
    </cfRule>
  </conditionalFormatting>
  <conditionalFormatting sqref="B20:G21">
    <cfRule type="expression" dxfId="213" priority="13" stopIfTrue="1">
      <formula>MOD(ROW(),2)=0</formula>
    </cfRule>
    <cfRule type="expression" dxfId="212" priority="14" stopIfTrue="1">
      <formula>MOD(ROW(),2)&lt;&gt;0</formula>
    </cfRule>
  </conditionalFormatting>
  <conditionalFormatting sqref="C6:G19">
    <cfRule type="expression" dxfId="211" priority="9" stopIfTrue="1">
      <formula>MOD(ROW(),2)=0</formula>
    </cfRule>
    <cfRule type="expression" dxfId="210" priority="10" stopIfTrue="1">
      <formula>MOD(ROW(),2)&lt;&gt;0</formula>
    </cfRule>
  </conditionalFormatting>
  <hyperlinks>
    <hyperlink ref="B24" location="Assumptions!A1" display="Assumptions" xr:uid="{D822371C-474C-47E0-9A2E-D4A0A5C8AEA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7"/>
  <dimension ref="A1:I68"/>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Scheme Pays AA - x-601</v>
      </c>
      <c r="B3" s="42"/>
      <c r="C3" s="42"/>
      <c r="D3" s="42"/>
      <c r="E3" s="42"/>
      <c r="F3" s="42"/>
      <c r="G3" s="42"/>
      <c r="H3" s="42"/>
      <c r="I3" s="42"/>
    </row>
    <row r="4" spans="1:9" x14ac:dyDescent="0.25">
      <c r="A4" s="44"/>
    </row>
    <row r="6" spans="1:9" x14ac:dyDescent="0.25">
      <c r="A6" s="75" t="s">
        <v>484</v>
      </c>
      <c r="B6" s="162" t="s">
        <v>485</v>
      </c>
      <c r="C6" s="162"/>
    </row>
    <row r="7" spans="1:9" x14ac:dyDescent="0.25">
      <c r="A7" s="76" t="s">
        <v>486</v>
      </c>
      <c r="B7" s="162" t="s">
        <v>81</v>
      </c>
      <c r="C7" s="162"/>
    </row>
    <row r="8" spans="1:9" x14ac:dyDescent="0.25">
      <c r="A8" s="76" t="s">
        <v>282</v>
      </c>
      <c r="B8" s="162">
        <v>1992</v>
      </c>
      <c r="C8" s="162"/>
    </row>
    <row r="9" spans="1:9" x14ac:dyDescent="0.25">
      <c r="A9" s="76" t="s">
        <v>283</v>
      </c>
      <c r="B9" s="162" t="s">
        <v>419</v>
      </c>
      <c r="C9" s="162"/>
    </row>
    <row r="10" spans="1:9" x14ac:dyDescent="0.25">
      <c r="A10" s="76" t="s">
        <v>6</v>
      </c>
      <c r="B10" s="162" t="s">
        <v>420</v>
      </c>
      <c r="C10" s="162"/>
    </row>
    <row r="11" spans="1:9" x14ac:dyDescent="0.25">
      <c r="A11" s="76" t="s">
        <v>284</v>
      </c>
      <c r="B11" s="162" t="s">
        <v>334</v>
      </c>
      <c r="C11" s="162"/>
    </row>
    <row r="12" spans="1:9" x14ac:dyDescent="0.25">
      <c r="A12" s="76" t="s">
        <v>285</v>
      </c>
      <c r="B12" s="162" t="s">
        <v>421</v>
      </c>
      <c r="C12" s="162"/>
    </row>
    <row r="13" spans="1:9" hidden="1" x14ac:dyDescent="0.25">
      <c r="A13" s="76" t="s">
        <v>493</v>
      </c>
      <c r="B13" s="162">
        <v>2</v>
      </c>
      <c r="C13" s="162"/>
    </row>
    <row r="14" spans="1:9" hidden="1" x14ac:dyDescent="0.25">
      <c r="A14" s="76" t="s">
        <v>287</v>
      </c>
      <c r="B14" s="162">
        <v>601</v>
      </c>
      <c r="C14" s="162"/>
    </row>
    <row r="15" spans="1:9" x14ac:dyDescent="0.25">
      <c r="A15" s="76" t="s">
        <v>496</v>
      </c>
      <c r="B15" s="162" t="s">
        <v>422</v>
      </c>
      <c r="C15" s="162"/>
    </row>
    <row r="16" spans="1:9" x14ac:dyDescent="0.25">
      <c r="A16" s="76" t="s">
        <v>288</v>
      </c>
      <c r="B16" s="162" t="s">
        <v>296</v>
      </c>
      <c r="C16" s="162"/>
    </row>
    <row r="17" spans="1:3" x14ac:dyDescent="0.25">
      <c r="A17" s="76" t="s">
        <v>568</v>
      </c>
      <c r="B17" s="162"/>
      <c r="C17" s="162"/>
    </row>
    <row r="18" spans="1:3" x14ac:dyDescent="0.25">
      <c r="A18" s="76" t="s">
        <v>500</v>
      </c>
      <c r="B18" s="164">
        <v>45135</v>
      </c>
      <c r="C18" s="162"/>
    </row>
    <row r="19" spans="1:3" x14ac:dyDescent="0.25">
      <c r="A19" s="76" t="s">
        <v>290</v>
      </c>
      <c r="B19" s="164">
        <v>45135</v>
      </c>
      <c r="C19" s="162"/>
    </row>
    <row r="20" spans="1:3" x14ac:dyDescent="0.25">
      <c r="A20" s="76" t="s">
        <v>291</v>
      </c>
      <c r="B20" s="162" t="s">
        <v>298</v>
      </c>
      <c r="C20" s="162"/>
    </row>
    <row r="21" spans="1:3" x14ac:dyDescent="0.25">
      <c r="A21" s="150" t="s">
        <v>569</v>
      </c>
      <c r="B21" s="162" t="s">
        <v>297</v>
      </c>
      <c r="C21" s="162"/>
    </row>
    <row r="23" spans="1:3" x14ac:dyDescent="0.25">
      <c r="B23" s="91" t="str">
        <f>HYPERLINK("#'Factor List'!A1","Back to Factor List")</f>
        <v>Back to Factor List</v>
      </c>
    </row>
    <row r="24" spans="1:3" x14ac:dyDescent="0.25">
      <c r="B24" s="91" t="str">
        <f>HYPERLINK("#'Assumptions'!A1","Assumptions")</f>
        <v>Assumptions</v>
      </c>
    </row>
    <row r="26" spans="1:3" ht="52.8" x14ac:dyDescent="0.25">
      <c r="A26" s="87" t="s">
        <v>570</v>
      </c>
      <c r="B26" s="87" t="s">
        <v>631</v>
      </c>
      <c r="C26" s="87" t="s">
        <v>632</v>
      </c>
    </row>
    <row r="27" spans="1:3" x14ac:dyDescent="0.25">
      <c r="A27" s="88">
        <v>18</v>
      </c>
      <c r="B27" s="89">
        <v>10.46</v>
      </c>
      <c r="C27" s="89">
        <v>10.46</v>
      </c>
    </row>
    <row r="28" spans="1:3" x14ac:dyDescent="0.25">
      <c r="A28" s="88">
        <v>19</v>
      </c>
      <c r="B28" s="89">
        <v>10.61</v>
      </c>
      <c r="C28" s="89">
        <v>10.61</v>
      </c>
    </row>
    <row r="29" spans="1:3" x14ac:dyDescent="0.25">
      <c r="A29" s="88">
        <v>20</v>
      </c>
      <c r="B29" s="89">
        <v>10.76</v>
      </c>
      <c r="C29" s="89">
        <v>10.76</v>
      </c>
    </row>
    <row r="30" spans="1:3" x14ac:dyDescent="0.25">
      <c r="A30" s="88">
        <v>21</v>
      </c>
      <c r="B30" s="89">
        <v>10.91</v>
      </c>
      <c r="C30" s="89">
        <v>10.91</v>
      </c>
    </row>
    <row r="31" spans="1:3" x14ac:dyDescent="0.25">
      <c r="A31" s="88">
        <v>22</v>
      </c>
      <c r="B31" s="89">
        <v>11.07</v>
      </c>
      <c r="C31" s="89">
        <v>11.07</v>
      </c>
    </row>
    <row r="32" spans="1:3" x14ac:dyDescent="0.25">
      <c r="A32" s="88">
        <v>23</v>
      </c>
      <c r="B32" s="89">
        <v>11.23</v>
      </c>
      <c r="C32" s="89">
        <v>11.23</v>
      </c>
    </row>
    <row r="33" spans="1:3" x14ac:dyDescent="0.25">
      <c r="A33" s="88">
        <v>24</v>
      </c>
      <c r="B33" s="89">
        <v>11.39</v>
      </c>
      <c r="C33" s="89">
        <v>11.39</v>
      </c>
    </row>
    <row r="34" spans="1:3" x14ac:dyDescent="0.25">
      <c r="A34" s="88">
        <v>25</v>
      </c>
      <c r="B34" s="89">
        <v>11.55</v>
      </c>
      <c r="C34" s="89">
        <v>11.55</v>
      </c>
    </row>
    <row r="35" spans="1:3" x14ac:dyDescent="0.25">
      <c r="A35" s="88">
        <v>26</v>
      </c>
      <c r="B35" s="89">
        <v>11.72</v>
      </c>
      <c r="C35" s="89">
        <v>11.72</v>
      </c>
    </row>
    <row r="36" spans="1:3" x14ac:dyDescent="0.25">
      <c r="A36" s="88">
        <v>27</v>
      </c>
      <c r="B36" s="89">
        <v>11.89</v>
      </c>
      <c r="C36" s="89">
        <v>11.89</v>
      </c>
    </row>
    <row r="37" spans="1:3" x14ac:dyDescent="0.25">
      <c r="A37" s="88">
        <v>28</v>
      </c>
      <c r="B37" s="89">
        <v>12.06</v>
      </c>
      <c r="C37" s="89">
        <v>12.06</v>
      </c>
    </row>
    <row r="38" spans="1:3" x14ac:dyDescent="0.25">
      <c r="A38" s="88">
        <v>29</v>
      </c>
      <c r="B38" s="89">
        <v>12.23</v>
      </c>
      <c r="C38" s="89">
        <v>12.23</v>
      </c>
    </row>
    <row r="39" spans="1:3" x14ac:dyDescent="0.25">
      <c r="A39" s="88">
        <v>30</v>
      </c>
      <c r="B39" s="89">
        <v>12.41</v>
      </c>
      <c r="C39" s="89">
        <v>12.41</v>
      </c>
    </row>
    <row r="40" spans="1:3" x14ac:dyDescent="0.25">
      <c r="A40" s="88">
        <v>31</v>
      </c>
      <c r="B40" s="89">
        <v>12.59</v>
      </c>
      <c r="C40" s="89">
        <v>12.59</v>
      </c>
    </row>
    <row r="41" spans="1:3" x14ac:dyDescent="0.25">
      <c r="A41" s="88">
        <v>32</v>
      </c>
      <c r="B41" s="89">
        <v>12.77</v>
      </c>
      <c r="C41" s="89">
        <v>12.77</v>
      </c>
    </row>
    <row r="42" spans="1:3" x14ac:dyDescent="0.25">
      <c r="A42" s="88">
        <v>33</v>
      </c>
      <c r="B42" s="89">
        <v>12.96</v>
      </c>
      <c r="C42" s="89">
        <v>12.96</v>
      </c>
    </row>
    <row r="43" spans="1:3" x14ac:dyDescent="0.25">
      <c r="A43" s="88">
        <v>34</v>
      </c>
      <c r="B43" s="89">
        <v>13.15</v>
      </c>
      <c r="C43" s="89">
        <v>13.15</v>
      </c>
    </row>
    <row r="44" spans="1:3" x14ac:dyDescent="0.25">
      <c r="A44" s="88">
        <v>35</v>
      </c>
      <c r="B44" s="89">
        <v>13.34</v>
      </c>
      <c r="C44" s="89">
        <v>13.34</v>
      </c>
    </row>
    <row r="45" spans="1:3" x14ac:dyDescent="0.25">
      <c r="A45" s="88">
        <v>36</v>
      </c>
      <c r="B45" s="89">
        <v>13.54</v>
      </c>
      <c r="C45" s="89">
        <v>13.54</v>
      </c>
    </row>
    <row r="46" spans="1:3" x14ac:dyDescent="0.25">
      <c r="A46" s="88">
        <v>37</v>
      </c>
      <c r="B46" s="89">
        <v>13.74</v>
      </c>
      <c r="C46" s="89">
        <v>13.74</v>
      </c>
    </row>
    <row r="47" spans="1:3" x14ac:dyDescent="0.25">
      <c r="A47" s="88">
        <v>38</v>
      </c>
      <c r="B47" s="89">
        <v>13.95</v>
      </c>
      <c r="C47" s="89">
        <v>13.95</v>
      </c>
    </row>
    <row r="48" spans="1:3" x14ac:dyDescent="0.25">
      <c r="A48" s="88">
        <v>39</v>
      </c>
      <c r="B48" s="89">
        <v>14.16</v>
      </c>
      <c r="C48" s="89">
        <v>14.16</v>
      </c>
    </row>
    <row r="49" spans="1:3" x14ac:dyDescent="0.25">
      <c r="A49" s="88">
        <v>40</v>
      </c>
      <c r="B49" s="89">
        <v>14.37</v>
      </c>
      <c r="C49" s="89">
        <v>14.37</v>
      </c>
    </row>
    <row r="50" spans="1:3" x14ac:dyDescent="0.25">
      <c r="A50" s="88">
        <v>41</v>
      </c>
      <c r="B50" s="89">
        <v>14.59</v>
      </c>
      <c r="C50" s="89">
        <v>14.59</v>
      </c>
    </row>
    <row r="51" spans="1:3" x14ac:dyDescent="0.25">
      <c r="A51" s="88">
        <v>42</v>
      </c>
      <c r="B51" s="89">
        <v>14.81</v>
      </c>
      <c r="C51" s="89">
        <v>14.81</v>
      </c>
    </row>
    <row r="52" spans="1:3" x14ac:dyDescent="0.25">
      <c r="A52" s="88">
        <v>43</v>
      </c>
      <c r="B52" s="89">
        <v>15.04</v>
      </c>
      <c r="C52" s="89">
        <v>15.04</v>
      </c>
    </row>
    <row r="53" spans="1:3" x14ac:dyDescent="0.25">
      <c r="A53" s="88">
        <v>44</v>
      </c>
      <c r="B53" s="89">
        <v>15.28</v>
      </c>
      <c r="C53" s="89">
        <v>15.28</v>
      </c>
    </row>
    <row r="54" spans="1:3" x14ac:dyDescent="0.25">
      <c r="A54" s="88">
        <v>45</v>
      </c>
      <c r="B54" s="89">
        <v>15.52</v>
      </c>
      <c r="C54" s="89">
        <v>15.52</v>
      </c>
    </row>
    <row r="55" spans="1:3" x14ac:dyDescent="0.25">
      <c r="A55" s="88">
        <v>46</v>
      </c>
      <c r="B55" s="89">
        <v>15.76</v>
      </c>
      <c r="C55" s="89">
        <v>15.76</v>
      </c>
    </row>
    <row r="56" spans="1:3" x14ac:dyDescent="0.25">
      <c r="A56" s="88">
        <v>47</v>
      </c>
      <c r="B56" s="89">
        <v>16.02</v>
      </c>
      <c r="C56" s="89">
        <v>16.02</v>
      </c>
    </row>
    <row r="57" spans="1:3" x14ac:dyDescent="0.25">
      <c r="A57" s="88">
        <v>48</v>
      </c>
      <c r="B57" s="89">
        <v>16.27</v>
      </c>
      <c r="C57" s="89">
        <v>16.27</v>
      </c>
    </row>
    <row r="58" spans="1:3" x14ac:dyDescent="0.25">
      <c r="A58" s="88">
        <v>49</v>
      </c>
      <c r="B58" s="89">
        <v>16.54</v>
      </c>
      <c r="C58" s="89">
        <v>16.54</v>
      </c>
    </row>
    <row r="59" spans="1:3" x14ac:dyDescent="0.25">
      <c r="A59" s="88">
        <v>50</v>
      </c>
      <c r="B59" s="89">
        <v>16.809999999999999</v>
      </c>
      <c r="C59" s="89">
        <v>16.809999999999999</v>
      </c>
    </row>
    <row r="60" spans="1:3" x14ac:dyDescent="0.25">
      <c r="A60" s="88">
        <v>51</v>
      </c>
      <c r="B60" s="89">
        <v>17.100000000000001</v>
      </c>
      <c r="C60" s="89">
        <v>17.100000000000001</v>
      </c>
    </row>
    <row r="61" spans="1:3" x14ac:dyDescent="0.25">
      <c r="A61" s="88">
        <v>52</v>
      </c>
      <c r="B61" s="89">
        <v>17.38</v>
      </c>
      <c r="C61" s="89">
        <v>17.38</v>
      </c>
    </row>
    <row r="62" spans="1:3" x14ac:dyDescent="0.25">
      <c r="A62" s="88">
        <v>53</v>
      </c>
      <c r="B62" s="89">
        <v>17.68</v>
      </c>
      <c r="C62" s="89">
        <v>17.68</v>
      </c>
    </row>
    <row r="63" spans="1:3" x14ac:dyDescent="0.25">
      <c r="A63" s="88">
        <v>54</v>
      </c>
      <c r="B63" s="89">
        <v>17.989999999999998</v>
      </c>
      <c r="C63" s="89">
        <v>17.989999999999998</v>
      </c>
    </row>
    <row r="64" spans="1:3" x14ac:dyDescent="0.25">
      <c r="A64" s="88">
        <v>55</v>
      </c>
      <c r="B64" s="89">
        <v>18.309999999999999</v>
      </c>
      <c r="C64" s="89">
        <v>18.309999999999999</v>
      </c>
    </row>
    <row r="65" spans="1:3" x14ac:dyDescent="0.25">
      <c r="A65" s="88">
        <v>56</v>
      </c>
      <c r="B65" s="89">
        <v>18.64</v>
      </c>
      <c r="C65" s="89">
        <v>18.64</v>
      </c>
    </row>
    <row r="66" spans="1:3" x14ac:dyDescent="0.25">
      <c r="A66" s="88">
        <v>57</v>
      </c>
      <c r="B66" s="89">
        <v>18.98</v>
      </c>
      <c r="C66" s="89">
        <v>18.98</v>
      </c>
    </row>
    <row r="67" spans="1:3" x14ac:dyDescent="0.25">
      <c r="A67" s="88">
        <v>58</v>
      </c>
      <c r="B67" s="89">
        <v>19.329999999999998</v>
      </c>
      <c r="C67" s="89">
        <v>19.329999999999998</v>
      </c>
    </row>
    <row r="68" spans="1:3" x14ac:dyDescent="0.25">
      <c r="A68" s="88">
        <v>59</v>
      </c>
      <c r="B68" s="89">
        <v>19.7</v>
      </c>
      <c r="C68" s="89">
        <v>19.7</v>
      </c>
    </row>
  </sheetData>
  <sheetProtection algorithmName="SHA-512" hashValue="wp8hfCX0VthNJ9frH5DiP4Lkd6Jj7ZxatV9xb2/BvDZFdaqkFyEwZ0JeS5xUnPtYuNbUkLizx0Rd+C4cD3p4vw==" saltValue="vmYGn7sP2twV9PBgFN/odg==" spinCount="100000" sheet="1" objects="1" scenarios="1"/>
  <conditionalFormatting sqref="A6:A21">
    <cfRule type="expression" dxfId="209" priority="3" stopIfTrue="1">
      <formula>MOD(ROW(),2)=0</formula>
    </cfRule>
    <cfRule type="expression" dxfId="208" priority="4" stopIfTrue="1">
      <formula>MOD(ROW(),2)&lt;&gt;0</formula>
    </cfRule>
  </conditionalFormatting>
  <conditionalFormatting sqref="A26:A68">
    <cfRule type="expression" dxfId="207" priority="7" stopIfTrue="1">
      <formula>MOD(ROW(),2)=0</formula>
    </cfRule>
    <cfRule type="expression" dxfId="206" priority="8" stopIfTrue="1">
      <formula>MOD(ROW(),2)&lt;&gt;0</formula>
    </cfRule>
  </conditionalFormatting>
  <conditionalFormatting sqref="B17:B21">
    <cfRule type="expression" dxfId="205" priority="13" stopIfTrue="1">
      <formula>MOD(ROW(),2)=0</formula>
    </cfRule>
    <cfRule type="expression" dxfId="204" priority="14" stopIfTrue="1">
      <formula>MOD(ROW(),2)&lt;&gt;0</formula>
    </cfRule>
  </conditionalFormatting>
  <conditionalFormatting sqref="B6:C21">
    <cfRule type="expression" dxfId="203" priority="21" stopIfTrue="1">
      <formula>MOD(ROW(),2)=0</formula>
    </cfRule>
    <cfRule type="expression" dxfId="202" priority="22" stopIfTrue="1">
      <formula>MOD(ROW(),2)&lt;&gt;0</formula>
    </cfRule>
  </conditionalFormatting>
  <conditionalFormatting sqref="B26:C68">
    <cfRule type="expression" dxfId="201" priority="9" stopIfTrue="1">
      <formula>MOD(ROW(),2)=0</formula>
    </cfRule>
    <cfRule type="expression" dxfId="200"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8"/>
  <dimension ref="A1:I65"/>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Scheme Pays AA - x-602</v>
      </c>
      <c r="B3" s="42"/>
      <c r="C3" s="42"/>
      <c r="D3" s="42"/>
      <c r="E3" s="42"/>
      <c r="F3" s="42"/>
      <c r="G3" s="42"/>
      <c r="H3" s="42"/>
      <c r="I3" s="42"/>
    </row>
    <row r="4" spans="1:9" x14ac:dyDescent="0.25">
      <c r="A4" s="44"/>
    </row>
    <row r="6" spans="1:9" x14ac:dyDescent="0.25">
      <c r="A6" s="75" t="s">
        <v>484</v>
      </c>
      <c r="B6" s="162" t="s">
        <v>485</v>
      </c>
      <c r="C6" s="162"/>
    </row>
    <row r="7" spans="1:9" x14ac:dyDescent="0.25">
      <c r="A7" s="76" t="s">
        <v>486</v>
      </c>
      <c r="B7" s="162" t="s">
        <v>81</v>
      </c>
      <c r="C7" s="162"/>
    </row>
    <row r="8" spans="1:9" x14ac:dyDescent="0.25">
      <c r="A8" s="76" t="s">
        <v>282</v>
      </c>
      <c r="B8" s="162">
        <v>1992</v>
      </c>
      <c r="C8" s="162"/>
    </row>
    <row r="9" spans="1:9" x14ac:dyDescent="0.25">
      <c r="A9" s="76" t="s">
        <v>283</v>
      </c>
      <c r="B9" s="162" t="s">
        <v>419</v>
      </c>
      <c r="C9" s="162"/>
    </row>
    <row r="10" spans="1:9" x14ac:dyDescent="0.25">
      <c r="A10" s="76" t="s">
        <v>6</v>
      </c>
      <c r="B10" s="162" t="s">
        <v>423</v>
      </c>
      <c r="C10" s="162"/>
    </row>
    <row r="11" spans="1:9" x14ac:dyDescent="0.25">
      <c r="A11" s="76" t="s">
        <v>284</v>
      </c>
      <c r="B11" s="162" t="s">
        <v>334</v>
      </c>
      <c r="C11" s="162"/>
    </row>
    <row r="12" spans="1:9" x14ac:dyDescent="0.25">
      <c r="A12" s="76" t="s">
        <v>285</v>
      </c>
      <c r="B12" s="162" t="s">
        <v>421</v>
      </c>
      <c r="C12" s="162"/>
    </row>
    <row r="13" spans="1:9" hidden="1" x14ac:dyDescent="0.25">
      <c r="A13" s="76" t="s">
        <v>493</v>
      </c>
      <c r="B13" s="162">
        <v>2</v>
      </c>
      <c r="C13" s="162"/>
    </row>
    <row r="14" spans="1:9" hidden="1" x14ac:dyDescent="0.25">
      <c r="A14" s="76" t="s">
        <v>287</v>
      </c>
      <c r="B14" s="162">
        <v>602</v>
      </c>
      <c r="C14" s="162"/>
    </row>
    <row r="15" spans="1:9" x14ac:dyDescent="0.25">
      <c r="A15" s="76" t="s">
        <v>496</v>
      </c>
      <c r="B15" s="162" t="s">
        <v>424</v>
      </c>
      <c r="C15" s="162"/>
    </row>
    <row r="16" spans="1:9" x14ac:dyDescent="0.25">
      <c r="A16" s="76" t="s">
        <v>288</v>
      </c>
      <c r="B16" s="162" t="s">
        <v>300</v>
      </c>
      <c r="C16" s="162"/>
    </row>
    <row r="17" spans="1:3" x14ac:dyDescent="0.25">
      <c r="A17" s="76" t="s">
        <v>568</v>
      </c>
      <c r="B17" s="162"/>
      <c r="C17" s="162"/>
    </row>
    <row r="18" spans="1:3" x14ac:dyDescent="0.25">
      <c r="A18" s="76" t="s">
        <v>500</v>
      </c>
      <c r="B18" s="164">
        <v>45135</v>
      </c>
      <c r="C18" s="162"/>
    </row>
    <row r="19" spans="1:3" x14ac:dyDescent="0.25">
      <c r="A19" s="76" t="s">
        <v>290</v>
      </c>
      <c r="B19" s="164">
        <v>45135</v>
      </c>
      <c r="C19" s="162"/>
    </row>
    <row r="20" spans="1:3" x14ac:dyDescent="0.25">
      <c r="A20" s="76" t="s">
        <v>291</v>
      </c>
      <c r="B20" s="162" t="s">
        <v>298</v>
      </c>
      <c r="C20" s="162"/>
    </row>
    <row r="21" spans="1:3" x14ac:dyDescent="0.25">
      <c r="A21" s="150" t="s">
        <v>569</v>
      </c>
      <c r="B21" s="162" t="s">
        <v>297</v>
      </c>
      <c r="C21" s="162"/>
    </row>
    <row r="23" spans="1:3" x14ac:dyDescent="0.25">
      <c r="B23" s="91" t="str">
        <f>HYPERLINK("#'Factor List'!A1","Back to Factor List")</f>
        <v>Back to Factor List</v>
      </c>
    </row>
    <row r="24" spans="1:3" x14ac:dyDescent="0.25">
      <c r="B24" s="91" t="str">
        <f>HYPERLINK("#'Assumptions'!A1","Assumptions")</f>
        <v>Assumptions</v>
      </c>
    </row>
    <row r="26" spans="1:3" ht="52.8" x14ac:dyDescent="0.25">
      <c r="A26" s="87" t="s">
        <v>570</v>
      </c>
      <c r="B26" s="87" t="s">
        <v>631</v>
      </c>
      <c r="C26" s="87" t="s">
        <v>632</v>
      </c>
    </row>
    <row r="27" spans="1:3" x14ac:dyDescent="0.25">
      <c r="A27" s="88">
        <v>60</v>
      </c>
      <c r="B27" s="89">
        <v>19.579999999999998</v>
      </c>
      <c r="C27" s="89">
        <v>19.579999999999998</v>
      </c>
    </row>
    <row r="28" spans="1:3" x14ac:dyDescent="0.25">
      <c r="A28" s="88">
        <v>61</v>
      </c>
      <c r="B28" s="89">
        <v>18.96</v>
      </c>
      <c r="C28" s="89">
        <v>18.96</v>
      </c>
    </row>
    <row r="29" spans="1:3" x14ac:dyDescent="0.25">
      <c r="A29" s="88">
        <v>62</v>
      </c>
      <c r="B29" s="89">
        <v>18.329999999999998</v>
      </c>
      <c r="C29" s="89">
        <v>18.329999999999998</v>
      </c>
    </row>
    <row r="30" spans="1:3" x14ac:dyDescent="0.25">
      <c r="A30" s="88">
        <v>63</v>
      </c>
      <c r="B30" s="89">
        <v>17.71</v>
      </c>
      <c r="C30" s="89">
        <v>17.71</v>
      </c>
    </row>
    <row r="31" spans="1:3" x14ac:dyDescent="0.25">
      <c r="A31" s="88">
        <v>64</v>
      </c>
      <c r="B31" s="89">
        <v>17.079999999999998</v>
      </c>
      <c r="C31" s="89">
        <v>17.079999999999998</v>
      </c>
    </row>
    <row r="32" spans="1:3" x14ac:dyDescent="0.25">
      <c r="A32" s="88">
        <v>65</v>
      </c>
      <c r="B32" s="89">
        <v>16.45</v>
      </c>
      <c r="C32" s="89">
        <v>16.45</v>
      </c>
    </row>
    <row r="33" spans="1:3" x14ac:dyDescent="0.25">
      <c r="A33" s="88">
        <v>66</v>
      </c>
      <c r="B33" s="89">
        <v>15.83</v>
      </c>
      <c r="C33" s="89">
        <v>15.83</v>
      </c>
    </row>
    <row r="34" spans="1:3" x14ac:dyDescent="0.25">
      <c r="A34" s="88">
        <v>67</v>
      </c>
      <c r="B34" s="89">
        <v>15.2</v>
      </c>
      <c r="C34" s="89">
        <v>15.2</v>
      </c>
    </row>
    <row r="35" spans="1:3" x14ac:dyDescent="0.25">
      <c r="A35" s="88">
        <v>68</v>
      </c>
      <c r="B35" s="89">
        <v>14.57</v>
      </c>
      <c r="C35" s="89">
        <v>14.57</v>
      </c>
    </row>
    <row r="36" spans="1:3" x14ac:dyDescent="0.25">
      <c r="A36" s="88">
        <v>69</v>
      </c>
      <c r="B36" s="89">
        <v>13.94</v>
      </c>
      <c r="C36" s="89">
        <v>13.94</v>
      </c>
    </row>
    <row r="37" spans="1:3" x14ac:dyDescent="0.25">
      <c r="A37" s="88">
        <v>70</v>
      </c>
      <c r="B37" s="89">
        <v>13.32</v>
      </c>
      <c r="C37" s="89">
        <v>13.32</v>
      </c>
    </row>
    <row r="38" spans="1:3" x14ac:dyDescent="0.25">
      <c r="A38" s="88">
        <v>71</v>
      </c>
      <c r="B38" s="89">
        <v>12.7</v>
      </c>
      <c r="C38" s="89">
        <v>12.7</v>
      </c>
    </row>
    <row r="39" spans="1:3" x14ac:dyDescent="0.25">
      <c r="A39" s="88">
        <v>72</v>
      </c>
      <c r="B39" s="89">
        <v>12.08</v>
      </c>
      <c r="C39" s="89">
        <v>12.08</v>
      </c>
    </row>
    <row r="40" spans="1:3" x14ac:dyDescent="0.25">
      <c r="A40" s="88">
        <v>73</v>
      </c>
      <c r="B40" s="89">
        <v>11.47</v>
      </c>
      <c r="C40" s="89">
        <v>11.47</v>
      </c>
    </row>
    <row r="41" spans="1:3" x14ac:dyDescent="0.25">
      <c r="A41" s="88">
        <v>74</v>
      </c>
      <c r="B41" s="89">
        <v>10.86</v>
      </c>
      <c r="C41" s="89">
        <v>10.86</v>
      </c>
    </row>
    <row r="42" spans="1:3" x14ac:dyDescent="0.25">
      <c r="A42"/>
      <c r="B42"/>
    </row>
    <row r="43" spans="1:3" x14ac:dyDescent="0.25">
      <c r="A43"/>
      <c r="B43"/>
    </row>
    <row r="44" spans="1:3" ht="39.6" customHeight="1" x14ac:dyDescent="0.25">
      <c r="A44"/>
      <c r="B44"/>
    </row>
    <row r="45" spans="1:3" x14ac:dyDescent="0.25">
      <c r="A45"/>
      <c r="B45"/>
    </row>
    <row r="46" spans="1:3" ht="27.6" customHeight="1"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TmqaON/3eUdlbvToTxLBMS7VktV4SCf+Rw1j5tbxSZtMW+aU+YHxtCDdKNZo+oAMw0dzVVhUeLvAVgq9vX//Ww==" saltValue="bxdWOiNK4EfHGT7fpBH2WA==" spinCount="100000" sheet="1" objects="1" scenarios="1"/>
  <conditionalFormatting sqref="A6:A21">
    <cfRule type="expression" dxfId="199" priority="3" stopIfTrue="1">
      <formula>MOD(ROW(),2)=0</formula>
    </cfRule>
    <cfRule type="expression" dxfId="198" priority="4" stopIfTrue="1">
      <formula>MOD(ROW(),2)&lt;&gt;0</formula>
    </cfRule>
  </conditionalFormatting>
  <conditionalFormatting sqref="A26:A41">
    <cfRule type="expression" dxfId="197" priority="7" stopIfTrue="1">
      <formula>MOD(ROW(),2)=0</formula>
    </cfRule>
    <cfRule type="expression" dxfId="196" priority="8" stopIfTrue="1">
      <formula>MOD(ROW(),2)&lt;&gt;0</formula>
    </cfRule>
  </conditionalFormatting>
  <conditionalFormatting sqref="B17:B21">
    <cfRule type="expression" dxfId="195" priority="13" stopIfTrue="1">
      <formula>MOD(ROW(),2)=0</formula>
    </cfRule>
    <cfRule type="expression" dxfId="194" priority="14" stopIfTrue="1">
      <formula>MOD(ROW(),2)&lt;&gt;0</formula>
    </cfRule>
  </conditionalFormatting>
  <conditionalFormatting sqref="B6:C21">
    <cfRule type="expression" dxfId="193" priority="21" stopIfTrue="1">
      <formula>MOD(ROW(),2)=0</formula>
    </cfRule>
    <cfRule type="expression" dxfId="192" priority="22" stopIfTrue="1">
      <formula>MOD(ROW(),2)&lt;&gt;0</formula>
    </cfRule>
  </conditionalFormatting>
  <conditionalFormatting sqref="B26:C41">
    <cfRule type="expression" dxfId="191" priority="9" stopIfTrue="1">
      <formula>MOD(ROW(),2)=0</formula>
    </cfRule>
    <cfRule type="expression" dxfId="190"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88671875" style="27" customWidth="1"/>
    <col min="2" max="2" width="40.44140625" style="27" customWidth="1"/>
    <col min="3" max="3" width="10.1093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2"/>
      <c r="C3" s="42"/>
      <c r="D3" s="42"/>
      <c r="E3" s="42"/>
      <c r="F3" s="42"/>
      <c r="G3" s="42"/>
      <c r="H3" s="42"/>
      <c r="I3" s="42"/>
    </row>
    <row r="4" spans="1:9" x14ac:dyDescent="0.25">
      <c r="A4" s="44" t="str">
        <f ca="1">CELL("filename",A1)</f>
        <v>https://tris42.sharepoint.com/sites/gad_wrkgrp_actuarial/pspsactuarialwork/Central/Factors &amp; Guidance/2024 Guidance Review/4. Online portal/3. Import data/3. Factor tables/0_client_friendly/Ready to be uploaded/2025-03/[Fire S Consolidated Factors 2025-02.xlsx]x-Series Number</v>
      </c>
    </row>
    <row r="6" spans="1:9" x14ac:dyDescent="0.25">
      <c r="A6" s="45" t="s">
        <v>484</v>
      </c>
      <c r="B6" s="46" t="s">
        <v>485</v>
      </c>
    </row>
    <row r="7" spans="1:9" x14ac:dyDescent="0.25">
      <c r="A7" s="47" t="s">
        <v>486</v>
      </c>
      <c r="B7" s="49" t="s">
        <v>487</v>
      </c>
    </row>
    <row r="8" spans="1:9" x14ac:dyDescent="0.25">
      <c r="A8" s="47" t="s">
        <v>282</v>
      </c>
      <c r="B8" s="49" t="s">
        <v>488</v>
      </c>
    </row>
    <row r="9" spans="1:9" ht="12.75" customHeight="1" x14ac:dyDescent="0.25">
      <c r="A9" s="47" t="s">
        <v>283</v>
      </c>
      <c r="B9" s="50" t="s">
        <v>489</v>
      </c>
    </row>
    <row r="10" spans="1:9" ht="12.75" customHeight="1" x14ac:dyDescent="0.25">
      <c r="A10" s="47" t="s">
        <v>6</v>
      </c>
      <c r="B10" s="50" t="s">
        <v>490</v>
      </c>
    </row>
    <row r="11" spans="1:9" x14ac:dyDescent="0.25">
      <c r="A11" s="47" t="s">
        <v>284</v>
      </c>
      <c r="B11" s="50" t="s">
        <v>491</v>
      </c>
    </row>
    <row r="12" spans="1:9" x14ac:dyDescent="0.25">
      <c r="A12" s="47" t="s">
        <v>285</v>
      </c>
      <c r="B12" s="48" t="s">
        <v>492</v>
      </c>
    </row>
    <row r="13" spans="1:9" ht="12.75" customHeight="1" x14ac:dyDescent="0.25">
      <c r="A13" s="47" t="s">
        <v>493</v>
      </c>
      <c r="B13" s="48" t="s">
        <v>494</v>
      </c>
    </row>
    <row r="14" spans="1:9" ht="12.75" customHeight="1" x14ac:dyDescent="0.25">
      <c r="A14" s="47" t="s">
        <v>287</v>
      </c>
      <c r="B14" s="48" t="s">
        <v>495</v>
      </c>
    </row>
    <row r="15" spans="1:9" ht="79.2" x14ac:dyDescent="0.25">
      <c r="A15" s="51" t="s">
        <v>496</v>
      </c>
      <c r="B15" s="52" t="s">
        <v>497</v>
      </c>
    </row>
    <row r="16" spans="1:9" ht="26.4" x14ac:dyDescent="0.25">
      <c r="A16" s="53" t="s">
        <v>288</v>
      </c>
      <c r="B16" s="52" t="s">
        <v>498</v>
      </c>
    </row>
    <row r="17" spans="1:2" ht="52.5" customHeight="1" x14ac:dyDescent="0.25">
      <c r="A17" s="54" t="s">
        <v>289</v>
      </c>
      <c r="B17" s="52" t="s">
        <v>499</v>
      </c>
    </row>
    <row r="18" spans="1:2" ht="26.4" x14ac:dyDescent="0.25">
      <c r="A18" s="51" t="s">
        <v>500</v>
      </c>
      <c r="B18" s="55" t="s">
        <v>501</v>
      </c>
    </row>
    <row r="19" spans="1:2" x14ac:dyDescent="0.25">
      <c r="A19" s="53" t="s">
        <v>290</v>
      </c>
      <c r="B19" s="55" t="s">
        <v>502</v>
      </c>
    </row>
    <row r="20" spans="1:2" ht="26.4" x14ac:dyDescent="0.25">
      <c r="A20" s="53" t="s">
        <v>291</v>
      </c>
      <c r="B20" s="55" t="s">
        <v>503</v>
      </c>
    </row>
    <row r="22" spans="1:2" x14ac:dyDescent="0.25">
      <c r="B22" s="91" t="str">
        <f>HYPERLINK("#'Factor List'!A1","Back to Factor List")</f>
        <v>Back to Factor List</v>
      </c>
    </row>
    <row r="25" spans="1:2" x14ac:dyDescent="0.25">
      <c r="A25" s="56" t="s">
        <v>504</v>
      </c>
      <c r="B25" s="57"/>
    </row>
    <row r="26" spans="1:2" x14ac:dyDescent="0.25">
      <c r="A26" s="58"/>
      <c r="B26" s="59"/>
    </row>
    <row r="27" spans="1:2" x14ac:dyDescent="0.25">
      <c r="A27" s="60"/>
      <c r="B27" s="61"/>
    </row>
    <row r="28" spans="1:2" x14ac:dyDescent="0.25">
      <c r="A28" s="58"/>
      <c r="B28" s="59"/>
    </row>
    <row r="29" spans="1:2" x14ac:dyDescent="0.25">
      <c r="A29" s="62"/>
      <c r="B29" s="63"/>
    </row>
    <row r="30" spans="1:2" x14ac:dyDescent="0.25">
      <c r="A30" s="64"/>
      <c r="B30" s="65"/>
    </row>
    <row r="31" spans="1:2" x14ac:dyDescent="0.25">
      <c r="A31" s="58"/>
      <c r="B31" s="59"/>
    </row>
    <row r="32" spans="1:2" x14ac:dyDescent="0.25">
      <c r="A32" s="66"/>
      <c r="B32" s="67"/>
    </row>
    <row r="33" spans="1:2" x14ac:dyDescent="0.25">
      <c r="A33" s="66"/>
      <c r="B33" s="67"/>
    </row>
    <row r="34" spans="1:2" x14ac:dyDescent="0.25">
      <c r="A34" s="66"/>
      <c r="B34" s="67"/>
    </row>
    <row r="35" spans="1:2" x14ac:dyDescent="0.25">
      <c r="A35" s="66"/>
      <c r="B35" s="67"/>
    </row>
    <row r="36" spans="1:2" x14ac:dyDescent="0.25">
      <c r="A36" s="66"/>
      <c r="B36" s="67"/>
    </row>
    <row r="37" spans="1:2" x14ac:dyDescent="0.25">
      <c r="A37" s="66"/>
      <c r="B37" s="67"/>
    </row>
    <row r="38" spans="1:2" x14ac:dyDescent="0.25">
      <c r="A38" s="66"/>
      <c r="B38" s="67"/>
    </row>
    <row r="39" spans="1:2" x14ac:dyDescent="0.25">
      <c r="A39" s="66"/>
      <c r="B39" s="67"/>
    </row>
    <row r="40" spans="1:2" x14ac:dyDescent="0.25">
      <c r="A40" s="66"/>
      <c r="B40" s="67"/>
    </row>
    <row r="41" spans="1:2" x14ac:dyDescent="0.25">
      <c r="A41" s="66"/>
      <c r="B41" s="67"/>
    </row>
    <row r="42" spans="1:2" x14ac:dyDescent="0.25">
      <c r="A42" s="62"/>
      <c r="B42" s="63"/>
    </row>
    <row r="43" spans="1:2" ht="39.6" customHeight="1" x14ac:dyDescent="0.25">
      <c r="A43" s="68"/>
      <c r="B43" s="69"/>
    </row>
    <row r="44" spans="1:2" x14ac:dyDescent="0.25">
      <c r="A44" s="62"/>
      <c r="B44" s="63"/>
    </row>
    <row r="45" spans="1:2" ht="27.6" customHeight="1" x14ac:dyDescent="0.25">
      <c r="A45" s="62"/>
      <c r="B45" s="63"/>
    </row>
    <row r="46" spans="1:2" x14ac:dyDescent="0.25">
      <c r="A46" s="62"/>
      <c r="B46" s="63"/>
    </row>
    <row r="47" spans="1:2" x14ac:dyDescent="0.25">
      <c r="A47" s="62"/>
      <c r="B47" s="63"/>
    </row>
    <row r="48" spans="1:2" x14ac:dyDescent="0.25">
      <c r="A48" s="62"/>
      <c r="B48" s="63"/>
    </row>
    <row r="49" spans="1:2" x14ac:dyDescent="0.25">
      <c r="A49" s="62"/>
      <c r="B49" s="63"/>
    </row>
    <row r="50" spans="1:2" x14ac:dyDescent="0.25">
      <c r="A50" s="62"/>
      <c r="B50" s="63"/>
    </row>
    <row r="51" spans="1:2" x14ac:dyDescent="0.25">
      <c r="A51" s="62"/>
      <c r="B51" s="63"/>
    </row>
    <row r="52" spans="1:2" x14ac:dyDescent="0.25">
      <c r="A52" s="62"/>
      <c r="B52" s="63"/>
    </row>
    <row r="53" spans="1:2" x14ac:dyDescent="0.25">
      <c r="A53" s="62"/>
      <c r="B53" s="63"/>
    </row>
    <row r="54" spans="1:2" x14ac:dyDescent="0.25">
      <c r="A54" s="62"/>
      <c r="B54" s="63"/>
    </row>
    <row r="55" spans="1:2" x14ac:dyDescent="0.25">
      <c r="A55" s="62"/>
      <c r="B55" s="63"/>
    </row>
    <row r="56" spans="1:2" x14ac:dyDescent="0.25">
      <c r="A56" s="62"/>
      <c r="B56" s="63"/>
    </row>
    <row r="57" spans="1:2" x14ac:dyDescent="0.25">
      <c r="A57" s="62"/>
      <c r="B57" s="63"/>
    </row>
    <row r="58" spans="1:2" x14ac:dyDescent="0.25">
      <c r="A58" s="62"/>
      <c r="B58" s="63"/>
    </row>
    <row r="59" spans="1:2" x14ac:dyDescent="0.25">
      <c r="A59" s="62"/>
      <c r="B59" s="63"/>
    </row>
    <row r="60" spans="1:2" x14ac:dyDescent="0.25">
      <c r="A60" s="62"/>
      <c r="B60" s="63"/>
    </row>
    <row r="61" spans="1:2" x14ac:dyDescent="0.25">
      <c r="A61" s="62"/>
      <c r="B61" s="63"/>
    </row>
    <row r="62" spans="1:2" x14ac:dyDescent="0.25">
      <c r="A62" s="62"/>
      <c r="B62" s="63"/>
    </row>
    <row r="63" spans="1:2" x14ac:dyDescent="0.25">
      <c r="A63" s="62"/>
      <c r="B63" s="63"/>
    </row>
    <row r="64" spans="1:2" x14ac:dyDescent="0.25">
      <c r="A64" s="70"/>
      <c r="B64" s="71"/>
    </row>
  </sheetData>
  <sheetProtection algorithmName="SHA-512" hashValue="2yypZQDpdrHpO0sU2ChO4fNR/XASyRpsbWTFzRKCtFiBnXogBuVxpU108zMGq6HxJgQDs8kN9ittYHUuQO2dGg==" saltValue="hs/gnKeIMmfQCpYx9mZDtQ=="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9"/>
  <dimension ref="A1:K65"/>
  <sheetViews>
    <sheetView showGridLines="0" zoomScale="85" zoomScaleNormal="85" workbookViewId="0">
      <selection activeCell="A4" sqref="A4"/>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39" t="s">
        <v>0</v>
      </c>
      <c r="B1" s="40"/>
      <c r="C1" s="40"/>
      <c r="D1" s="40"/>
      <c r="E1" s="40"/>
      <c r="F1" s="40"/>
      <c r="G1" s="40"/>
      <c r="H1" s="40"/>
      <c r="I1" s="40"/>
    </row>
    <row r="2" spans="1:11" ht="15.6" x14ac:dyDescent="0.3">
      <c r="A2" s="41" t="str">
        <f>IF(title="&gt; Enter workbook title here","Enter workbook title in Cover sheet",title)</f>
        <v>Fire_S - Consolidated Factor Spreadsheet</v>
      </c>
      <c r="B2" s="42"/>
      <c r="C2" s="42"/>
      <c r="D2" s="42"/>
      <c r="E2" s="42"/>
      <c r="F2" s="42"/>
      <c r="G2" s="42"/>
      <c r="H2" s="42"/>
      <c r="I2" s="42"/>
    </row>
    <row r="3" spans="1:11" ht="15.6" x14ac:dyDescent="0.3">
      <c r="A3" s="43" t="str">
        <f>TABLE_FACTOR_TYPE_1&amp;" - x-"&amp;TABLE_SERIES_NUMBER_1</f>
        <v>Scheme Pays AA - x-603</v>
      </c>
      <c r="B3" s="42"/>
      <c r="C3" s="42"/>
      <c r="D3" s="42"/>
      <c r="E3" s="42"/>
      <c r="F3" s="42"/>
      <c r="G3" s="42"/>
      <c r="H3" s="42"/>
      <c r="I3" s="42"/>
    </row>
    <row r="4" spans="1:11" x14ac:dyDescent="0.25">
      <c r="A4" s="44"/>
    </row>
    <row r="6" spans="1:11" x14ac:dyDescent="0.25">
      <c r="A6" s="75" t="s">
        <v>484</v>
      </c>
      <c r="B6" s="162" t="s">
        <v>485</v>
      </c>
      <c r="C6" s="162"/>
      <c r="D6" s="162"/>
      <c r="E6" s="162"/>
      <c r="F6" s="162"/>
      <c r="G6" s="162"/>
      <c r="H6" s="162"/>
      <c r="I6" s="162"/>
      <c r="J6" s="162"/>
      <c r="K6" s="162"/>
    </row>
    <row r="7" spans="1:11" x14ac:dyDescent="0.25">
      <c r="A7" s="76" t="s">
        <v>486</v>
      </c>
      <c r="B7" s="162" t="s">
        <v>81</v>
      </c>
      <c r="C7" s="162"/>
      <c r="D7" s="162"/>
      <c r="E7" s="162"/>
      <c r="F7" s="162"/>
      <c r="G7" s="162"/>
      <c r="H7" s="162"/>
      <c r="I7" s="162"/>
      <c r="J7" s="162"/>
      <c r="K7" s="162"/>
    </row>
    <row r="8" spans="1:11" x14ac:dyDescent="0.25">
      <c r="A8" s="76" t="s">
        <v>282</v>
      </c>
      <c r="B8" s="162">
        <v>1992</v>
      </c>
      <c r="C8" s="162"/>
      <c r="D8" s="162"/>
      <c r="E8" s="162"/>
      <c r="F8" s="162"/>
      <c r="G8" s="162"/>
      <c r="H8" s="162"/>
      <c r="I8" s="162"/>
      <c r="J8" s="162"/>
      <c r="K8" s="162"/>
    </row>
    <row r="9" spans="1:11" x14ac:dyDescent="0.25">
      <c r="A9" s="76" t="s">
        <v>283</v>
      </c>
      <c r="B9" s="162" t="s">
        <v>419</v>
      </c>
      <c r="C9" s="162"/>
      <c r="D9" s="162"/>
      <c r="E9" s="162"/>
      <c r="F9" s="162"/>
      <c r="G9" s="162"/>
      <c r="H9" s="162"/>
      <c r="I9" s="162"/>
      <c r="J9" s="162"/>
      <c r="K9" s="162"/>
    </row>
    <row r="10" spans="1:11" x14ac:dyDescent="0.25">
      <c r="A10" s="76" t="s">
        <v>6</v>
      </c>
      <c r="B10" s="162" t="s">
        <v>425</v>
      </c>
      <c r="C10" s="162"/>
      <c r="D10" s="162"/>
      <c r="E10" s="162"/>
      <c r="F10" s="162"/>
      <c r="G10" s="162"/>
      <c r="H10" s="162"/>
      <c r="I10" s="162"/>
      <c r="J10" s="162"/>
      <c r="K10" s="162"/>
    </row>
    <row r="11" spans="1:11" x14ac:dyDescent="0.25">
      <c r="A11" s="76" t="s">
        <v>284</v>
      </c>
      <c r="B11" s="162" t="s">
        <v>349</v>
      </c>
      <c r="C11" s="162"/>
      <c r="D11" s="162"/>
      <c r="E11" s="162"/>
      <c r="F11" s="162"/>
      <c r="G11" s="162"/>
      <c r="H11" s="162"/>
      <c r="I11" s="162"/>
      <c r="J11" s="162"/>
      <c r="K11" s="162"/>
    </row>
    <row r="12" spans="1:11" x14ac:dyDescent="0.25">
      <c r="A12" s="76" t="s">
        <v>285</v>
      </c>
      <c r="B12" s="162" t="s">
        <v>350</v>
      </c>
      <c r="C12" s="162"/>
      <c r="D12" s="162"/>
      <c r="E12" s="162"/>
      <c r="F12" s="162"/>
      <c r="G12" s="162"/>
      <c r="H12" s="162"/>
      <c r="I12" s="162"/>
      <c r="J12" s="162"/>
      <c r="K12" s="162"/>
    </row>
    <row r="13" spans="1:11" hidden="1" x14ac:dyDescent="0.25">
      <c r="A13" s="76" t="s">
        <v>493</v>
      </c>
      <c r="B13" s="162">
        <v>2</v>
      </c>
      <c r="C13" s="162"/>
      <c r="D13" s="162"/>
      <c r="E13" s="162"/>
      <c r="F13" s="162"/>
      <c r="G13" s="162"/>
      <c r="H13" s="162"/>
      <c r="I13" s="162"/>
      <c r="J13" s="162"/>
      <c r="K13" s="162"/>
    </row>
    <row r="14" spans="1:11" hidden="1" x14ac:dyDescent="0.25">
      <c r="A14" s="76" t="s">
        <v>287</v>
      </c>
      <c r="B14" s="162">
        <v>603</v>
      </c>
      <c r="C14" s="162"/>
      <c r="D14" s="162"/>
      <c r="E14" s="162"/>
      <c r="F14" s="162"/>
      <c r="G14" s="162"/>
      <c r="H14" s="162"/>
      <c r="I14" s="162"/>
      <c r="J14" s="162"/>
      <c r="K14" s="162"/>
    </row>
    <row r="15" spans="1:11" x14ac:dyDescent="0.25">
      <c r="A15" s="76" t="s">
        <v>496</v>
      </c>
      <c r="B15" s="162" t="s">
        <v>426</v>
      </c>
      <c r="C15" s="162"/>
      <c r="D15" s="162"/>
      <c r="E15" s="162"/>
      <c r="F15" s="162"/>
      <c r="G15" s="162"/>
      <c r="H15" s="162"/>
      <c r="I15" s="162"/>
      <c r="J15" s="162"/>
      <c r="K15" s="162"/>
    </row>
    <row r="16" spans="1:11" x14ac:dyDescent="0.25">
      <c r="A16" s="76" t="s">
        <v>288</v>
      </c>
      <c r="B16" s="162" t="s">
        <v>304</v>
      </c>
      <c r="C16" s="162"/>
      <c r="D16" s="162"/>
      <c r="E16" s="162"/>
      <c r="F16" s="162"/>
      <c r="G16" s="162"/>
      <c r="H16" s="162"/>
      <c r="I16" s="162"/>
      <c r="J16" s="162"/>
      <c r="K16" s="162"/>
    </row>
    <row r="17" spans="1:11" x14ac:dyDescent="0.25">
      <c r="A17" s="76" t="s">
        <v>568</v>
      </c>
      <c r="B17" s="162"/>
      <c r="C17" s="162"/>
      <c r="D17" s="162"/>
      <c r="E17" s="162"/>
      <c r="F17" s="162"/>
      <c r="G17" s="162"/>
      <c r="H17" s="162"/>
      <c r="I17" s="162"/>
      <c r="J17" s="162"/>
      <c r="K17" s="162"/>
    </row>
    <row r="18" spans="1:11" x14ac:dyDescent="0.25">
      <c r="A18" s="76" t="s">
        <v>500</v>
      </c>
      <c r="B18" s="164">
        <v>45135</v>
      </c>
      <c r="C18" s="162"/>
      <c r="D18" s="162"/>
      <c r="E18" s="162"/>
      <c r="F18" s="162"/>
      <c r="G18" s="162"/>
      <c r="H18" s="162"/>
      <c r="I18" s="162"/>
      <c r="J18" s="162"/>
      <c r="K18" s="162"/>
    </row>
    <row r="19" spans="1:11" x14ac:dyDescent="0.25">
      <c r="A19" s="76" t="s">
        <v>290</v>
      </c>
      <c r="B19" s="164">
        <v>45135</v>
      </c>
      <c r="C19" s="162"/>
      <c r="D19" s="162"/>
      <c r="E19" s="162"/>
      <c r="F19" s="162"/>
      <c r="G19" s="162"/>
      <c r="H19" s="162"/>
      <c r="I19" s="162"/>
      <c r="J19" s="162"/>
      <c r="K19" s="162"/>
    </row>
    <row r="20" spans="1:11" x14ac:dyDescent="0.25">
      <c r="A20" s="76" t="s">
        <v>291</v>
      </c>
      <c r="B20" s="162" t="s">
        <v>298</v>
      </c>
      <c r="C20" s="162"/>
      <c r="D20" s="162"/>
      <c r="E20" s="162"/>
      <c r="F20" s="162"/>
      <c r="G20" s="162"/>
      <c r="H20" s="162"/>
      <c r="I20" s="162"/>
      <c r="J20" s="162"/>
      <c r="K20" s="162"/>
    </row>
    <row r="21" spans="1:11" x14ac:dyDescent="0.25">
      <c r="A21" s="150" t="s">
        <v>569</v>
      </c>
      <c r="B21" s="162" t="s">
        <v>297</v>
      </c>
      <c r="C21" s="162"/>
      <c r="D21" s="162"/>
      <c r="E21" s="162"/>
      <c r="F21" s="162"/>
      <c r="G21" s="162"/>
      <c r="H21" s="162"/>
      <c r="I21" s="162"/>
      <c r="J21" s="162"/>
      <c r="K21" s="162"/>
    </row>
    <row r="23" spans="1:11" x14ac:dyDescent="0.25">
      <c r="B23" s="91" t="str">
        <f>HYPERLINK("#'Factor List'!A1","Back to Factor List")</f>
        <v>Back to Factor List</v>
      </c>
    </row>
    <row r="24" spans="1:11" x14ac:dyDescent="0.25">
      <c r="B24" s="91" t="str">
        <f>HYPERLINK("#'Assumptions'!A1","Assumptions")</f>
        <v>Assumptions</v>
      </c>
    </row>
    <row r="26" spans="1:11" x14ac:dyDescent="0.25">
      <c r="A26" s="87" t="s">
        <v>611</v>
      </c>
      <c r="B26" s="87">
        <v>50</v>
      </c>
      <c r="C26" s="87">
        <v>51</v>
      </c>
      <c r="D26" s="87">
        <v>52</v>
      </c>
      <c r="E26" s="87">
        <v>53</v>
      </c>
      <c r="F26" s="87">
        <v>54</v>
      </c>
      <c r="G26" s="87">
        <v>55</v>
      </c>
      <c r="H26" s="87">
        <v>56</v>
      </c>
      <c r="I26" s="87">
        <v>57</v>
      </c>
      <c r="J26" s="87">
        <v>58</v>
      </c>
      <c r="K26" s="87">
        <v>59</v>
      </c>
    </row>
    <row r="27" spans="1:11" x14ac:dyDescent="0.25">
      <c r="A27" s="88">
        <v>0</v>
      </c>
      <c r="B27" s="90">
        <v>0.65500000000000003</v>
      </c>
      <c r="C27" s="90">
        <v>0.67800000000000005</v>
      </c>
      <c r="D27" s="90">
        <v>0.70399999999999996</v>
      </c>
      <c r="E27" s="90">
        <v>0.73099999999999998</v>
      </c>
      <c r="F27" s="90">
        <v>0.76100000000000001</v>
      </c>
      <c r="G27" s="90">
        <v>0.79400000000000004</v>
      </c>
      <c r="H27" s="90">
        <v>0.82899999999999996</v>
      </c>
      <c r="I27" s="90">
        <v>0.86699999999999999</v>
      </c>
      <c r="J27" s="90">
        <v>0.90800000000000003</v>
      </c>
      <c r="K27" s="90">
        <v>0.95199999999999996</v>
      </c>
    </row>
    <row r="28" spans="1:11" x14ac:dyDescent="0.25">
      <c r="A28" s="88">
        <v>1</v>
      </c>
      <c r="B28" s="90">
        <v>0.65700000000000003</v>
      </c>
      <c r="C28" s="90">
        <v>0.68</v>
      </c>
      <c r="D28" s="90">
        <v>0.70599999999999996</v>
      </c>
      <c r="E28" s="90">
        <v>0.73399999999999999</v>
      </c>
      <c r="F28" s="90">
        <v>0.76400000000000001</v>
      </c>
      <c r="G28" s="90">
        <v>0.79700000000000004</v>
      </c>
      <c r="H28" s="90">
        <v>0.83199999999999996</v>
      </c>
      <c r="I28" s="90">
        <v>0.87</v>
      </c>
      <c r="J28" s="90">
        <v>0.91200000000000003</v>
      </c>
      <c r="K28" s="90">
        <v>0.95599999999999996</v>
      </c>
    </row>
    <row r="29" spans="1:11" x14ac:dyDescent="0.25">
      <c r="A29" s="88">
        <v>2</v>
      </c>
      <c r="B29" s="90">
        <v>0.65900000000000003</v>
      </c>
      <c r="C29" s="90">
        <v>0.68200000000000005</v>
      </c>
      <c r="D29" s="90">
        <v>0.70799999999999996</v>
      </c>
      <c r="E29" s="90">
        <v>0.73599999999999999</v>
      </c>
      <c r="F29" s="90">
        <v>0.76600000000000001</v>
      </c>
      <c r="G29" s="90">
        <v>0.8</v>
      </c>
      <c r="H29" s="90">
        <v>0.83499999999999996</v>
      </c>
      <c r="I29" s="90">
        <v>0.874</v>
      </c>
      <c r="J29" s="90">
        <v>0.91500000000000004</v>
      </c>
      <c r="K29" s="90">
        <v>0.96</v>
      </c>
    </row>
    <row r="30" spans="1:11" x14ac:dyDescent="0.25">
      <c r="A30" s="88">
        <v>3</v>
      </c>
      <c r="B30" s="90">
        <v>0.66100000000000003</v>
      </c>
      <c r="C30" s="90">
        <v>0.68500000000000005</v>
      </c>
      <c r="D30" s="90">
        <v>0.71099999999999997</v>
      </c>
      <c r="E30" s="90">
        <v>0.73899999999999999</v>
      </c>
      <c r="F30" s="90">
        <v>0.76900000000000002</v>
      </c>
      <c r="G30" s="90">
        <v>0.80200000000000005</v>
      </c>
      <c r="H30" s="90">
        <v>0.83799999999999997</v>
      </c>
      <c r="I30" s="90">
        <v>0.877</v>
      </c>
      <c r="J30" s="90">
        <v>0.91900000000000004</v>
      </c>
      <c r="K30" s="90">
        <v>0.96399999999999997</v>
      </c>
    </row>
    <row r="31" spans="1:11" x14ac:dyDescent="0.25">
      <c r="A31" s="88">
        <v>4</v>
      </c>
      <c r="B31" s="90">
        <v>0.66300000000000003</v>
      </c>
      <c r="C31" s="90">
        <v>0.68700000000000006</v>
      </c>
      <c r="D31" s="90">
        <v>0.71299999999999997</v>
      </c>
      <c r="E31" s="90">
        <v>0.74099999999999999</v>
      </c>
      <c r="F31" s="90">
        <v>0.77200000000000002</v>
      </c>
      <c r="G31" s="90">
        <v>0.80500000000000005</v>
      </c>
      <c r="H31" s="90">
        <v>0.84199999999999997</v>
      </c>
      <c r="I31" s="90">
        <v>0.88100000000000001</v>
      </c>
      <c r="J31" s="90">
        <v>0.92300000000000004</v>
      </c>
      <c r="K31" s="90">
        <v>0.96799999999999997</v>
      </c>
    </row>
    <row r="32" spans="1:11" x14ac:dyDescent="0.25">
      <c r="A32" s="88">
        <v>5</v>
      </c>
      <c r="B32" s="90">
        <v>0.66500000000000004</v>
      </c>
      <c r="C32" s="90">
        <v>0.68899999999999995</v>
      </c>
      <c r="D32" s="90">
        <v>0.71499999999999997</v>
      </c>
      <c r="E32" s="90">
        <v>0.74399999999999999</v>
      </c>
      <c r="F32" s="90">
        <v>0.77500000000000002</v>
      </c>
      <c r="G32" s="90">
        <v>0.80800000000000005</v>
      </c>
      <c r="H32" s="90">
        <v>0.84499999999999997</v>
      </c>
      <c r="I32" s="90">
        <v>0.88400000000000001</v>
      </c>
      <c r="J32" s="90">
        <v>0.92600000000000005</v>
      </c>
      <c r="K32" s="90">
        <v>0.97199999999999998</v>
      </c>
    </row>
    <row r="33" spans="1:11" x14ac:dyDescent="0.25">
      <c r="A33" s="88">
        <v>6</v>
      </c>
      <c r="B33" s="90">
        <v>0.66600000000000004</v>
      </c>
      <c r="C33" s="90">
        <v>0.69099999999999995</v>
      </c>
      <c r="D33" s="90">
        <v>0.71699999999999997</v>
      </c>
      <c r="E33" s="90">
        <v>0.746</v>
      </c>
      <c r="F33" s="90">
        <v>0.77700000000000002</v>
      </c>
      <c r="G33" s="90">
        <v>0.81100000000000005</v>
      </c>
      <c r="H33" s="90">
        <v>0.84799999999999998</v>
      </c>
      <c r="I33" s="90">
        <v>0.88700000000000001</v>
      </c>
      <c r="J33" s="90">
        <v>0.93</v>
      </c>
      <c r="K33" s="90">
        <v>0.97599999999999998</v>
      </c>
    </row>
    <row r="34" spans="1:11" x14ac:dyDescent="0.25">
      <c r="A34" s="88">
        <v>7</v>
      </c>
      <c r="B34" s="90">
        <v>0.66800000000000004</v>
      </c>
      <c r="C34" s="90">
        <v>0.69299999999999995</v>
      </c>
      <c r="D34" s="90">
        <v>0.72</v>
      </c>
      <c r="E34" s="90">
        <v>0.749</v>
      </c>
      <c r="F34" s="90">
        <v>0.78</v>
      </c>
      <c r="G34" s="90">
        <v>0.81399999999999995</v>
      </c>
      <c r="H34" s="90">
        <v>0.85099999999999998</v>
      </c>
      <c r="I34" s="90">
        <v>0.89100000000000001</v>
      </c>
      <c r="J34" s="90">
        <v>0.93400000000000005</v>
      </c>
      <c r="K34" s="90">
        <v>0.98</v>
      </c>
    </row>
    <row r="35" spans="1:11" x14ac:dyDescent="0.25">
      <c r="A35" s="88">
        <v>8</v>
      </c>
      <c r="B35" s="90">
        <v>0.67</v>
      </c>
      <c r="C35" s="90">
        <v>0.69499999999999995</v>
      </c>
      <c r="D35" s="90">
        <v>0.72199999999999998</v>
      </c>
      <c r="E35" s="90">
        <v>0.751</v>
      </c>
      <c r="F35" s="90">
        <v>0.78300000000000003</v>
      </c>
      <c r="G35" s="90">
        <v>0.81699999999999995</v>
      </c>
      <c r="H35" s="90">
        <v>0.85399999999999998</v>
      </c>
      <c r="I35" s="90">
        <v>0.89400000000000002</v>
      </c>
      <c r="J35" s="90">
        <v>0.93700000000000006</v>
      </c>
      <c r="K35" s="90">
        <v>0.98399999999999999</v>
      </c>
    </row>
    <row r="36" spans="1:11" x14ac:dyDescent="0.25">
      <c r="A36" s="88">
        <v>9</v>
      </c>
      <c r="B36" s="90">
        <v>0.67200000000000004</v>
      </c>
      <c r="C36" s="90">
        <v>0.69699999999999995</v>
      </c>
      <c r="D36" s="90">
        <v>0.72399999999999998</v>
      </c>
      <c r="E36" s="90">
        <v>0.754</v>
      </c>
      <c r="F36" s="90">
        <v>0.78500000000000003</v>
      </c>
      <c r="G36" s="90">
        <v>0.82</v>
      </c>
      <c r="H36" s="90">
        <v>0.85699999999999998</v>
      </c>
      <c r="I36" s="90">
        <v>0.89800000000000002</v>
      </c>
      <c r="J36" s="90">
        <v>0.94099999999999995</v>
      </c>
      <c r="K36" s="90">
        <v>0.98799999999999999</v>
      </c>
    </row>
    <row r="37" spans="1:11" x14ac:dyDescent="0.25">
      <c r="A37" s="88">
        <v>10</v>
      </c>
      <c r="B37" s="90">
        <v>0.67400000000000004</v>
      </c>
      <c r="C37" s="90">
        <v>0.69899999999999995</v>
      </c>
      <c r="D37" s="90">
        <v>0.72699999999999998</v>
      </c>
      <c r="E37" s="90">
        <v>0.75600000000000001</v>
      </c>
      <c r="F37" s="90">
        <v>0.78800000000000003</v>
      </c>
      <c r="G37" s="90">
        <v>0.82299999999999995</v>
      </c>
      <c r="H37" s="90">
        <v>0.86099999999999999</v>
      </c>
      <c r="I37" s="90">
        <v>0.90100000000000002</v>
      </c>
      <c r="J37" s="90">
        <v>0.94499999999999995</v>
      </c>
      <c r="K37" s="90">
        <v>0.99199999999999999</v>
      </c>
    </row>
    <row r="38" spans="1:11" x14ac:dyDescent="0.25">
      <c r="A38" s="88">
        <v>11</v>
      </c>
      <c r="B38" s="90">
        <v>0.67600000000000005</v>
      </c>
      <c r="C38" s="90">
        <v>0.70199999999999996</v>
      </c>
      <c r="D38" s="90">
        <v>0.72899999999999998</v>
      </c>
      <c r="E38" s="90">
        <v>0.75900000000000001</v>
      </c>
      <c r="F38" s="90">
        <v>0.79100000000000004</v>
      </c>
      <c r="G38" s="90">
        <v>0.82599999999999996</v>
      </c>
      <c r="H38" s="90">
        <v>0.86399999999999999</v>
      </c>
      <c r="I38" s="90">
        <v>0.90400000000000003</v>
      </c>
      <c r="J38" s="90">
        <v>0.94799999999999995</v>
      </c>
      <c r="K38" s="90">
        <v>0.996</v>
      </c>
    </row>
    <row r="39" spans="1:11" x14ac:dyDescent="0.25">
      <c r="A39"/>
      <c r="B39"/>
    </row>
    <row r="40" spans="1:11" x14ac:dyDescent="0.25">
      <c r="A40"/>
      <c r="B40"/>
    </row>
    <row r="41" spans="1:11" x14ac:dyDescent="0.25">
      <c r="A41"/>
      <c r="B41"/>
    </row>
    <row r="42" spans="1:11" x14ac:dyDescent="0.25">
      <c r="A42"/>
      <c r="B42"/>
    </row>
    <row r="43" spans="1:11" x14ac:dyDescent="0.25">
      <c r="A43"/>
      <c r="B43"/>
    </row>
    <row r="44" spans="1:11" ht="39.6" customHeight="1" x14ac:dyDescent="0.25">
      <c r="A44"/>
      <c r="B44"/>
    </row>
    <row r="45" spans="1:11" x14ac:dyDescent="0.25">
      <c r="A45"/>
      <c r="B45"/>
    </row>
    <row r="46" spans="1:11" ht="27.6" customHeight="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AJrbqkN6/qPRu0slG4yrhb2j39aqxuwZF5h+0t2cjw2/TFMjcg8dgZ9uJ1vd52Rc7Q3GCEd96NWDY/SmjhvXoQ==" saltValue="y5Pjz+8Ed0zM0zyEHiALqQ==" spinCount="100000" sheet="1" objects="1" scenarios="1"/>
  <conditionalFormatting sqref="A6:A21">
    <cfRule type="expression" dxfId="189" priority="3" stopIfTrue="1">
      <formula>MOD(ROW(),2)=0</formula>
    </cfRule>
    <cfRule type="expression" dxfId="188" priority="4" stopIfTrue="1">
      <formula>MOD(ROW(),2)&lt;&gt;0</formula>
    </cfRule>
  </conditionalFormatting>
  <conditionalFormatting sqref="A26:A38">
    <cfRule type="expression" dxfId="187" priority="7" stopIfTrue="1">
      <formula>MOD(ROW(),2)=0</formula>
    </cfRule>
    <cfRule type="expression" dxfId="186" priority="8" stopIfTrue="1">
      <formula>MOD(ROW(),2)&lt;&gt;0</formula>
    </cfRule>
  </conditionalFormatting>
  <conditionalFormatting sqref="B17:B21">
    <cfRule type="expression" dxfId="185" priority="13" stopIfTrue="1">
      <formula>MOD(ROW(),2)=0</formula>
    </cfRule>
    <cfRule type="expression" dxfId="184" priority="14" stopIfTrue="1">
      <formula>MOD(ROW(),2)&lt;&gt;0</formula>
    </cfRule>
  </conditionalFormatting>
  <conditionalFormatting sqref="B6:K21 B26:K38">
    <cfRule type="expression" dxfId="183" priority="21" stopIfTrue="1">
      <formula>MOD(ROW(),2)=0</formula>
    </cfRule>
    <cfRule type="expression" dxfId="182" priority="2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0"/>
  <dimension ref="A1:H65"/>
  <sheetViews>
    <sheetView showGridLines="0" zoomScale="85" zoomScaleNormal="85" workbookViewId="0">
      <selection activeCell="A4" sqref="A4"/>
    </sheetView>
  </sheetViews>
  <sheetFormatPr defaultColWidth="10" defaultRowHeight="13.2" x14ac:dyDescent="0.25"/>
  <cols>
    <col min="1" max="1" width="31.88671875" style="27" customWidth="1"/>
    <col min="2" max="7" width="22.88671875" style="27" customWidth="1"/>
    <col min="8" max="16384" width="10" style="27"/>
  </cols>
  <sheetData>
    <row r="1" spans="1:8" ht="21" x14ac:dyDescent="0.4">
      <c r="A1" s="39" t="s">
        <v>0</v>
      </c>
      <c r="B1" s="40"/>
      <c r="C1" s="40"/>
      <c r="D1" s="40"/>
      <c r="E1" s="40"/>
      <c r="F1" s="40"/>
      <c r="G1" s="40"/>
      <c r="H1" s="40"/>
    </row>
    <row r="2" spans="1:8" ht="15.6" x14ac:dyDescent="0.3">
      <c r="A2" s="41" t="str">
        <f>IF(title="&gt; Enter workbook title here","Enter workbook title in Cover sheet",title)</f>
        <v>Fire_S - Consolidated Factor Spreadsheet</v>
      </c>
      <c r="B2" s="42"/>
      <c r="C2" s="42"/>
      <c r="D2" s="42"/>
      <c r="E2" s="42"/>
      <c r="F2" s="42"/>
      <c r="G2" s="42"/>
      <c r="H2" s="42"/>
    </row>
    <row r="3" spans="1:8" ht="15.6" x14ac:dyDescent="0.3">
      <c r="A3" s="43" t="str">
        <f>TABLE_FACTOR_TYPE_1&amp;" - x-"&amp;TABLE_SERIES_NUMBER_1</f>
        <v>Scheme Pays AA - x-604</v>
      </c>
      <c r="B3" s="42"/>
      <c r="C3" s="42"/>
      <c r="D3" s="42"/>
      <c r="E3" s="42"/>
      <c r="F3" s="42"/>
      <c r="G3" s="42"/>
      <c r="H3" s="42"/>
    </row>
    <row r="4" spans="1:8" x14ac:dyDescent="0.25">
      <c r="A4" s="44"/>
    </row>
    <row r="6" spans="1:8" x14ac:dyDescent="0.25">
      <c r="A6" s="75" t="s">
        <v>484</v>
      </c>
      <c r="B6" s="162" t="s">
        <v>485</v>
      </c>
      <c r="C6" s="162"/>
      <c r="D6" s="162"/>
      <c r="E6" s="162"/>
      <c r="F6" s="162"/>
      <c r="G6" s="162"/>
    </row>
    <row r="7" spans="1:8" x14ac:dyDescent="0.25">
      <c r="A7" s="76" t="s">
        <v>486</v>
      </c>
      <c r="B7" s="162" t="s">
        <v>81</v>
      </c>
      <c r="C7" s="162"/>
      <c r="D7" s="162"/>
      <c r="E7" s="162"/>
      <c r="F7" s="162"/>
      <c r="G7" s="162"/>
    </row>
    <row r="8" spans="1:8" x14ac:dyDescent="0.25">
      <c r="A8" s="76" t="s">
        <v>282</v>
      </c>
      <c r="B8" s="162">
        <v>1992</v>
      </c>
      <c r="C8" s="162"/>
      <c r="D8" s="162"/>
      <c r="E8" s="162"/>
      <c r="F8" s="162"/>
      <c r="G8" s="162"/>
    </row>
    <row r="9" spans="1:8" x14ac:dyDescent="0.25">
      <c r="A9" s="76" t="s">
        <v>283</v>
      </c>
      <c r="B9" s="162" t="s">
        <v>419</v>
      </c>
      <c r="C9" s="162"/>
      <c r="D9" s="162"/>
      <c r="E9" s="162"/>
      <c r="F9" s="162"/>
      <c r="G9" s="162"/>
    </row>
    <row r="10" spans="1:8" x14ac:dyDescent="0.25">
      <c r="A10" s="76" t="s">
        <v>6</v>
      </c>
      <c r="B10" s="162" t="s">
        <v>427</v>
      </c>
      <c r="C10" s="162"/>
      <c r="D10" s="162"/>
      <c r="E10" s="162"/>
      <c r="F10" s="162"/>
      <c r="G10" s="162"/>
    </row>
    <row r="11" spans="1:8" x14ac:dyDescent="0.25">
      <c r="A11" s="76" t="s">
        <v>284</v>
      </c>
      <c r="B11" s="162" t="s">
        <v>349</v>
      </c>
      <c r="C11" s="162"/>
      <c r="D11" s="162"/>
      <c r="E11" s="162"/>
      <c r="F11" s="162"/>
      <c r="G11" s="162"/>
    </row>
    <row r="12" spans="1:8" x14ac:dyDescent="0.25">
      <c r="A12" s="76" t="s">
        <v>285</v>
      </c>
      <c r="B12" s="162" t="s">
        <v>350</v>
      </c>
      <c r="C12" s="162"/>
      <c r="D12" s="162"/>
      <c r="E12" s="162"/>
      <c r="F12" s="162"/>
      <c r="G12" s="162"/>
    </row>
    <row r="13" spans="1:8" hidden="1" x14ac:dyDescent="0.25">
      <c r="A13" s="76" t="s">
        <v>493</v>
      </c>
      <c r="B13" s="162">
        <v>2</v>
      </c>
      <c r="C13" s="162"/>
      <c r="D13" s="162"/>
      <c r="E13" s="162"/>
      <c r="F13" s="162"/>
      <c r="G13" s="162"/>
    </row>
    <row r="14" spans="1:8" hidden="1" x14ac:dyDescent="0.25">
      <c r="A14" s="76" t="s">
        <v>287</v>
      </c>
      <c r="B14" s="162">
        <v>604</v>
      </c>
      <c r="C14" s="162"/>
      <c r="D14" s="162"/>
      <c r="E14" s="162"/>
      <c r="F14" s="162"/>
      <c r="G14" s="162"/>
    </row>
    <row r="15" spans="1:8" x14ac:dyDescent="0.25">
      <c r="A15" s="76" t="s">
        <v>496</v>
      </c>
      <c r="B15" s="162" t="s">
        <v>428</v>
      </c>
      <c r="C15" s="162"/>
      <c r="D15" s="162"/>
      <c r="E15" s="162"/>
      <c r="F15" s="162"/>
      <c r="G15" s="162"/>
    </row>
    <row r="16" spans="1:8" x14ac:dyDescent="0.25">
      <c r="A16" s="76" t="s">
        <v>288</v>
      </c>
      <c r="B16" s="162" t="s">
        <v>305</v>
      </c>
      <c r="C16" s="162"/>
      <c r="D16" s="162"/>
      <c r="E16" s="162"/>
      <c r="F16" s="162"/>
      <c r="G16" s="162"/>
    </row>
    <row r="17" spans="1:7" x14ac:dyDescent="0.25">
      <c r="A17" s="76" t="s">
        <v>568</v>
      </c>
      <c r="B17" s="162"/>
      <c r="C17" s="162"/>
      <c r="D17" s="162"/>
      <c r="E17" s="162"/>
      <c r="F17" s="162"/>
      <c r="G17" s="162"/>
    </row>
    <row r="18" spans="1:7" x14ac:dyDescent="0.25">
      <c r="A18" s="76" t="s">
        <v>500</v>
      </c>
      <c r="B18" s="164">
        <v>45135</v>
      </c>
      <c r="C18" s="162"/>
      <c r="D18" s="162"/>
      <c r="E18" s="162"/>
      <c r="F18" s="162"/>
      <c r="G18" s="162"/>
    </row>
    <row r="19" spans="1:7" x14ac:dyDescent="0.25">
      <c r="A19" s="76" t="s">
        <v>290</v>
      </c>
      <c r="B19" s="164">
        <v>45135</v>
      </c>
      <c r="C19" s="162"/>
      <c r="D19" s="162"/>
      <c r="E19" s="162"/>
      <c r="F19" s="162"/>
      <c r="G19" s="162"/>
    </row>
    <row r="20" spans="1:7" x14ac:dyDescent="0.25">
      <c r="A20" s="76" t="s">
        <v>291</v>
      </c>
      <c r="B20" s="162" t="s">
        <v>298</v>
      </c>
      <c r="C20" s="162"/>
      <c r="D20" s="162"/>
      <c r="E20" s="162"/>
      <c r="F20" s="162"/>
      <c r="G20" s="162"/>
    </row>
    <row r="21" spans="1:7" x14ac:dyDescent="0.25">
      <c r="A21" s="150" t="s">
        <v>569</v>
      </c>
      <c r="B21" s="162" t="s">
        <v>297</v>
      </c>
      <c r="C21" s="162"/>
      <c r="D21" s="162"/>
      <c r="E21" s="162"/>
      <c r="F21" s="162"/>
      <c r="G21" s="162"/>
    </row>
    <row r="23" spans="1:7" x14ac:dyDescent="0.25">
      <c r="B23" s="91" t="str">
        <f>HYPERLINK("#'Factor List'!A1","Back to Factor List")</f>
        <v>Back to Factor List</v>
      </c>
    </row>
    <row r="24" spans="1:7" x14ac:dyDescent="0.25">
      <c r="B24" s="91" t="str">
        <f>HYPERLINK("#'Assumptions'!A1","Assumptions")</f>
        <v>Assumptions</v>
      </c>
    </row>
    <row r="26" spans="1:7" x14ac:dyDescent="0.25">
      <c r="A26" s="87" t="s">
        <v>611</v>
      </c>
      <c r="B26" s="87">
        <v>60</v>
      </c>
      <c r="C26" s="87">
        <v>61</v>
      </c>
      <c r="D26" s="87">
        <v>62</v>
      </c>
      <c r="E26" s="87">
        <v>63</v>
      </c>
      <c r="F26" s="87">
        <v>64</v>
      </c>
      <c r="G26" s="87">
        <v>65</v>
      </c>
    </row>
    <row r="27" spans="1:7" x14ac:dyDescent="0.25">
      <c r="A27" s="88">
        <v>0</v>
      </c>
      <c r="B27" s="90">
        <v>1</v>
      </c>
      <c r="C27" s="90">
        <v>1.052</v>
      </c>
      <c r="D27" s="90">
        <v>1.109</v>
      </c>
      <c r="E27" s="90">
        <v>1.171</v>
      </c>
      <c r="F27" s="90">
        <v>1.238</v>
      </c>
      <c r="G27" s="90">
        <v>1.3109999999999999</v>
      </c>
    </row>
    <row r="28" spans="1:7" x14ac:dyDescent="0.25">
      <c r="A28" s="88">
        <v>1</v>
      </c>
      <c r="B28" s="90">
        <v>1.004</v>
      </c>
      <c r="C28" s="90">
        <v>1.0569999999999999</v>
      </c>
      <c r="D28" s="90">
        <v>1.1140000000000001</v>
      </c>
      <c r="E28" s="90">
        <v>1.1759999999999999</v>
      </c>
      <c r="F28" s="90">
        <v>1.244</v>
      </c>
      <c r="G28" s="90">
        <v>1.3180000000000001</v>
      </c>
    </row>
    <row r="29" spans="1:7" x14ac:dyDescent="0.25">
      <c r="A29" s="88">
        <v>2</v>
      </c>
      <c r="B29" s="90">
        <v>1.0089999999999999</v>
      </c>
      <c r="C29" s="90">
        <v>1.0620000000000001</v>
      </c>
      <c r="D29" s="90">
        <v>1.119</v>
      </c>
      <c r="E29" s="90">
        <v>1.1819999999999999</v>
      </c>
      <c r="F29" s="90">
        <v>1.25</v>
      </c>
      <c r="G29" s="90">
        <v>1.3240000000000001</v>
      </c>
    </row>
    <row r="30" spans="1:7" x14ac:dyDescent="0.25">
      <c r="A30" s="88">
        <v>3</v>
      </c>
      <c r="B30" s="90">
        <v>1.0129999999999999</v>
      </c>
      <c r="C30" s="90">
        <v>1.0660000000000001</v>
      </c>
      <c r="D30" s="90">
        <v>1.1240000000000001</v>
      </c>
      <c r="E30" s="90">
        <v>1.1870000000000001</v>
      </c>
      <c r="F30" s="90">
        <v>1.256</v>
      </c>
      <c r="G30" s="90">
        <v>1.331</v>
      </c>
    </row>
    <row r="31" spans="1:7" x14ac:dyDescent="0.25">
      <c r="A31" s="88">
        <v>4</v>
      </c>
      <c r="B31" s="90">
        <v>1.0169999999999999</v>
      </c>
      <c r="C31" s="90">
        <v>1.071</v>
      </c>
      <c r="D31" s="90">
        <v>1.129</v>
      </c>
      <c r="E31" s="90">
        <v>1.1930000000000001</v>
      </c>
      <c r="F31" s="90">
        <v>1.262</v>
      </c>
      <c r="G31" s="90">
        <v>1.3380000000000001</v>
      </c>
    </row>
    <row r="32" spans="1:7" x14ac:dyDescent="0.25">
      <c r="A32" s="88">
        <v>5</v>
      </c>
      <c r="B32" s="90">
        <v>1.022</v>
      </c>
      <c r="C32" s="90">
        <v>1.0760000000000001</v>
      </c>
      <c r="D32" s="90">
        <v>1.135</v>
      </c>
      <c r="E32" s="90">
        <v>1.1990000000000001</v>
      </c>
      <c r="F32" s="90">
        <v>1.268</v>
      </c>
      <c r="G32" s="90">
        <v>1.3440000000000001</v>
      </c>
    </row>
    <row r="33" spans="1:7" x14ac:dyDescent="0.25">
      <c r="A33" s="88">
        <v>6</v>
      </c>
      <c r="B33" s="90">
        <v>1.026</v>
      </c>
      <c r="C33" s="90">
        <v>1.081</v>
      </c>
      <c r="D33" s="90">
        <v>1.1399999999999999</v>
      </c>
      <c r="E33" s="90">
        <v>1.204</v>
      </c>
      <c r="F33" s="90">
        <v>1.274</v>
      </c>
      <c r="G33" s="90">
        <v>1.351</v>
      </c>
    </row>
    <row r="34" spans="1:7" x14ac:dyDescent="0.25">
      <c r="A34" s="88">
        <v>7</v>
      </c>
      <c r="B34" s="90">
        <v>1.03</v>
      </c>
      <c r="C34" s="90">
        <v>1.085</v>
      </c>
      <c r="D34" s="90">
        <v>1.145</v>
      </c>
      <c r="E34" s="90">
        <v>1.21</v>
      </c>
      <c r="F34" s="90">
        <v>1.2809999999999999</v>
      </c>
      <c r="G34" s="90">
        <v>1.3580000000000001</v>
      </c>
    </row>
    <row r="35" spans="1:7" x14ac:dyDescent="0.25">
      <c r="A35" s="88">
        <v>8</v>
      </c>
      <c r="B35" s="90">
        <v>1.0349999999999999</v>
      </c>
      <c r="C35" s="90">
        <v>1.0900000000000001</v>
      </c>
      <c r="D35" s="90">
        <v>1.1499999999999999</v>
      </c>
      <c r="E35" s="90">
        <v>1.2150000000000001</v>
      </c>
      <c r="F35" s="90">
        <v>1.2869999999999999</v>
      </c>
      <c r="G35" s="90">
        <v>1.365</v>
      </c>
    </row>
    <row r="36" spans="1:7" x14ac:dyDescent="0.25">
      <c r="A36" s="88">
        <v>9</v>
      </c>
      <c r="B36" s="90">
        <v>1.0389999999999999</v>
      </c>
      <c r="C36" s="90">
        <v>1.095</v>
      </c>
      <c r="D36" s="90">
        <v>1.155</v>
      </c>
      <c r="E36" s="90">
        <v>1.2210000000000001</v>
      </c>
      <c r="F36" s="90">
        <v>1.2929999999999999</v>
      </c>
      <c r="G36" s="90">
        <v>1.371</v>
      </c>
    </row>
    <row r="37" spans="1:7" x14ac:dyDescent="0.25">
      <c r="A37" s="88">
        <v>10</v>
      </c>
      <c r="B37" s="90">
        <v>1.044</v>
      </c>
      <c r="C37" s="90">
        <v>1.099</v>
      </c>
      <c r="D37" s="90">
        <v>1.1599999999999999</v>
      </c>
      <c r="E37" s="90">
        <v>1.2270000000000001</v>
      </c>
      <c r="F37" s="90">
        <v>1.2989999999999999</v>
      </c>
      <c r="G37" s="90">
        <v>1.3779999999999999</v>
      </c>
    </row>
    <row r="38" spans="1:7" x14ac:dyDescent="0.25">
      <c r="A38" s="88">
        <v>11</v>
      </c>
      <c r="B38" s="90">
        <v>1.048</v>
      </c>
      <c r="C38" s="90">
        <v>1.1040000000000001</v>
      </c>
      <c r="D38" s="90">
        <v>1.165</v>
      </c>
      <c r="E38" s="90">
        <v>1.232</v>
      </c>
      <c r="F38" s="90">
        <v>1.3049999999999999</v>
      </c>
      <c r="G38" s="90">
        <v>1.385</v>
      </c>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ht="39.6" customHeight="1" x14ac:dyDescent="0.25">
      <c r="A44"/>
      <c r="B44"/>
    </row>
    <row r="45" spans="1:7" x14ac:dyDescent="0.25">
      <c r="A45"/>
      <c r="B45"/>
    </row>
    <row r="46" spans="1:7" ht="27.6" customHeight="1"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5+tq7eZjdrRWkD+6kH/QP5CCf9VaIjJIvl4BGVG9k2xs5TiC35cB1UK4ciwFWZOiyaThB5VY0HFb5utZ6oXaow==" saltValue="ltSF+O5sWz6/Uu6KVc4DHw==" spinCount="100000" sheet="1" objects="1" scenarios="1"/>
  <conditionalFormatting sqref="A6:A21">
    <cfRule type="expression" dxfId="181" priority="3" stopIfTrue="1">
      <formula>MOD(ROW(),2)=0</formula>
    </cfRule>
    <cfRule type="expression" dxfId="180" priority="4" stopIfTrue="1">
      <formula>MOD(ROW(),2)&lt;&gt;0</formula>
    </cfRule>
  </conditionalFormatting>
  <conditionalFormatting sqref="A26:A38">
    <cfRule type="expression" dxfId="179" priority="7" stopIfTrue="1">
      <formula>MOD(ROW(),2)=0</formula>
    </cfRule>
    <cfRule type="expression" dxfId="178" priority="8" stopIfTrue="1">
      <formula>MOD(ROW(),2)&lt;&gt;0</formula>
    </cfRule>
  </conditionalFormatting>
  <conditionalFormatting sqref="B17:B21">
    <cfRule type="expression" dxfId="177" priority="13" stopIfTrue="1">
      <formula>MOD(ROW(),2)=0</formula>
    </cfRule>
    <cfRule type="expression" dxfId="176" priority="14" stopIfTrue="1">
      <formula>MOD(ROW(),2)&lt;&gt;0</formula>
    </cfRule>
  </conditionalFormatting>
  <conditionalFormatting sqref="B6:G21 B26:G38">
    <cfRule type="expression" dxfId="175" priority="21" stopIfTrue="1">
      <formula>MOD(ROW(),2)=0</formula>
    </cfRule>
    <cfRule type="expression" dxfId="174" priority="2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1"/>
  <dimension ref="A1:AQ65"/>
  <sheetViews>
    <sheetView showGridLines="0" zoomScale="40" zoomScaleNormal="40" workbookViewId="0">
      <selection activeCell="A4" sqref="A4"/>
    </sheetView>
  </sheetViews>
  <sheetFormatPr defaultColWidth="10" defaultRowHeight="13.2" x14ac:dyDescent="0.25"/>
  <cols>
    <col min="1" max="1" width="31.88671875" style="27" customWidth="1"/>
    <col min="2" max="43" width="22.88671875" style="27" customWidth="1"/>
    <col min="44" max="16384" width="10" style="27"/>
  </cols>
  <sheetData>
    <row r="1" spans="1:43" ht="21" x14ac:dyDescent="0.4">
      <c r="A1" s="39" t="s">
        <v>0</v>
      </c>
      <c r="B1" s="40"/>
      <c r="C1" s="40"/>
      <c r="D1" s="40"/>
      <c r="E1" s="40"/>
      <c r="F1" s="40"/>
      <c r="G1" s="40"/>
      <c r="H1" s="40"/>
      <c r="I1" s="40"/>
    </row>
    <row r="2" spans="1:43" ht="15.6" x14ac:dyDescent="0.3">
      <c r="A2" s="41" t="str">
        <f>IF(title="&gt; Enter workbook title here","Enter workbook title in Cover sheet",title)</f>
        <v>Fire_S - Consolidated Factor Spreadsheet</v>
      </c>
      <c r="B2" s="42"/>
      <c r="C2" s="42"/>
      <c r="D2" s="42"/>
      <c r="E2" s="42"/>
      <c r="F2" s="42"/>
      <c r="G2" s="42"/>
      <c r="H2" s="42"/>
      <c r="I2" s="42"/>
    </row>
    <row r="3" spans="1:43" ht="15.6" x14ac:dyDescent="0.3">
      <c r="A3" s="43" t="str">
        <f>TABLE_FACTOR_TYPE_1&amp;" - x-"&amp;TABLE_SERIES_NUMBER_1</f>
        <v>Scheme Pays AA - x-605</v>
      </c>
      <c r="B3" s="42"/>
      <c r="C3" s="42"/>
      <c r="D3" s="42"/>
      <c r="E3" s="42"/>
      <c r="F3" s="42"/>
      <c r="G3" s="42"/>
      <c r="H3" s="42"/>
      <c r="I3" s="42"/>
    </row>
    <row r="4" spans="1:43" x14ac:dyDescent="0.25">
      <c r="A4" s="44"/>
    </row>
    <row r="6" spans="1:43" x14ac:dyDescent="0.25">
      <c r="A6" s="75" t="s">
        <v>484</v>
      </c>
      <c r="B6" s="162" t="s">
        <v>485</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row>
    <row r="7" spans="1:43" x14ac:dyDescent="0.25">
      <c r="A7" s="76" t="s">
        <v>486</v>
      </c>
      <c r="B7" s="162" t="s">
        <v>81</v>
      </c>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row>
    <row r="8" spans="1:43" x14ac:dyDescent="0.25">
      <c r="A8" s="76" t="s">
        <v>282</v>
      </c>
      <c r="B8" s="162">
        <v>1992</v>
      </c>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row>
    <row r="9" spans="1:43" x14ac:dyDescent="0.25">
      <c r="A9" s="76" t="s">
        <v>283</v>
      </c>
      <c r="B9" s="162" t="s">
        <v>419</v>
      </c>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row>
    <row r="10" spans="1:43" x14ac:dyDescent="0.25">
      <c r="A10" s="76" t="s">
        <v>6</v>
      </c>
      <c r="B10" s="162" t="s">
        <v>429</v>
      </c>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row>
    <row r="11" spans="1:43" x14ac:dyDescent="0.25">
      <c r="A11" s="76" t="s">
        <v>284</v>
      </c>
      <c r="B11" s="162" t="s">
        <v>349</v>
      </c>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row>
    <row r="12" spans="1:43" x14ac:dyDescent="0.25">
      <c r="A12" s="76" t="s">
        <v>285</v>
      </c>
      <c r="B12" s="162" t="s">
        <v>350</v>
      </c>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row>
    <row r="13" spans="1:43" hidden="1" x14ac:dyDescent="0.25">
      <c r="A13" s="76" t="s">
        <v>493</v>
      </c>
      <c r="B13" s="162">
        <v>2</v>
      </c>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row>
    <row r="14" spans="1:43" hidden="1" x14ac:dyDescent="0.25">
      <c r="A14" s="76" t="s">
        <v>287</v>
      </c>
      <c r="B14" s="162">
        <v>605</v>
      </c>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row>
    <row r="15" spans="1:43" x14ac:dyDescent="0.25">
      <c r="A15" s="76" t="s">
        <v>496</v>
      </c>
      <c r="B15" s="162" t="s">
        <v>430</v>
      </c>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row>
    <row r="16" spans="1:43" x14ac:dyDescent="0.25">
      <c r="A16" s="76" t="s">
        <v>288</v>
      </c>
      <c r="B16" s="162" t="s">
        <v>395</v>
      </c>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row>
    <row r="17" spans="1:43" x14ac:dyDescent="0.25">
      <c r="A17" s="76" t="s">
        <v>568</v>
      </c>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row>
    <row r="18" spans="1:43" x14ac:dyDescent="0.25">
      <c r="A18" s="76" t="s">
        <v>500</v>
      </c>
      <c r="B18" s="164">
        <v>45135</v>
      </c>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row>
    <row r="19" spans="1:43" x14ac:dyDescent="0.25">
      <c r="A19" s="76" t="s">
        <v>290</v>
      </c>
      <c r="B19" s="164">
        <v>45135</v>
      </c>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row>
    <row r="20" spans="1:43" x14ac:dyDescent="0.25">
      <c r="A20" s="76" t="s">
        <v>291</v>
      </c>
      <c r="B20" s="162" t="s">
        <v>298</v>
      </c>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row>
    <row r="21" spans="1:43" x14ac:dyDescent="0.25">
      <c r="A21" s="150" t="s">
        <v>569</v>
      </c>
      <c r="B21" s="162" t="s">
        <v>297</v>
      </c>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row>
    <row r="23" spans="1:43" x14ac:dyDescent="0.25">
      <c r="B23" s="91" t="str">
        <f>HYPERLINK("#'Factor List'!A1","Back to Factor List")</f>
        <v>Back to Factor List</v>
      </c>
    </row>
    <row r="24" spans="1:43" x14ac:dyDescent="0.25">
      <c r="B24" s="91" t="str">
        <f>HYPERLINK("#'Assumptions'!A1","Assumptions")</f>
        <v>Assumptions</v>
      </c>
    </row>
    <row r="26" spans="1:43" x14ac:dyDescent="0.25">
      <c r="A26" s="87" t="s">
        <v>611</v>
      </c>
      <c r="B26" s="87">
        <v>18</v>
      </c>
      <c r="C26" s="87">
        <v>19</v>
      </c>
      <c r="D26" s="87">
        <v>20</v>
      </c>
      <c r="E26" s="87">
        <v>21</v>
      </c>
      <c r="F26" s="87">
        <v>22</v>
      </c>
      <c r="G26" s="87">
        <v>23</v>
      </c>
      <c r="H26" s="87">
        <v>24</v>
      </c>
      <c r="I26" s="87">
        <v>25</v>
      </c>
      <c r="J26" s="87">
        <v>26</v>
      </c>
      <c r="K26" s="87">
        <v>27</v>
      </c>
      <c r="L26" s="87">
        <v>28</v>
      </c>
      <c r="M26" s="87">
        <v>29</v>
      </c>
      <c r="N26" s="87">
        <v>30</v>
      </c>
      <c r="O26" s="87">
        <v>31</v>
      </c>
      <c r="P26" s="87">
        <v>32</v>
      </c>
      <c r="Q26" s="87">
        <v>33</v>
      </c>
      <c r="R26" s="87">
        <v>34</v>
      </c>
      <c r="S26" s="87">
        <v>35</v>
      </c>
      <c r="T26" s="87">
        <v>36</v>
      </c>
      <c r="U26" s="87">
        <v>37</v>
      </c>
      <c r="V26" s="87">
        <v>38</v>
      </c>
      <c r="W26" s="87">
        <v>39</v>
      </c>
      <c r="X26" s="87">
        <v>40</v>
      </c>
      <c r="Y26" s="87">
        <v>41</v>
      </c>
      <c r="Z26" s="87">
        <v>42</v>
      </c>
      <c r="AA26" s="87">
        <v>43</v>
      </c>
      <c r="AB26" s="87">
        <v>44</v>
      </c>
      <c r="AC26" s="87">
        <v>45</v>
      </c>
      <c r="AD26" s="87">
        <v>46</v>
      </c>
      <c r="AE26" s="87">
        <v>47</v>
      </c>
      <c r="AF26" s="87">
        <v>48</v>
      </c>
      <c r="AG26" s="87">
        <v>49</v>
      </c>
      <c r="AH26" s="87">
        <v>50</v>
      </c>
      <c r="AI26" s="87">
        <v>51</v>
      </c>
      <c r="AJ26" s="87">
        <v>52</v>
      </c>
      <c r="AK26" s="87">
        <v>53</v>
      </c>
      <c r="AL26" s="87">
        <v>54</v>
      </c>
      <c r="AM26" s="87">
        <v>55</v>
      </c>
      <c r="AN26" s="87">
        <v>56</v>
      </c>
      <c r="AO26" s="87">
        <v>57</v>
      </c>
      <c r="AP26" s="87">
        <v>58</v>
      </c>
      <c r="AQ26" s="87">
        <v>59</v>
      </c>
    </row>
    <row r="27" spans="1:43" x14ac:dyDescent="0.25">
      <c r="A27" s="88">
        <v>0</v>
      </c>
      <c r="B27" s="90">
        <v>0.26</v>
      </c>
      <c r="C27" s="90">
        <v>0.26600000000000001</v>
      </c>
      <c r="D27" s="90">
        <v>0.27200000000000002</v>
      </c>
      <c r="E27" s="90">
        <v>0.27900000000000003</v>
      </c>
      <c r="F27" s="90">
        <v>0.28499999999999998</v>
      </c>
      <c r="G27" s="90">
        <v>0.29199999999999998</v>
      </c>
      <c r="H27" s="90">
        <v>0.29899999999999999</v>
      </c>
      <c r="I27" s="90">
        <v>0.307</v>
      </c>
      <c r="J27" s="90">
        <v>0.314</v>
      </c>
      <c r="K27" s="90">
        <v>0.32200000000000001</v>
      </c>
      <c r="L27" s="90">
        <v>0.33100000000000002</v>
      </c>
      <c r="M27" s="90">
        <v>0.33900000000000002</v>
      </c>
      <c r="N27" s="90">
        <v>0.34799999999999998</v>
      </c>
      <c r="O27" s="90">
        <v>0.35799999999999998</v>
      </c>
      <c r="P27" s="90">
        <v>0.36699999999999999</v>
      </c>
      <c r="Q27" s="90">
        <v>0.378</v>
      </c>
      <c r="R27" s="90">
        <v>0.38800000000000001</v>
      </c>
      <c r="S27" s="90">
        <v>0.39900000000000002</v>
      </c>
      <c r="T27" s="90">
        <v>0.41099999999999998</v>
      </c>
      <c r="U27" s="90">
        <v>0.42299999999999999</v>
      </c>
      <c r="V27" s="90">
        <v>0.435</v>
      </c>
      <c r="W27" s="90">
        <v>0.44900000000000001</v>
      </c>
      <c r="X27" s="90">
        <v>0.46200000000000002</v>
      </c>
      <c r="Y27" s="90">
        <v>0.47699999999999998</v>
      </c>
      <c r="Z27" s="90">
        <v>0.49199999999999999</v>
      </c>
      <c r="AA27" s="90">
        <v>0.50800000000000001</v>
      </c>
      <c r="AB27" s="90">
        <v>0.52500000000000002</v>
      </c>
      <c r="AC27" s="90">
        <v>0.54300000000000004</v>
      </c>
      <c r="AD27" s="90">
        <v>0.56200000000000006</v>
      </c>
      <c r="AE27" s="90">
        <v>0.58199999999999996</v>
      </c>
      <c r="AF27" s="90">
        <v>0.60299999999999998</v>
      </c>
      <c r="AG27" s="90">
        <v>0.625</v>
      </c>
      <c r="AH27" s="90">
        <v>0.64900000000000002</v>
      </c>
      <c r="AI27" s="90">
        <v>0.67400000000000004</v>
      </c>
      <c r="AJ27" s="90">
        <v>0.70099999999999996</v>
      </c>
      <c r="AK27" s="90">
        <v>0.73</v>
      </c>
      <c r="AL27" s="90">
        <v>0.76100000000000001</v>
      </c>
      <c r="AM27" s="90">
        <v>0.79400000000000004</v>
      </c>
      <c r="AN27" s="90">
        <v>0.82899999999999996</v>
      </c>
      <c r="AO27" s="90">
        <v>0.86699999999999999</v>
      </c>
      <c r="AP27" s="90">
        <v>0.90800000000000003</v>
      </c>
      <c r="AQ27" s="90">
        <v>0.95199999999999996</v>
      </c>
    </row>
    <row r="28" spans="1:43" x14ac:dyDescent="0.25">
      <c r="A28" s="88">
        <v>1</v>
      </c>
      <c r="B28" s="90">
        <v>0.26</v>
      </c>
      <c r="C28" s="90">
        <v>0.26600000000000001</v>
      </c>
      <c r="D28" s="90">
        <v>0.27300000000000002</v>
      </c>
      <c r="E28" s="90">
        <v>0.27900000000000003</v>
      </c>
      <c r="F28" s="90">
        <v>0.28599999999999998</v>
      </c>
      <c r="G28" s="90">
        <v>0.29299999999999998</v>
      </c>
      <c r="H28" s="90">
        <v>0.3</v>
      </c>
      <c r="I28" s="90">
        <v>0.307</v>
      </c>
      <c r="J28" s="90">
        <v>0.315</v>
      </c>
      <c r="K28" s="90">
        <v>0.32300000000000001</v>
      </c>
      <c r="L28" s="90">
        <v>0.33100000000000002</v>
      </c>
      <c r="M28" s="90">
        <v>0.34</v>
      </c>
      <c r="N28" s="90">
        <v>0.34899999999999998</v>
      </c>
      <c r="O28" s="90">
        <v>0.35799999999999998</v>
      </c>
      <c r="P28" s="90">
        <v>0.36799999999999999</v>
      </c>
      <c r="Q28" s="90">
        <v>0.378</v>
      </c>
      <c r="R28" s="90">
        <v>0.38900000000000001</v>
      </c>
      <c r="S28" s="90">
        <v>0.4</v>
      </c>
      <c r="T28" s="90">
        <v>0.41199999999999998</v>
      </c>
      <c r="U28" s="90">
        <v>0.42399999999999999</v>
      </c>
      <c r="V28" s="90">
        <v>0.436</v>
      </c>
      <c r="W28" s="90">
        <v>0.45</v>
      </c>
      <c r="X28" s="90">
        <v>0.46400000000000002</v>
      </c>
      <c r="Y28" s="90">
        <v>0.47799999999999998</v>
      </c>
      <c r="Z28" s="90">
        <v>0.49399999999999999</v>
      </c>
      <c r="AA28" s="90">
        <v>0.51</v>
      </c>
      <c r="AB28" s="90">
        <v>0.52700000000000002</v>
      </c>
      <c r="AC28" s="90">
        <v>0.54500000000000004</v>
      </c>
      <c r="AD28" s="90">
        <v>0.56399999999999995</v>
      </c>
      <c r="AE28" s="90">
        <v>0.58399999999999996</v>
      </c>
      <c r="AF28" s="90">
        <v>0.60499999999999998</v>
      </c>
      <c r="AG28" s="90">
        <v>0.627</v>
      </c>
      <c r="AH28" s="90">
        <v>0.65100000000000002</v>
      </c>
      <c r="AI28" s="90">
        <v>0.67700000000000005</v>
      </c>
      <c r="AJ28" s="90">
        <v>0.70399999999999996</v>
      </c>
      <c r="AK28" s="90">
        <v>0.73299999999999998</v>
      </c>
      <c r="AL28" s="90">
        <v>0.76300000000000001</v>
      </c>
      <c r="AM28" s="90">
        <v>0.79700000000000004</v>
      </c>
      <c r="AN28" s="90">
        <v>0.83199999999999996</v>
      </c>
      <c r="AO28" s="90">
        <v>0.87</v>
      </c>
      <c r="AP28" s="90">
        <v>0.91200000000000003</v>
      </c>
      <c r="AQ28" s="90">
        <v>0.95599999999999996</v>
      </c>
    </row>
    <row r="29" spans="1:43" x14ac:dyDescent="0.25">
      <c r="A29" s="88">
        <v>2</v>
      </c>
      <c r="B29" s="90">
        <v>0.26100000000000001</v>
      </c>
      <c r="C29" s="90">
        <v>0.26700000000000002</v>
      </c>
      <c r="D29" s="90">
        <v>0.27300000000000002</v>
      </c>
      <c r="E29" s="90">
        <v>0.28000000000000003</v>
      </c>
      <c r="F29" s="90">
        <v>0.28599999999999998</v>
      </c>
      <c r="G29" s="90">
        <v>0.29299999999999998</v>
      </c>
      <c r="H29" s="90">
        <v>0.30099999999999999</v>
      </c>
      <c r="I29" s="90">
        <v>0.308</v>
      </c>
      <c r="J29" s="90">
        <v>0.316</v>
      </c>
      <c r="K29" s="90">
        <v>0.32400000000000001</v>
      </c>
      <c r="L29" s="90">
        <v>0.33200000000000002</v>
      </c>
      <c r="M29" s="90">
        <v>0.34100000000000003</v>
      </c>
      <c r="N29" s="90">
        <v>0.35</v>
      </c>
      <c r="O29" s="90">
        <v>0.35899999999999999</v>
      </c>
      <c r="P29" s="90">
        <v>0.36899999999999999</v>
      </c>
      <c r="Q29" s="90">
        <v>0.379</v>
      </c>
      <c r="R29" s="90">
        <v>0.39</v>
      </c>
      <c r="S29" s="90">
        <v>0.40100000000000002</v>
      </c>
      <c r="T29" s="90">
        <v>0.41299999999999998</v>
      </c>
      <c r="U29" s="90">
        <v>0.42499999999999999</v>
      </c>
      <c r="V29" s="90">
        <v>0.438</v>
      </c>
      <c r="W29" s="90">
        <v>0.45100000000000001</v>
      </c>
      <c r="X29" s="90">
        <v>0.46500000000000002</v>
      </c>
      <c r="Y29" s="90">
        <v>0.48</v>
      </c>
      <c r="Z29" s="90">
        <v>0.495</v>
      </c>
      <c r="AA29" s="90">
        <v>0.51100000000000001</v>
      </c>
      <c r="AB29" s="90">
        <v>0.52800000000000002</v>
      </c>
      <c r="AC29" s="90">
        <v>0.54600000000000004</v>
      </c>
      <c r="AD29" s="90">
        <v>0.56499999999999995</v>
      </c>
      <c r="AE29" s="90">
        <v>0.58499999999999996</v>
      </c>
      <c r="AF29" s="90">
        <v>0.60699999999999998</v>
      </c>
      <c r="AG29" s="90">
        <v>0.629</v>
      </c>
      <c r="AH29" s="90">
        <v>0.65300000000000002</v>
      </c>
      <c r="AI29" s="90">
        <v>0.67900000000000005</v>
      </c>
      <c r="AJ29" s="90">
        <v>0.70599999999999996</v>
      </c>
      <c r="AK29" s="90">
        <v>0.73499999999999999</v>
      </c>
      <c r="AL29" s="90">
        <v>0.76600000000000001</v>
      </c>
      <c r="AM29" s="90">
        <v>0.8</v>
      </c>
      <c r="AN29" s="90">
        <v>0.83499999999999996</v>
      </c>
      <c r="AO29" s="90">
        <v>0.874</v>
      </c>
      <c r="AP29" s="90">
        <v>0.91500000000000004</v>
      </c>
      <c r="AQ29" s="90">
        <v>0.96</v>
      </c>
    </row>
    <row r="30" spans="1:43" x14ac:dyDescent="0.25">
      <c r="A30" s="88">
        <v>3</v>
      </c>
      <c r="B30" s="90">
        <v>0.26100000000000001</v>
      </c>
      <c r="C30" s="90">
        <v>0.26700000000000002</v>
      </c>
      <c r="D30" s="90">
        <v>0.27400000000000002</v>
      </c>
      <c r="E30" s="90">
        <v>0.28000000000000003</v>
      </c>
      <c r="F30" s="90">
        <v>0.28699999999999998</v>
      </c>
      <c r="G30" s="90">
        <v>0.29399999999999998</v>
      </c>
      <c r="H30" s="90">
        <v>0.30099999999999999</v>
      </c>
      <c r="I30" s="90">
        <v>0.309</v>
      </c>
      <c r="J30" s="90">
        <v>0.316</v>
      </c>
      <c r="K30" s="90">
        <v>0.32500000000000001</v>
      </c>
      <c r="L30" s="90">
        <v>0.33300000000000002</v>
      </c>
      <c r="M30" s="90">
        <v>0.34200000000000003</v>
      </c>
      <c r="N30" s="90">
        <v>0.35099999999999998</v>
      </c>
      <c r="O30" s="90">
        <v>0.36</v>
      </c>
      <c r="P30" s="90">
        <v>0.37</v>
      </c>
      <c r="Q30" s="90">
        <v>0.38</v>
      </c>
      <c r="R30" s="90">
        <v>0.39100000000000001</v>
      </c>
      <c r="S30" s="90">
        <v>0.40200000000000002</v>
      </c>
      <c r="T30" s="90">
        <v>0.41399999999999998</v>
      </c>
      <c r="U30" s="90">
        <v>0.42599999999999999</v>
      </c>
      <c r="V30" s="90">
        <v>0.439</v>
      </c>
      <c r="W30" s="90">
        <v>0.45200000000000001</v>
      </c>
      <c r="X30" s="90">
        <v>0.46600000000000003</v>
      </c>
      <c r="Y30" s="90">
        <v>0.48099999999999998</v>
      </c>
      <c r="Z30" s="90">
        <v>0.496</v>
      </c>
      <c r="AA30" s="90">
        <v>0.51300000000000001</v>
      </c>
      <c r="AB30" s="90">
        <v>0.53</v>
      </c>
      <c r="AC30" s="90">
        <v>0.54800000000000004</v>
      </c>
      <c r="AD30" s="90">
        <v>0.56699999999999995</v>
      </c>
      <c r="AE30" s="90">
        <v>0.58699999999999997</v>
      </c>
      <c r="AF30" s="90">
        <v>0.60899999999999999</v>
      </c>
      <c r="AG30" s="90">
        <v>0.63100000000000001</v>
      </c>
      <c r="AH30" s="90">
        <v>0.65500000000000003</v>
      </c>
      <c r="AI30" s="90">
        <v>0.68100000000000005</v>
      </c>
      <c r="AJ30" s="90">
        <v>0.70899999999999996</v>
      </c>
      <c r="AK30" s="90">
        <v>0.73799999999999999</v>
      </c>
      <c r="AL30" s="90">
        <v>0.76900000000000002</v>
      </c>
      <c r="AM30" s="90">
        <v>0.80200000000000005</v>
      </c>
      <c r="AN30" s="90">
        <v>0.83799999999999997</v>
      </c>
      <c r="AO30" s="90">
        <v>0.877</v>
      </c>
      <c r="AP30" s="90">
        <v>0.91900000000000004</v>
      </c>
      <c r="AQ30" s="90">
        <v>0.96399999999999997</v>
      </c>
    </row>
    <row r="31" spans="1:43" x14ac:dyDescent="0.25">
      <c r="A31" s="88">
        <v>4</v>
      </c>
      <c r="B31" s="90">
        <v>0.26200000000000001</v>
      </c>
      <c r="C31" s="90">
        <v>0.26800000000000002</v>
      </c>
      <c r="D31" s="90">
        <v>0.27400000000000002</v>
      </c>
      <c r="E31" s="90">
        <v>0.28100000000000003</v>
      </c>
      <c r="F31" s="90">
        <v>0.28799999999999998</v>
      </c>
      <c r="G31" s="90">
        <v>0.29499999999999998</v>
      </c>
      <c r="H31" s="90">
        <v>0.30199999999999999</v>
      </c>
      <c r="I31" s="90">
        <v>0.309</v>
      </c>
      <c r="J31" s="90">
        <v>0.317</v>
      </c>
      <c r="K31" s="90">
        <v>0.32500000000000001</v>
      </c>
      <c r="L31" s="90">
        <v>0.33400000000000002</v>
      </c>
      <c r="M31" s="90">
        <v>0.34200000000000003</v>
      </c>
      <c r="N31" s="90">
        <v>0.35099999999999998</v>
      </c>
      <c r="O31" s="90">
        <v>0.36099999999999999</v>
      </c>
      <c r="P31" s="90">
        <v>0.371</v>
      </c>
      <c r="Q31" s="90">
        <v>0.38100000000000001</v>
      </c>
      <c r="R31" s="90">
        <v>0.39200000000000002</v>
      </c>
      <c r="S31" s="90">
        <v>0.40300000000000002</v>
      </c>
      <c r="T31" s="90">
        <v>0.41499999999999998</v>
      </c>
      <c r="U31" s="90">
        <v>0.42699999999999999</v>
      </c>
      <c r="V31" s="90">
        <v>0.44</v>
      </c>
      <c r="W31" s="90">
        <v>0.45300000000000001</v>
      </c>
      <c r="X31" s="90">
        <v>0.46700000000000003</v>
      </c>
      <c r="Y31" s="90">
        <v>0.48199999999999998</v>
      </c>
      <c r="Z31" s="90">
        <v>0.498</v>
      </c>
      <c r="AA31" s="90">
        <v>0.51400000000000001</v>
      </c>
      <c r="AB31" s="90">
        <v>0.53100000000000003</v>
      </c>
      <c r="AC31" s="90">
        <v>0.54900000000000004</v>
      </c>
      <c r="AD31" s="90">
        <v>0.56899999999999995</v>
      </c>
      <c r="AE31" s="90">
        <v>0.58899999999999997</v>
      </c>
      <c r="AF31" s="90">
        <v>0.61</v>
      </c>
      <c r="AG31" s="90">
        <v>0.63300000000000001</v>
      </c>
      <c r="AH31" s="90">
        <v>0.65800000000000003</v>
      </c>
      <c r="AI31" s="90">
        <v>0.68300000000000005</v>
      </c>
      <c r="AJ31" s="90">
        <v>0.71099999999999997</v>
      </c>
      <c r="AK31" s="90">
        <v>0.74</v>
      </c>
      <c r="AL31" s="90">
        <v>0.77200000000000002</v>
      </c>
      <c r="AM31" s="90">
        <v>0.80500000000000005</v>
      </c>
      <c r="AN31" s="90">
        <v>0.84199999999999997</v>
      </c>
      <c r="AO31" s="90">
        <v>0.88100000000000001</v>
      </c>
      <c r="AP31" s="90">
        <v>0.92300000000000004</v>
      </c>
      <c r="AQ31" s="90">
        <v>0.96799999999999997</v>
      </c>
    </row>
    <row r="32" spans="1:43" x14ac:dyDescent="0.25">
      <c r="A32" s="88">
        <v>5</v>
      </c>
      <c r="B32" s="90">
        <v>0.26200000000000001</v>
      </c>
      <c r="C32" s="90">
        <v>0.26800000000000002</v>
      </c>
      <c r="D32" s="90">
        <v>0.27500000000000002</v>
      </c>
      <c r="E32" s="90">
        <v>0.28100000000000003</v>
      </c>
      <c r="F32" s="90">
        <v>0.28799999999999998</v>
      </c>
      <c r="G32" s="90">
        <v>0.29499999999999998</v>
      </c>
      <c r="H32" s="90">
        <v>0.30199999999999999</v>
      </c>
      <c r="I32" s="90">
        <v>0.31</v>
      </c>
      <c r="J32" s="90">
        <v>0.318</v>
      </c>
      <c r="K32" s="90">
        <v>0.32600000000000001</v>
      </c>
      <c r="L32" s="90">
        <v>0.33400000000000002</v>
      </c>
      <c r="M32" s="90">
        <v>0.34300000000000003</v>
      </c>
      <c r="N32" s="90">
        <v>0.35199999999999998</v>
      </c>
      <c r="O32" s="90">
        <v>0.36199999999999999</v>
      </c>
      <c r="P32" s="90">
        <v>0.372</v>
      </c>
      <c r="Q32" s="90">
        <v>0.38200000000000001</v>
      </c>
      <c r="R32" s="90">
        <v>0.39300000000000002</v>
      </c>
      <c r="S32" s="90">
        <v>0.40400000000000003</v>
      </c>
      <c r="T32" s="90">
        <v>0.41599999999999998</v>
      </c>
      <c r="U32" s="90">
        <v>0.42799999999999999</v>
      </c>
      <c r="V32" s="90">
        <v>0.441</v>
      </c>
      <c r="W32" s="90">
        <v>0.45400000000000001</v>
      </c>
      <c r="X32" s="90">
        <v>0.46800000000000003</v>
      </c>
      <c r="Y32" s="90">
        <v>0.48299999999999998</v>
      </c>
      <c r="Z32" s="90">
        <v>0.499</v>
      </c>
      <c r="AA32" s="90">
        <v>0.51500000000000001</v>
      </c>
      <c r="AB32" s="90">
        <v>0.53300000000000003</v>
      </c>
      <c r="AC32" s="90">
        <v>0.55100000000000005</v>
      </c>
      <c r="AD32" s="90">
        <v>0.56999999999999995</v>
      </c>
      <c r="AE32" s="90">
        <v>0.59099999999999997</v>
      </c>
      <c r="AF32" s="90">
        <v>0.61199999999999999</v>
      </c>
      <c r="AG32" s="90">
        <v>0.63500000000000001</v>
      </c>
      <c r="AH32" s="90">
        <v>0.66</v>
      </c>
      <c r="AI32" s="90">
        <v>0.68600000000000005</v>
      </c>
      <c r="AJ32" s="90">
        <v>0.71299999999999997</v>
      </c>
      <c r="AK32" s="90">
        <v>0.74299999999999999</v>
      </c>
      <c r="AL32" s="90">
        <v>0.77400000000000002</v>
      </c>
      <c r="AM32" s="90">
        <v>0.80800000000000005</v>
      </c>
      <c r="AN32" s="90">
        <v>0.84499999999999997</v>
      </c>
      <c r="AO32" s="90">
        <v>0.88400000000000001</v>
      </c>
      <c r="AP32" s="90">
        <v>0.92600000000000005</v>
      </c>
      <c r="AQ32" s="90">
        <v>0.97199999999999998</v>
      </c>
    </row>
    <row r="33" spans="1:43" x14ac:dyDescent="0.25">
      <c r="A33" s="88">
        <v>6</v>
      </c>
      <c r="B33" s="90">
        <v>0.26300000000000001</v>
      </c>
      <c r="C33" s="90">
        <v>0.26900000000000002</v>
      </c>
      <c r="D33" s="90">
        <v>0.27500000000000002</v>
      </c>
      <c r="E33" s="90">
        <v>0.28199999999999997</v>
      </c>
      <c r="F33" s="90">
        <v>0.28899999999999998</v>
      </c>
      <c r="G33" s="90">
        <v>0.29599999999999999</v>
      </c>
      <c r="H33" s="90">
        <v>0.30299999999999999</v>
      </c>
      <c r="I33" s="90">
        <v>0.311</v>
      </c>
      <c r="J33" s="90">
        <v>0.318</v>
      </c>
      <c r="K33" s="90">
        <v>0.32700000000000001</v>
      </c>
      <c r="L33" s="90">
        <v>0.33500000000000002</v>
      </c>
      <c r="M33" s="90">
        <v>0.34399999999999997</v>
      </c>
      <c r="N33" s="90">
        <v>0.35299999999999998</v>
      </c>
      <c r="O33" s="90">
        <v>0.36299999999999999</v>
      </c>
      <c r="P33" s="90">
        <v>0.372</v>
      </c>
      <c r="Q33" s="90">
        <v>0.38300000000000001</v>
      </c>
      <c r="R33" s="90">
        <v>0.39400000000000002</v>
      </c>
      <c r="S33" s="90">
        <v>0.40500000000000003</v>
      </c>
      <c r="T33" s="90">
        <v>0.41699999999999998</v>
      </c>
      <c r="U33" s="90">
        <v>0.42899999999999999</v>
      </c>
      <c r="V33" s="90">
        <v>0.442</v>
      </c>
      <c r="W33" s="90">
        <v>0.45500000000000002</v>
      </c>
      <c r="X33" s="90">
        <v>0.47</v>
      </c>
      <c r="Y33" s="90">
        <v>0.48499999999999999</v>
      </c>
      <c r="Z33" s="90">
        <v>0.5</v>
      </c>
      <c r="AA33" s="90">
        <v>0.51700000000000002</v>
      </c>
      <c r="AB33" s="90">
        <v>0.53400000000000003</v>
      </c>
      <c r="AC33" s="90">
        <v>0.55300000000000005</v>
      </c>
      <c r="AD33" s="90">
        <v>0.57199999999999995</v>
      </c>
      <c r="AE33" s="90">
        <v>0.59199999999999997</v>
      </c>
      <c r="AF33" s="90">
        <v>0.61399999999999999</v>
      </c>
      <c r="AG33" s="90">
        <v>0.63700000000000001</v>
      </c>
      <c r="AH33" s="90">
        <v>0.66200000000000003</v>
      </c>
      <c r="AI33" s="90">
        <v>0.68799999999999994</v>
      </c>
      <c r="AJ33" s="90">
        <v>0.71599999999999997</v>
      </c>
      <c r="AK33" s="90">
        <v>0.745</v>
      </c>
      <c r="AL33" s="90">
        <v>0.77700000000000002</v>
      </c>
      <c r="AM33" s="90">
        <v>0.81100000000000005</v>
      </c>
      <c r="AN33" s="90">
        <v>0.84799999999999998</v>
      </c>
      <c r="AO33" s="90">
        <v>0.88700000000000001</v>
      </c>
      <c r="AP33" s="90">
        <v>0.93</v>
      </c>
      <c r="AQ33" s="90">
        <v>0.97599999999999998</v>
      </c>
    </row>
    <row r="34" spans="1:43" x14ac:dyDescent="0.25">
      <c r="A34" s="88">
        <v>7</v>
      </c>
      <c r="B34" s="90">
        <v>0.26300000000000001</v>
      </c>
      <c r="C34" s="90">
        <v>0.27</v>
      </c>
      <c r="D34" s="90">
        <v>0.27600000000000002</v>
      </c>
      <c r="E34" s="90">
        <v>0.28199999999999997</v>
      </c>
      <c r="F34" s="90">
        <v>0.28899999999999998</v>
      </c>
      <c r="G34" s="90">
        <v>0.29599999999999999</v>
      </c>
      <c r="H34" s="90">
        <v>0.30399999999999999</v>
      </c>
      <c r="I34" s="90">
        <v>0.311</v>
      </c>
      <c r="J34" s="90">
        <v>0.31900000000000001</v>
      </c>
      <c r="K34" s="90">
        <v>0.32700000000000001</v>
      </c>
      <c r="L34" s="90">
        <v>0.33600000000000002</v>
      </c>
      <c r="M34" s="90">
        <v>0.34499999999999997</v>
      </c>
      <c r="N34" s="90">
        <v>0.35399999999999998</v>
      </c>
      <c r="O34" s="90">
        <v>0.36299999999999999</v>
      </c>
      <c r="P34" s="90">
        <v>0.373</v>
      </c>
      <c r="Q34" s="90">
        <v>0.38400000000000001</v>
      </c>
      <c r="R34" s="90">
        <v>0.39500000000000002</v>
      </c>
      <c r="S34" s="90">
        <v>0.40600000000000003</v>
      </c>
      <c r="T34" s="90">
        <v>0.41799999999999998</v>
      </c>
      <c r="U34" s="90">
        <v>0.43</v>
      </c>
      <c r="V34" s="90">
        <v>0.443</v>
      </c>
      <c r="W34" s="90">
        <v>0.45700000000000002</v>
      </c>
      <c r="X34" s="90">
        <v>0.47099999999999997</v>
      </c>
      <c r="Y34" s="90">
        <v>0.48599999999999999</v>
      </c>
      <c r="Z34" s="90">
        <v>0.502</v>
      </c>
      <c r="AA34" s="90">
        <v>0.51800000000000002</v>
      </c>
      <c r="AB34" s="90">
        <v>0.53600000000000003</v>
      </c>
      <c r="AC34" s="90">
        <v>0.55400000000000005</v>
      </c>
      <c r="AD34" s="90">
        <v>0.57399999999999995</v>
      </c>
      <c r="AE34" s="90">
        <v>0.59399999999999997</v>
      </c>
      <c r="AF34" s="90">
        <v>0.61599999999999999</v>
      </c>
      <c r="AG34" s="90">
        <v>0.63900000000000001</v>
      </c>
      <c r="AH34" s="90">
        <v>0.66400000000000003</v>
      </c>
      <c r="AI34" s="90">
        <v>0.69</v>
      </c>
      <c r="AJ34" s="90">
        <v>0.71799999999999997</v>
      </c>
      <c r="AK34" s="90">
        <v>0.748</v>
      </c>
      <c r="AL34" s="90">
        <v>0.78</v>
      </c>
      <c r="AM34" s="90">
        <v>0.81399999999999995</v>
      </c>
      <c r="AN34" s="90">
        <v>0.85099999999999998</v>
      </c>
      <c r="AO34" s="90">
        <v>0.89100000000000001</v>
      </c>
      <c r="AP34" s="90">
        <v>0.93400000000000005</v>
      </c>
      <c r="AQ34" s="90">
        <v>0.98</v>
      </c>
    </row>
    <row r="35" spans="1:43" x14ac:dyDescent="0.25">
      <c r="A35" s="88">
        <v>8</v>
      </c>
      <c r="B35" s="90">
        <v>0.26400000000000001</v>
      </c>
      <c r="C35" s="90">
        <v>0.27</v>
      </c>
      <c r="D35" s="90">
        <v>0.27600000000000002</v>
      </c>
      <c r="E35" s="90">
        <v>0.28299999999999997</v>
      </c>
      <c r="F35" s="90">
        <v>0.28999999999999998</v>
      </c>
      <c r="G35" s="90">
        <v>0.29699999999999999</v>
      </c>
      <c r="H35" s="90">
        <v>0.30399999999999999</v>
      </c>
      <c r="I35" s="90">
        <v>0.312</v>
      </c>
      <c r="J35" s="90">
        <v>0.32</v>
      </c>
      <c r="K35" s="90">
        <v>0.32800000000000001</v>
      </c>
      <c r="L35" s="90">
        <v>0.33600000000000002</v>
      </c>
      <c r="M35" s="90">
        <v>0.34499999999999997</v>
      </c>
      <c r="N35" s="90">
        <v>0.35499999999999998</v>
      </c>
      <c r="O35" s="90">
        <v>0.36399999999999999</v>
      </c>
      <c r="P35" s="90">
        <v>0.374</v>
      </c>
      <c r="Q35" s="90">
        <v>0.38500000000000001</v>
      </c>
      <c r="R35" s="90">
        <v>0.39500000000000002</v>
      </c>
      <c r="S35" s="90">
        <v>0.40699999999999997</v>
      </c>
      <c r="T35" s="90">
        <v>0.41899999999999998</v>
      </c>
      <c r="U35" s="90">
        <v>0.43099999999999999</v>
      </c>
      <c r="V35" s="90">
        <v>0.44400000000000001</v>
      </c>
      <c r="W35" s="90">
        <v>0.45800000000000002</v>
      </c>
      <c r="X35" s="90">
        <v>0.47199999999999998</v>
      </c>
      <c r="Y35" s="90">
        <v>0.48699999999999999</v>
      </c>
      <c r="Z35" s="90">
        <v>0.503</v>
      </c>
      <c r="AA35" s="90">
        <v>0.52</v>
      </c>
      <c r="AB35" s="90">
        <v>0.53700000000000003</v>
      </c>
      <c r="AC35" s="90">
        <v>0.55600000000000005</v>
      </c>
      <c r="AD35" s="90">
        <v>0.57499999999999996</v>
      </c>
      <c r="AE35" s="90">
        <v>0.59599999999999997</v>
      </c>
      <c r="AF35" s="90">
        <v>0.61799999999999999</v>
      </c>
      <c r="AG35" s="90">
        <v>0.64100000000000001</v>
      </c>
      <c r="AH35" s="90">
        <v>0.66600000000000004</v>
      </c>
      <c r="AI35" s="90">
        <v>0.69199999999999995</v>
      </c>
      <c r="AJ35" s="90">
        <v>0.72</v>
      </c>
      <c r="AK35" s="90">
        <v>0.751</v>
      </c>
      <c r="AL35" s="90">
        <v>0.78300000000000003</v>
      </c>
      <c r="AM35" s="90">
        <v>0.81699999999999995</v>
      </c>
      <c r="AN35" s="90">
        <v>0.85399999999999998</v>
      </c>
      <c r="AO35" s="90">
        <v>0.89400000000000002</v>
      </c>
      <c r="AP35" s="90">
        <v>0.93700000000000006</v>
      </c>
      <c r="AQ35" s="90">
        <v>0.98399999999999999</v>
      </c>
    </row>
    <row r="36" spans="1:43" x14ac:dyDescent="0.25">
      <c r="A36" s="88">
        <v>9</v>
      </c>
      <c r="B36" s="90">
        <v>0.26400000000000001</v>
      </c>
      <c r="C36" s="90">
        <v>0.27100000000000002</v>
      </c>
      <c r="D36" s="90">
        <v>0.27700000000000002</v>
      </c>
      <c r="E36" s="90">
        <v>0.28399999999999997</v>
      </c>
      <c r="F36" s="90">
        <v>0.28999999999999998</v>
      </c>
      <c r="G36" s="90">
        <v>0.29799999999999999</v>
      </c>
      <c r="H36" s="90">
        <v>0.30499999999999999</v>
      </c>
      <c r="I36" s="90">
        <v>0.313</v>
      </c>
      <c r="J36" s="90">
        <v>0.32</v>
      </c>
      <c r="K36" s="90">
        <v>0.32900000000000001</v>
      </c>
      <c r="L36" s="90">
        <v>0.33700000000000002</v>
      </c>
      <c r="M36" s="90">
        <v>0.34599999999999997</v>
      </c>
      <c r="N36" s="90">
        <v>0.35499999999999998</v>
      </c>
      <c r="O36" s="90">
        <v>0.36499999999999999</v>
      </c>
      <c r="P36" s="90">
        <v>0.375</v>
      </c>
      <c r="Q36" s="90">
        <v>0.38500000000000001</v>
      </c>
      <c r="R36" s="90">
        <v>0.39600000000000002</v>
      </c>
      <c r="S36" s="90">
        <v>0.40799999999999997</v>
      </c>
      <c r="T36" s="90">
        <v>0.42</v>
      </c>
      <c r="U36" s="90">
        <v>0.432</v>
      </c>
      <c r="V36" s="90">
        <v>0.44500000000000001</v>
      </c>
      <c r="W36" s="90">
        <v>0.45900000000000002</v>
      </c>
      <c r="X36" s="90">
        <v>0.47299999999999998</v>
      </c>
      <c r="Y36" s="90">
        <v>0.48799999999999999</v>
      </c>
      <c r="Z36" s="90">
        <v>0.504</v>
      </c>
      <c r="AA36" s="90">
        <v>0.52100000000000002</v>
      </c>
      <c r="AB36" s="90">
        <v>0.53900000000000003</v>
      </c>
      <c r="AC36" s="90">
        <v>0.55700000000000005</v>
      </c>
      <c r="AD36" s="90">
        <v>0.57699999999999996</v>
      </c>
      <c r="AE36" s="90">
        <v>0.59799999999999998</v>
      </c>
      <c r="AF36" s="90">
        <v>0.62</v>
      </c>
      <c r="AG36" s="90">
        <v>0.64300000000000002</v>
      </c>
      <c r="AH36" s="90">
        <v>0.66800000000000004</v>
      </c>
      <c r="AI36" s="90">
        <v>0.69499999999999995</v>
      </c>
      <c r="AJ36" s="90">
        <v>0.72299999999999998</v>
      </c>
      <c r="AK36" s="90">
        <v>0.753</v>
      </c>
      <c r="AL36" s="90">
        <v>0.78500000000000003</v>
      </c>
      <c r="AM36" s="90">
        <v>0.82</v>
      </c>
      <c r="AN36" s="90">
        <v>0.85699999999999998</v>
      </c>
      <c r="AO36" s="90">
        <v>0.89800000000000002</v>
      </c>
      <c r="AP36" s="90">
        <v>0.94099999999999995</v>
      </c>
      <c r="AQ36" s="90">
        <v>0.98799999999999999</v>
      </c>
    </row>
    <row r="37" spans="1:43" x14ac:dyDescent="0.25">
      <c r="A37" s="88">
        <v>10</v>
      </c>
      <c r="B37" s="90">
        <v>0.26500000000000001</v>
      </c>
      <c r="C37" s="90">
        <v>0.27100000000000002</v>
      </c>
      <c r="D37" s="90">
        <v>0.27700000000000002</v>
      </c>
      <c r="E37" s="90">
        <v>0.28399999999999997</v>
      </c>
      <c r="F37" s="90">
        <v>0.29099999999999998</v>
      </c>
      <c r="G37" s="90">
        <v>0.29799999999999999</v>
      </c>
      <c r="H37" s="90">
        <v>0.30599999999999999</v>
      </c>
      <c r="I37" s="90">
        <v>0.313</v>
      </c>
      <c r="J37" s="90">
        <v>0.32100000000000001</v>
      </c>
      <c r="K37" s="90">
        <v>0.32900000000000001</v>
      </c>
      <c r="L37" s="90">
        <v>0.33800000000000002</v>
      </c>
      <c r="M37" s="90">
        <v>0.34699999999999998</v>
      </c>
      <c r="N37" s="90">
        <v>0.35599999999999998</v>
      </c>
      <c r="O37" s="90">
        <v>0.36599999999999999</v>
      </c>
      <c r="P37" s="90">
        <v>0.376</v>
      </c>
      <c r="Q37" s="90">
        <v>0.38600000000000001</v>
      </c>
      <c r="R37" s="90">
        <v>0.39700000000000002</v>
      </c>
      <c r="S37" s="90">
        <v>0.40899999999999997</v>
      </c>
      <c r="T37" s="90">
        <v>0.42099999999999999</v>
      </c>
      <c r="U37" s="90">
        <v>0.433</v>
      </c>
      <c r="V37" s="90">
        <v>0.44600000000000001</v>
      </c>
      <c r="W37" s="90">
        <v>0.46</v>
      </c>
      <c r="X37" s="90">
        <v>0.47499999999999998</v>
      </c>
      <c r="Y37" s="90">
        <v>0.49</v>
      </c>
      <c r="Z37" s="90">
        <v>0.50600000000000001</v>
      </c>
      <c r="AA37" s="90">
        <v>0.52200000000000002</v>
      </c>
      <c r="AB37" s="90">
        <v>0.54</v>
      </c>
      <c r="AC37" s="90">
        <v>0.55900000000000005</v>
      </c>
      <c r="AD37" s="90">
        <v>0.57899999999999996</v>
      </c>
      <c r="AE37" s="90">
        <v>0.59899999999999998</v>
      </c>
      <c r="AF37" s="90">
        <v>0.622</v>
      </c>
      <c r="AG37" s="90">
        <v>0.64500000000000002</v>
      </c>
      <c r="AH37" s="90">
        <v>0.67</v>
      </c>
      <c r="AI37" s="90">
        <v>0.69699999999999995</v>
      </c>
      <c r="AJ37" s="90">
        <v>0.72499999999999998</v>
      </c>
      <c r="AK37" s="90">
        <v>0.75600000000000001</v>
      </c>
      <c r="AL37" s="90">
        <v>0.78800000000000003</v>
      </c>
      <c r="AM37" s="90">
        <v>0.82299999999999995</v>
      </c>
      <c r="AN37" s="90">
        <v>0.86099999999999999</v>
      </c>
      <c r="AO37" s="90">
        <v>0.90100000000000002</v>
      </c>
      <c r="AP37" s="90">
        <v>0.94499999999999995</v>
      </c>
      <c r="AQ37" s="90">
        <v>0.99199999999999999</v>
      </c>
    </row>
    <row r="38" spans="1:43" x14ac:dyDescent="0.25">
      <c r="A38" s="88">
        <v>11</v>
      </c>
      <c r="B38" s="90">
        <v>0.26500000000000001</v>
      </c>
      <c r="C38" s="90">
        <v>0.27200000000000002</v>
      </c>
      <c r="D38" s="90">
        <v>0.27800000000000002</v>
      </c>
      <c r="E38" s="90">
        <v>0.28499999999999998</v>
      </c>
      <c r="F38" s="90">
        <v>0.29199999999999998</v>
      </c>
      <c r="G38" s="90">
        <v>0.29899999999999999</v>
      </c>
      <c r="H38" s="90">
        <v>0.30599999999999999</v>
      </c>
      <c r="I38" s="90">
        <v>0.314</v>
      </c>
      <c r="J38" s="90">
        <v>0.32200000000000001</v>
      </c>
      <c r="K38" s="90">
        <v>0.33</v>
      </c>
      <c r="L38" s="90">
        <v>0.33900000000000002</v>
      </c>
      <c r="M38" s="90">
        <v>0.34799999999999998</v>
      </c>
      <c r="N38" s="90">
        <v>0.35699999999999998</v>
      </c>
      <c r="O38" s="90">
        <v>0.36699999999999999</v>
      </c>
      <c r="P38" s="90">
        <v>0.377</v>
      </c>
      <c r="Q38" s="90">
        <v>0.38700000000000001</v>
      </c>
      <c r="R38" s="90">
        <v>0.39800000000000002</v>
      </c>
      <c r="S38" s="90">
        <v>0.41</v>
      </c>
      <c r="T38" s="90">
        <v>0.42199999999999999</v>
      </c>
      <c r="U38" s="90">
        <v>0.434</v>
      </c>
      <c r="V38" s="90">
        <v>0.44700000000000001</v>
      </c>
      <c r="W38" s="90">
        <v>0.46100000000000002</v>
      </c>
      <c r="X38" s="90">
        <v>0.47599999999999998</v>
      </c>
      <c r="Y38" s="90">
        <v>0.49099999999999999</v>
      </c>
      <c r="Z38" s="90">
        <v>0.50700000000000001</v>
      </c>
      <c r="AA38" s="90">
        <v>0.52400000000000002</v>
      </c>
      <c r="AB38" s="90">
        <v>0.54200000000000004</v>
      </c>
      <c r="AC38" s="90">
        <v>0.56000000000000005</v>
      </c>
      <c r="AD38" s="90">
        <v>0.57999999999999996</v>
      </c>
      <c r="AE38" s="90">
        <v>0.60099999999999998</v>
      </c>
      <c r="AF38" s="90">
        <v>0.624</v>
      </c>
      <c r="AG38" s="90">
        <v>0.64700000000000002</v>
      </c>
      <c r="AH38" s="90">
        <v>0.67200000000000004</v>
      </c>
      <c r="AI38" s="90">
        <v>0.69899999999999995</v>
      </c>
      <c r="AJ38" s="90">
        <v>0.72799999999999998</v>
      </c>
      <c r="AK38" s="90">
        <v>0.75800000000000001</v>
      </c>
      <c r="AL38" s="90">
        <v>0.79100000000000004</v>
      </c>
      <c r="AM38" s="90">
        <v>0.82599999999999996</v>
      </c>
      <c r="AN38" s="90">
        <v>0.86399999999999999</v>
      </c>
      <c r="AO38" s="90">
        <v>0.90400000000000003</v>
      </c>
      <c r="AP38" s="90">
        <v>0.94799999999999995</v>
      </c>
      <c r="AQ38" s="90">
        <v>0.996</v>
      </c>
    </row>
    <row r="39" spans="1:43" x14ac:dyDescent="0.25">
      <c r="A39"/>
      <c r="B39"/>
    </row>
    <row r="40" spans="1:43" x14ac:dyDescent="0.25">
      <c r="A40"/>
      <c r="B40"/>
    </row>
    <row r="41" spans="1:43" x14ac:dyDescent="0.25">
      <c r="A41"/>
      <c r="B41"/>
    </row>
    <row r="42" spans="1:43" x14ac:dyDescent="0.25">
      <c r="A42"/>
      <c r="B42"/>
    </row>
    <row r="43" spans="1:43" x14ac:dyDescent="0.25">
      <c r="A43"/>
      <c r="B43"/>
    </row>
    <row r="44" spans="1:43" ht="39.6" customHeight="1" x14ac:dyDescent="0.25">
      <c r="A44"/>
      <c r="B44"/>
    </row>
    <row r="45" spans="1:43" x14ac:dyDescent="0.25">
      <c r="A45"/>
      <c r="B45"/>
    </row>
    <row r="46" spans="1:43" ht="27.6" customHeight="1" x14ac:dyDescent="0.25">
      <c r="A46"/>
      <c r="B46"/>
    </row>
    <row r="47" spans="1:43" x14ac:dyDescent="0.25">
      <c r="A47"/>
      <c r="B47"/>
    </row>
    <row r="48" spans="1:4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aC3zzYP8/SyfeGP8VKi13VS45t9i9xOZKUNZgip8/DQGAlZq94XHWrdHpjHXFIURwGl8Z8hxzTLA+QJ9LjdohQ==" saltValue="cWYMOFEPtyixdtYaeNMQoA==" spinCount="100000" sheet="1" objects="1" scenarios="1"/>
  <conditionalFormatting sqref="A6:A21">
    <cfRule type="expression" dxfId="173" priority="3" stopIfTrue="1">
      <formula>MOD(ROW(),2)=0</formula>
    </cfRule>
    <cfRule type="expression" dxfId="172" priority="4" stopIfTrue="1">
      <formula>MOD(ROW(),2)&lt;&gt;0</formula>
    </cfRule>
  </conditionalFormatting>
  <conditionalFormatting sqref="A26:A38">
    <cfRule type="expression" dxfId="171" priority="7" stopIfTrue="1">
      <formula>MOD(ROW(),2)=0</formula>
    </cfRule>
    <cfRule type="expression" dxfId="170" priority="8" stopIfTrue="1">
      <formula>MOD(ROW(),2)&lt;&gt;0</formula>
    </cfRule>
  </conditionalFormatting>
  <conditionalFormatting sqref="B17:B21">
    <cfRule type="expression" dxfId="169" priority="13" stopIfTrue="1">
      <formula>MOD(ROW(),2)=0</formula>
    </cfRule>
    <cfRule type="expression" dxfId="168" priority="14" stopIfTrue="1">
      <formula>MOD(ROW(),2)&lt;&gt;0</formula>
    </cfRule>
  </conditionalFormatting>
  <conditionalFormatting sqref="B6:AQ21 B26:AQ38">
    <cfRule type="expression" dxfId="167" priority="21" stopIfTrue="1">
      <formula>MOD(ROW(),2)=0</formula>
    </cfRule>
    <cfRule type="expression" dxfId="166" priority="2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2"/>
  <dimension ref="A1:I24"/>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Scheme Pays LTA - x-606</v>
      </c>
      <c r="B3" s="42"/>
      <c r="C3" s="42"/>
      <c r="D3" s="42"/>
      <c r="E3" s="42"/>
      <c r="F3" s="42"/>
      <c r="G3" s="42"/>
      <c r="H3" s="42"/>
      <c r="I3" s="42"/>
    </row>
    <row r="4" spans="1:9" x14ac:dyDescent="0.25">
      <c r="A4" s="44"/>
    </row>
    <row r="6" spans="1:9" x14ac:dyDescent="0.25">
      <c r="A6" s="75" t="s">
        <v>484</v>
      </c>
      <c r="B6" s="161" t="s">
        <v>485</v>
      </c>
      <c r="C6" s="77"/>
    </row>
    <row r="7" spans="1:9" x14ac:dyDescent="0.25">
      <c r="A7" s="76" t="s">
        <v>486</v>
      </c>
      <c r="B7" s="162" t="s">
        <v>81</v>
      </c>
      <c r="C7" s="78"/>
    </row>
    <row r="8" spans="1:9" x14ac:dyDescent="0.25">
      <c r="A8" s="76" t="s">
        <v>282</v>
      </c>
      <c r="B8" s="162">
        <v>1992</v>
      </c>
      <c r="C8" s="78"/>
    </row>
    <row r="9" spans="1:9" x14ac:dyDescent="0.25">
      <c r="A9" s="76" t="s">
        <v>283</v>
      </c>
      <c r="B9" s="162" t="s">
        <v>431</v>
      </c>
      <c r="C9" s="78"/>
    </row>
    <row r="10" spans="1:9" x14ac:dyDescent="0.25">
      <c r="A10" s="76" t="s">
        <v>6</v>
      </c>
      <c r="B10" s="162" t="s">
        <v>432</v>
      </c>
      <c r="C10" s="78"/>
    </row>
    <row r="11" spans="1:9" x14ac:dyDescent="0.25">
      <c r="A11" s="76" t="s">
        <v>284</v>
      </c>
      <c r="B11" s="162" t="s">
        <v>334</v>
      </c>
      <c r="C11" s="78"/>
    </row>
    <row r="12" spans="1:9" x14ac:dyDescent="0.25">
      <c r="A12" s="76" t="s">
        <v>285</v>
      </c>
      <c r="B12" s="162" t="s">
        <v>433</v>
      </c>
      <c r="C12" s="78"/>
    </row>
    <row r="13" spans="1:9" hidden="1" x14ac:dyDescent="0.25">
      <c r="A13" s="76" t="s">
        <v>493</v>
      </c>
      <c r="B13" s="162">
        <v>2</v>
      </c>
      <c r="C13" s="78"/>
    </row>
    <row r="14" spans="1:9" hidden="1" x14ac:dyDescent="0.25">
      <c r="A14" s="76" t="s">
        <v>287</v>
      </c>
      <c r="B14" s="162">
        <v>606</v>
      </c>
      <c r="C14" s="78"/>
    </row>
    <row r="15" spans="1:9" x14ac:dyDescent="0.25">
      <c r="A15" s="76" t="s">
        <v>496</v>
      </c>
      <c r="B15" s="162" t="s">
        <v>434</v>
      </c>
      <c r="C15" s="78"/>
    </row>
    <row r="16" spans="1:9" x14ac:dyDescent="0.25">
      <c r="A16" s="76" t="s">
        <v>288</v>
      </c>
      <c r="B16" s="162" t="s">
        <v>378</v>
      </c>
      <c r="C16" s="78"/>
    </row>
    <row r="17" spans="1:3" x14ac:dyDescent="0.25">
      <c r="A17" s="76" t="s">
        <v>568</v>
      </c>
      <c r="B17" s="163"/>
      <c r="C17" s="78"/>
    </row>
    <row r="18" spans="1:3" x14ac:dyDescent="0.25">
      <c r="A18" s="76" t="s">
        <v>500</v>
      </c>
      <c r="B18" s="166">
        <v>45135</v>
      </c>
      <c r="C18" s="78"/>
    </row>
    <row r="19" spans="1:3" x14ac:dyDescent="0.25">
      <c r="A19" s="76" t="s">
        <v>290</v>
      </c>
      <c r="B19" s="166">
        <v>45135</v>
      </c>
      <c r="C19" s="78"/>
    </row>
    <row r="20" spans="1:3" x14ac:dyDescent="0.25">
      <c r="A20" s="76" t="s">
        <v>291</v>
      </c>
      <c r="B20" s="163" t="s">
        <v>435</v>
      </c>
      <c r="C20" s="78"/>
    </row>
    <row r="21" spans="1:3" x14ac:dyDescent="0.25">
      <c r="A21" s="150" t="s">
        <v>569</v>
      </c>
      <c r="B21" s="163" t="s">
        <v>297</v>
      </c>
      <c r="C21" s="78"/>
    </row>
    <row r="23" spans="1:3" x14ac:dyDescent="0.25">
      <c r="B23" s="91" t="str">
        <f>HYPERLINK("#'Factor List'!A1","Back to Factor List")</f>
        <v>Back to Factor List</v>
      </c>
    </row>
    <row r="24" spans="1:3" x14ac:dyDescent="0.25">
      <c r="B24" s="91" t="str">
        <f>HYPERLINK("#'Assumptions'!A1","Assumptions")</f>
        <v>Assumptions</v>
      </c>
    </row>
  </sheetData>
  <sheetProtection algorithmName="SHA-512" hashValue="yfcTvGONdkQZhefDJ06Paij4NsbNXGFLZ8IRgL4laVcff+SGuo1Yewc0axAggYG7IrwVqDcM4U1anp8zOS3KKw==" saltValue="Zf2uCx29qll6790OwzmCwA==" spinCount="100000" sheet="1" objects="1" scenarios="1"/>
  <conditionalFormatting sqref="A6:A21">
    <cfRule type="expression" dxfId="165" priority="3" stopIfTrue="1">
      <formula>MOD(ROW(),2)=0</formula>
    </cfRule>
    <cfRule type="expression" dxfId="164" priority="4" stopIfTrue="1">
      <formula>MOD(ROW(),2)&lt;&gt;0</formula>
    </cfRule>
  </conditionalFormatting>
  <conditionalFormatting sqref="B6:C21">
    <cfRule type="expression" dxfId="163" priority="13" stopIfTrue="1">
      <formula>MOD(ROW(),2)=0</formula>
    </cfRule>
    <cfRule type="expression" dxfId="162"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3"/>
  <dimension ref="A1:I24"/>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Scheme Pays LTA - x-607</v>
      </c>
      <c r="B3" s="42"/>
      <c r="C3" s="42"/>
      <c r="D3" s="42"/>
      <c r="E3" s="42"/>
      <c r="F3" s="42"/>
      <c r="G3" s="42"/>
      <c r="H3" s="42"/>
      <c r="I3" s="42"/>
    </row>
    <row r="4" spans="1:9" x14ac:dyDescent="0.25">
      <c r="A4" s="44"/>
    </row>
    <row r="6" spans="1:9" x14ac:dyDescent="0.25">
      <c r="A6" s="75" t="s">
        <v>484</v>
      </c>
      <c r="B6" s="161" t="s">
        <v>485</v>
      </c>
      <c r="C6" s="77"/>
    </row>
    <row r="7" spans="1:9" x14ac:dyDescent="0.25">
      <c r="A7" s="76" t="s">
        <v>486</v>
      </c>
      <c r="B7" s="162" t="s">
        <v>81</v>
      </c>
      <c r="C7" s="78"/>
    </row>
    <row r="8" spans="1:9" x14ac:dyDescent="0.25">
      <c r="A8" s="76" t="s">
        <v>282</v>
      </c>
      <c r="B8" s="162">
        <v>1992</v>
      </c>
      <c r="C8" s="78"/>
    </row>
    <row r="9" spans="1:9" x14ac:dyDescent="0.25">
      <c r="A9" s="76" t="s">
        <v>283</v>
      </c>
      <c r="B9" s="162" t="s">
        <v>431</v>
      </c>
      <c r="C9" s="78"/>
    </row>
    <row r="10" spans="1:9" x14ac:dyDescent="0.25">
      <c r="A10" s="76" t="s">
        <v>6</v>
      </c>
      <c r="B10" s="162" t="s">
        <v>436</v>
      </c>
      <c r="C10" s="78"/>
    </row>
    <row r="11" spans="1:9" x14ac:dyDescent="0.25">
      <c r="A11" s="76" t="s">
        <v>284</v>
      </c>
      <c r="B11" s="162" t="s">
        <v>334</v>
      </c>
      <c r="C11" s="78"/>
    </row>
    <row r="12" spans="1:9" x14ac:dyDescent="0.25">
      <c r="A12" s="76" t="s">
        <v>285</v>
      </c>
      <c r="B12" s="162" t="s">
        <v>433</v>
      </c>
      <c r="C12" s="78"/>
    </row>
    <row r="13" spans="1:9" hidden="1" x14ac:dyDescent="0.25">
      <c r="A13" s="76" t="s">
        <v>493</v>
      </c>
      <c r="B13" s="162">
        <v>2</v>
      </c>
      <c r="C13" s="78"/>
    </row>
    <row r="14" spans="1:9" hidden="1" x14ac:dyDescent="0.25">
      <c r="A14" s="76" t="s">
        <v>287</v>
      </c>
      <c r="B14" s="162">
        <v>607</v>
      </c>
      <c r="C14" s="78"/>
    </row>
    <row r="15" spans="1:9" x14ac:dyDescent="0.25">
      <c r="A15" s="76" t="s">
        <v>496</v>
      </c>
      <c r="B15" s="162" t="s">
        <v>437</v>
      </c>
      <c r="C15" s="78"/>
    </row>
    <row r="16" spans="1:9" x14ac:dyDescent="0.25">
      <c r="A16" s="76" t="s">
        <v>288</v>
      </c>
      <c r="B16" s="162" t="s">
        <v>381</v>
      </c>
      <c r="C16" s="78"/>
    </row>
    <row r="17" spans="1:3" x14ac:dyDescent="0.25">
      <c r="A17" s="76" t="s">
        <v>568</v>
      </c>
      <c r="B17" s="163"/>
      <c r="C17" s="78"/>
    </row>
    <row r="18" spans="1:3" x14ac:dyDescent="0.25">
      <c r="A18" s="76" t="s">
        <v>500</v>
      </c>
      <c r="B18" s="166">
        <v>45135</v>
      </c>
      <c r="C18" s="78"/>
    </row>
    <row r="19" spans="1:3" x14ac:dyDescent="0.25">
      <c r="A19" s="76" t="s">
        <v>290</v>
      </c>
      <c r="B19" s="166">
        <v>45135</v>
      </c>
      <c r="C19" s="78"/>
    </row>
    <row r="20" spans="1:3" x14ac:dyDescent="0.25">
      <c r="A20" s="76" t="s">
        <v>291</v>
      </c>
      <c r="B20" s="163" t="s">
        <v>435</v>
      </c>
      <c r="C20" s="78"/>
    </row>
    <row r="21" spans="1:3" x14ac:dyDescent="0.25">
      <c r="A21" s="150" t="s">
        <v>569</v>
      </c>
      <c r="B21" s="163" t="s">
        <v>297</v>
      </c>
      <c r="C21" s="78"/>
    </row>
    <row r="23" spans="1:3" x14ac:dyDescent="0.25">
      <c r="B23" s="91" t="str">
        <f>HYPERLINK("#'Factor List'!A1","Back to Factor List")</f>
        <v>Back to Factor List</v>
      </c>
    </row>
    <row r="24" spans="1:3" x14ac:dyDescent="0.25">
      <c r="B24" s="91" t="str">
        <f>HYPERLINK("#'Assumptions'!A1","Assumptions")</f>
        <v>Assumptions</v>
      </c>
    </row>
  </sheetData>
  <sheetProtection algorithmName="SHA-512" hashValue="c1mGapA3znzqzzQ6+IFdyJaYvQaTRv6B/QtelVi7JwD7pL79LuAbvLXDNHVukJPXmLx5thXHp/SiNvXh/o0nNQ==" saltValue="TdvIFXtLYylwe7Idi0VIkw==" spinCount="100000" sheet="1" objects="1" scenarios="1"/>
  <conditionalFormatting sqref="A6:A21">
    <cfRule type="expression" dxfId="161" priority="3" stopIfTrue="1">
      <formula>MOD(ROW(),2)=0</formula>
    </cfRule>
    <cfRule type="expression" dxfId="160" priority="4" stopIfTrue="1">
      <formula>MOD(ROW(),2)&lt;&gt;0</formula>
    </cfRule>
  </conditionalFormatting>
  <conditionalFormatting sqref="B6:C21">
    <cfRule type="expression" dxfId="159" priority="13" stopIfTrue="1">
      <formula>MOD(ROW(),2)=0</formula>
    </cfRule>
    <cfRule type="expression" dxfId="158"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4"/>
  <dimension ref="A1:I83"/>
  <sheetViews>
    <sheetView showGridLines="0" zoomScale="85" zoomScaleNormal="85" workbookViewId="0">
      <selection activeCell="A4" sqref="A4"/>
    </sheetView>
  </sheetViews>
  <sheetFormatPr defaultColWidth="10" defaultRowHeight="13.2" x14ac:dyDescent="0.25"/>
  <cols>
    <col min="1" max="1" width="31.88671875" style="27" customWidth="1"/>
    <col min="2" max="5" width="22.88671875" style="27" customWidth="1"/>
    <col min="6"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Scheme Pays AA - x-608</v>
      </c>
      <c r="B3" s="42"/>
      <c r="C3" s="42"/>
      <c r="D3" s="42"/>
      <c r="E3" s="42"/>
      <c r="F3" s="42"/>
      <c r="G3" s="42"/>
      <c r="H3" s="42"/>
      <c r="I3" s="42"/>
    </row>
    <row r="4" spans="1:9" x14ac:dyDescent="0.25">
      <c r="A4" s="44"/>
    </row>
    <row r="6" spans="1:9" x14ac:dyDescent="0.25">
      <c r="A6" s="75" t="s">
        <v>484</v>
      </c>
      <c r="B6" s="162" t="s">
        <v>485</v>
      </c>
      <c r="C6" s="162"/>
      <c r="D6" s="162"/>
      <c r="E6" s="162"/>
    </row>
    <row r="7" spans="1:9" x14ac:dyDescent="0.25">
      <c r="A7" s="76" t="s">
        <v>486</v>
      </c>
      <c r="B7" s="162" t="s">
        <v>81</v>
      </c>
      <c r="C7" s="162"/>
      <c r="D7" s="162"/>
      <c r="E7" s="162"/>
    </row>
    <row r="8" spans="1:9" x14ac:dyDescent="0.25">
      <c r="A8" s="76" t="s">
        <v>282</v>
      </c>
      <c r="B8" s="162">
        <v>2006</v>
      </c>
      <c r="C8" s="162"/>
      <c r="D8" s="162"/>
      <c r="E8" s="162"/>
    </row>
    <row r="9" spans="1:9" x14ac:dyDescent="0.25">
      <c r="A9" s="76" t="s">
        <v>283</v>
      </c>
      <c r="B9" s="162" t="s">
        <v>419</v>
      </c>
      <c r="C9" s="162"/>
      <c r="D9" s="162"/>
      <c r="E9" s="162"/>
    </row>
    <row r="10" spans="1:9" x14ac:dyDescent="0.25">
      <c r="A10" s="76" t="s">
        <v>6</v>
      </c>
      <c r="B10" s="162" t="s">
        <v>438</v>
      </c>
      <c r="C10" s="162"/>
      <c r="D10" s="162"/>
      <c r="E10" s="162"/>
    </row>
    <row r="11" spans="1:9" x14ac:dyDescent="0.25">
      <c r="A11" s="76" t="s">
        <v>284</v>
      </c>
      <c r="B11" s="162" t="s">
        <v>334</v>
      </c>
      <c r="C11" s="162"/>
      <c r="D11" s="162"/>
      <c r="E11" s="162"/>
    </row>
    <row r="12" spans="1:9" x14ac:dyDescent="0.25">
      <c r="A12" s="76" t="s">
        <v>285</v>
      </c>
      <c r="B12" s="162" t="s">
        <v>421</v>
      </c>
      <c r="C12" s="162"/>
      <c r="D12" s="162"/>
      <c r="E12" s="162"/>
    </row>
    <row r="13" spans="1:9" hidden="1" x14ac:dyDescent="0.25">
      <c r="A13" s="76" t="s">
        <v>493</v>
      </c>
      <c r="B13" s="162">
        <v>1</v>
      </c>
      <c r="C13" s="162"/>
      <c r="D13" s="162"/>
      <c r="E13" s="162"/>
    </row>
    <row r="14" spans="1:9" hidden="1" x14ac:dyDescent="0.25">
      <c r="A14" s="76" t="s">
        <v>287</v>
      </c>
      <c r="B14" s="162">
        <v>608</v>
      </c>
      <c r="C14" s="162"/>
      <c r="D14" s="162"/>
      <c r="E14" s="162"/>
    </row>
    <row r="15" spans="1:9" x14ac:dyDescent="0.25">
      <c r="A15" s="76" t="s">
        <v>496</v>
      </c>
      <c r="B15" s="162" t="s">
        <v>439</v>
      </c>
      <c r="C15" s="162"/>
      <c r="D15" s="162"/>
      <c r="E15" s="162"/>
    </row>
    <row r="16" spans="1:9" x14ac:dyDescent="0.25">
      <c r="A16" s="76" t="s">
        <v>288</v>
      </c>
      <c r="B16" s="162" t="s">
        <v>384</v>
      </c>
      <c r="C16" s="162"/>
      <c r="D16" s="162"/>
      <c r="E16" s="162"/>
    </row>
    <row r="17" spans="1:5" x14ac:dyDescent="0.25">
      <c r="A17" s="76" t="s">
        <v>568</v>
      </c>
      <c r="B17" s="162"/>
      <c r="C17" s="162"/>
      <c r="D17" s="162"/>
      <c r="E17" s="162"/>
    </row>
    <row r="18" spans="1:5" x14ac:dyDescent="0.25">
      <c r="A18" s="76" t="s">
        <v>500</v>
      </c>
      <c r="B18" s="164" t="s">
        <v>440</v>
      </c>
      <c r="C18" s="162"/>
      <c r="D18" s="162"/>
      <c r="E18" s="162"/>
    </row>
    <row r="19" spans="1:5" x14ac:dyDescent="0.25">
      <c r="A19" s="76" t="s">
        <v>290</v>
      </c>
      <c r="B19" s="164">
        <v>45135</v>
      </c>
      <c r="C19" s="162"/>
      <c r="D19" s="162"/>
      <c r="E19" s="162"/>
    </row>
    <row r="20" spans="1:5" x14ac:dyDescent="0.25">
      <c r="A20" s="76" t="s">
        <v>291</v>
      </c>
      <c r="B20" s="162" t="s">
        <v>298</v>
      </c>
      <c r="C20" s="162"/>
      <c r="D20" s="162"/>
      <c r="E20" s="162"/>
    </row>
    <row r="21" spans="1:5" x14ac:dyDescent="0.25">
      <c r="A21" s="150" t="s">
        <v>569</v>
      </c>
      <c r="B21" s="162" t="s">
        <v>297</v>
      </c>
      <c r="C21" s="162"/>
      <c r="D21" s="162"/>
      <c r="E21" s="162"/>
    </row>
    <row r="23" spans="1:5" x14ac:dyDescent="0.25">
      <c r="B23" s="91" t="str">
        <f>HYPERLINK("#'Factor List'!A1","Back to Factor List")</f>
        <v>Back to Factor List</v>
      </c>
    </row>
    <row r="24" spans="1:5" x14ac:dyDescent="0.25">
      <c r="B24" s="91" t="str">
        <f>HYPERLINK("#'Assumptions'!A1","Assumptions")</f>
        <v>Assumptions</v>
      </c>
    </row>
    <row r="26" spans="1:5" ht="39.6" x14ac:dyDescent="0.25">
      <c r="A26" s="87" t="s">
        <v>570</v>
      </c>
      <c r="B26" s="87" t="s">
        <v>633</v>
      </c>
      <c r="C26" s="87" t="s">
        <v>634</v>
      </c>
      <c r="D26" s="87" t="s">
        <v>635</v>
      </c>
      <c r="E26" s="87" t="s">
        <v>636</v>
      </c>
    </row>
    <row r="27" spans="1:5" x14ac:dyDescent="0.25">
      <c r="A27" s="88">
        <v>18</v>
      </c>
      <c r="B27" s="89">
        <v>8.25</v>
      </c>
      <c r="C27" s="89">
        <v>8.25</v>
      </c>
      <c r="D27" s="89">
        <v>10.48</v>
      </c>
      <c r="E27" s="89">
        <v>10.48</v>
      </c>
    </row>
    <row r="28" spans="1:5" x14ac:dyDescent="0.25">
      <c r="A28" s="88">
        <v>19</v>
      </c>
      <c r="B28" s="89">
        <v>8.3699999999999992</v>
      </c>
      <c r="C28" s="89">
        <v>8.3699999999999992</v>
      </c>
      <c r="D28" s="89">
        <v>10.63</v>
      </c>
      <c r="E28" s="89">
        <v>10.63</v>
      </c>
    </row>
    <row r="29" spans="1:5" x14ac:dyDescent="0.25">
      <c r="A29" s="88">
        <v>20</v>
      </c>
      <c r="B29" s="89">
        <v>8.48</v>
      </c>
      <c r="C29" s="89">
        <v>8.48</v>
      </c>
      <c r="D29" s="89">
        <v>10.78</v>
      </c>
      <c r="E29" s="89">
        <v>10.78</v>
      </c>
    </row>
    <row r="30" spans="1:5" x14ac:dyDescent="0.25">
      <c r="A30" s="88">
        <v>21</v>
      </c>
      <c r="B30" s="89">
        <v>8.6</v>
      </c>
      <c r="C30" s="89">
        <v>8.6</v>
      </c>
      <c r="D30" s="89">
        <v>10.94</v>
      </c>
      <c r="E30" s="89">
        <v>10.94</v>
      </c>
    </row>
    <row r="31" spans="1:5" x14ac:dyDescent="0.25">
      <c r="A31" s="88">
        <v>22</v>
      </c>
      <c r="B31" s="89">
        <v>8.7100000000000009</v>
      </c>
      <c r="C31" s="89">
        <v>8.7100000000000009</v>
      </c>
      <c r="D31" s="89">
        <v>11.09</v>
      </c>
      <c r="E31" s="89">
        <v>11.09</v>
      </c>
    </row>
    <row r="32" spans="1:5" x14ac:dyDescent="0.25">
      <c r="A32" s="88">
        <v>23</v>
      </c>
      <c r="B32" s="89">
        <v>8.83</v>
      </c>
      <c r="C32" s="89">
        <v>8.83</v>
      </c>
      <c r="D32" s="89">
        <v>11.25</v>
      </c>
      <c r="E32" s="89">
        <v>11.25</v>
      </c>
    </row>
    <row r="33" spans="1:5" x14ac:dyDescent="0.25">
      <c r="A33" s="88">
        <v>24</v>
      </c>
      <c r="B33" s="89">
        <v>8.9600000000000009</v>
      </c>
      <c r="C33" s="89">
        <v>8.9600000000000009</v>
      </c>
      <c r="D33" s="89">
        <v>11.41</v>
      </c>
      <c r="E33" s="89">
        <v>11.41</v>
      </c>
    </row>
    <row r="34" spans="1:5" x14ac:dyDescent="0.25">
      <c r="A34" s="88">
        <v>25</v>
      </c>
      <c r="B34" s="89">
        <v>9.08</v>
      </c>
      <c r="C34" s="89">
        <v>9.08</v>
      </c>
      <c r="D34" s="89">
        <v>11.58</v>
      </c>
      <c r="E34" s="89">
        <v>11.58</v>
      </c>
    </row>
    <row r="35" spans="1:5" x14ac:dyDescent="0.25">
      <c r="A35" s="88">
        <v>26</v>
      </c>
      <c r="B35" s="89">
        <v>9.1999999999999993</v>
      </c>
      <c r="C35" s="89">
        <v>9.1999999999999993</v>
      </c>
      <c r="D35" s="89">
        <v>11.74</v>
      </c>
      <c r="E35" s="89">
        <v>11.74</v>
      </c>
    </row>
    <row r="36" spans="1:5" x14ac:dyDescent="0.25">
      <c r="A36" s="88">
        <v>27</v>
      </c>
      <c r="B36" s="89">
        <v>9.33</v>
      </c>
      <c r="C36" s="89">
        <v>9.33</v>
      </c>
      <c r="D36" s="89">
        <v>11.91</v>
      </c>
      <c r="E36" s="89">
        <v>11.91</v>
      </c>
    </row>
    <row r="37" spans="1:5" x14ac:dyDescent="0.25">
      <c r="A37" s="88">
        <v>28</v>
      </c>
      <c r="B37" s="89">
        <v>9.4600000000000009</v>
      </c>
      <c r="C37" s="89">
        <v>9.4600000000000009</v>
      </c>
      <c r="D37" s="89">
        <v>12.08</v>
      </c>
      <c r="E37" s="89">
        <v>12.08</v>
      </c>
    </row>
    <row r="38" spans="1:5" x14ac:dyDescent="0.25">
      <c r="A38" s="88">
        <v>29</v>
      </c>
      <c r="B38" s="89">
        <v>9.59</v>
      </c>
      <c r="C38" s="89">
        <v>9.59</v>
      </c>
      <c r="D38" s="89">
        <v>12.26</v>
      </c>
      <c r="E38" s="89">
        <v>12.26</v>
      </c>
    </row>
    <row r="39" spans="1:5" x14ac:dyDescent="0.25">
      <c r="A39" s="88">
        <v>30</v>
      </c>
      <c r="B39" s="89">
        <v>9.7200000000000006</v>
      </c>
      <c r="C39" s="89">
        <v>9.7200000000000006</v>
      </c>
      <c r="D39" s="89">
        <v>12.44</v>
      </c>
      <c r="E39" s="89">
        <v>12.44</v>
      </c>
    </row>
    <row r="40" spans="1:5" x14ac:dyDescent="0.25">
      <c r="A40" s="88">
        <v>31</v>
      </c>
      <c r="B40" s="89">
        <v>9.86</v>
      </c>
      <c r="C40" s="89">
        <v>9.86</v>
      </c>
      <c r="D40" s="89">
        <v>12.62</v>
      </c>
      <c r="E40" s="89">
        <v>12.62</v>
      </c>
    </row>
    <row r="41" spans="1:5" x14ac:dyDescent="0.25">
      <c r="A41" s="88">
        <v>32</v>
      </c>
      <c r="B41" s="89">
        <v>9.99</v>
      </c>
      <c r="C41" s="89">
        <v>9.99</v>
      </c>
      <c r="D41" s="89">
        <v>12.8</v>
      </c>
      <c r="E41" s="89">
        <v>12.8</v>
      </c>
    </row>
    <row r="42" spans="1:5" x14ac:dyDescent="0.25">
      <c r="A42" s="88">
        <v>33</v>
      </c>
      <c r="B42" s="89">
        <v>10.130000000000001</v>
      </c>
      <c r="C42" s="89">
        <v>10.130000000000001</v>
      </c>
      <c r="D42" s="89">
        <v>12.99</v>
      </c>
      <c r="E42" s="89">
        <v>12.99</v>
      </c>
    </row>
    <row r="43" spans="1:5" x14ac:dyDescent="0.25">
      <c r="A43" s="88">
        <v>34</v>
      </c>
      <c r="B43" s="89">
        <v>10.28</v>
      </c>
      <c r="C43" s="89">
        <v>10.28</v>
      </c>
      <c r="D43" s="89">
        <v>13.18</v>
      </c>
      <c r="E43" s="89">
        <v>13.18</v>
      </c>
    </row>
    <row r="44" spans="1:5" x14ac:dyDescent="0.25">
      <c r="A44" s="88">
        <v>35</v>
      </c>
      <c r="B44" s="89">
        <v>10.42</v>
      </c>
      <c r="C44" s="89">
        <v>10.42</v>
      </c>
      <c r="D44" s="89">
        <v>13.38</v>
      </c>
      <c r="E44" s="89">
        <v>13.38</v>
      </c>
    </row>
    <row r="45" spans="1:5" x14ac:dyDescent="0.25">
      <c r="A45" s="88">
        <v>36</v>
      </c>
      <c r="B45" s="89">
        <v>10.57</v>
      </c>
      <c r="C45" s="89">
        <v>10.57</v>
      </c>
      <c r="D45" s="89">
        <v>13.58</v>
      </c>
      <c r="E45" s="89">
        <v>13.58</v>
      </c>
    </row>
    <row r="46" spans="1:5" x14ac:dyDescent="0.25">
      <c r="A46" s="88">
        <v>37</v>
      </c>
      <c r="B46" s="89">
        <v>10.72</v>
      </c>
      <c r="C46" s="89">
        <v>10.72</v>
      </c>
      <c r="D46" s="89">
        <v>13.78</v>
      </c>
      <c r="E46" s="89">
        <v>13.78</v>
      </c>
    </row>
    <row r="47" spans="1:5" x14ac:dyDescent="0.25">
      <c r="A47" s="88">
        <v>38</v>
      </c>
      <c r="B47" s="89">
        <v>10.87</v>
      </c>
      <c r="C47" s="89">
        <v>10.87</v>
      </c>
      <c r="D47" s="89">
        <v>13.99</v>
      </c>
      <c r="E47" s="89">
        <v>13.99</v>
      </c>
    </row>
    <row r="48" spans="1:5" x14ac:dyDescent="0.25">
      <c r="A48" s="88">
        <v>39</v>
      </c>
      <c r="B48" s="89">
        <v>11.03</v>
      </c>
      <c r="C48" s="89">
        <v>11.03</v>
      </c>
      <c r="D48" s="89">
        <v>14.2</v>
      </c>
      <c r="E48" s="89">
        <v>14.2</v>
      </c>
    </row>
    <row r="49" spans="1:5" x14ac:dyDescent="0.25">
      <c r="A49" s="88">
        <v>40</v>
      </c>
      <c r="B49" s="89">
        <v>11.19</v>
      </c>
      <c r="C49" s="89">
        <v>11.19</v>
      </c>
      <c r="D49" s="89">
        <v>14.41</v>
      </c>
      <c r="E49" s="89">
        <v>14.41</v>
      </c>
    </row>
    <row r="50" spans="1:5" x14ac:dyDescent="0.25">
      <c r="A50" s="88">
        <v>41</v>
      </c>
      <c r="B50" s="89">
        <v>11.35</v>
      </c>
      <c r="C50" s="89">
        <v>11.35</v>
      </c>
      <c r="D50" s="89">
        <v>14.63</v>
      </c>
      <c r="E50" s="89">
        <v>14.63</v>
      </c>
    </row>
    <row r="51" spans="1:5" x14ac:dyDescent="0.25">
      <c r="A51" s="88">
        <v>42</v>
      </c>
      <c r="B51" s="89">
        <v>11.51</v>
      </c>
      <c r="C51" s="89">
        <v>11.51</v>
      </c>
      <c r="D51" s="89">
        <v>14.86</v>
      </c>
      <c r="E51" s="89">
        <v>14.86</v>
      </c>
    </row>
    <row r="52" spans="1:5" x14ac:dyDescent="0.25">
      <c r="A52" s="88">
        <v>43</v>
      </c>
      <c r="B52" s="89">
        <v>11.68</v>
      </c>
      <c r="C52" s="89">
        <v>11.68</v>
      </c>
      <c r="D52" s="89">
        <v>15.09</v>
      </c>
      <c r="E52" s="89">
        <v>15.09</v>
      </c>
    </row>
    <row r="53" spans="1:5" x14ac:dyDescent="0.25">
      <c r="A53" s="88">
        <v>44</v>
      </c>
      <c r="B53" s="89">
        <v>11.86</v>
      </c>
      <c r="C53" s="89">
        <v>11.86</v>
      </c>
      <c r="D53" s="89">
        <v>15.32</v>
      </c>
      <c r="E53" s="89">
        <v>15.32</v>
      </c>
    </row>
    <row r="54" spans="1:5" x14ac:dyDescent="0.25">
      <c r="A54" s="88">
        <v>45</v>
      </c>
      <c r="B54" s="89">
        <v>12.04</v>
      </c>
      <c r="C54" s="89">
        <v>12.04</v>
      </c>
      <c r="D54" s="89">
        <v>15.56</v>
      </c>
      <c r="E54" s="89">
        <v>15.56</v>
      </c>
    </row>
    <row r="55" spans="1:5" x14ac:dyDescent="0.25">
      <c r="A55" s="88">
        <v>46</v>
      </c>
      <c r="B55" s="89">
        <v>12.22</v>
      </c>
      <c r="C55" s="89">
        <v>12.22</v>
      </c>
      <c r="D55" s="89">
        <v>15.81</v>
      </c>
      <c r="E55" s="89">
        <v>15.81</v>
      </c>
    </row>
    <row r="56" spans="1:5" x14ac:dyDescent="0.25">
      <c r="A56" s="88">
        <v>47</v>
      </c>
      <c r="B56" s="89">
        <v>12.4</v>
      </c>
      <c r="C56" s="89">
        <v>12.4</v>
      </c>
      <c r="D56" s="89">
        <v>16.059999999999999</v>
      </c>
      <c r="E56" s="89">
        <v>16.059999999999999</v>
      </c>
    </row>
    <row r="57" spans="1:5" x14ac:dyDescent="0.25">
      <c r="A57" s="88">
        <v>48</v>
      </c>
      <c r="B57" s="89">
        <v>12.6</v>
      </c>
      <c r="C57" s="89">
        <v>12.6</v>
      </c>
      <c r="D57" s="89">
        <v>16.32</v>
      </c>
      <c r="E57" s="89">
        <v>16.32</v>
      </c>
    </row>
    <row r="58" spans="1:5" x14ac:dyDescent="0.25">
      <c r="A58" s="88">
        <v>49</v>
      </c>
      <c r="B58" s="89">
        <v>12.79</v>
      </c>
      <c r="C58" s="89">
        <v>12.79</v>
      </c>
      <c r="D58" s="89">
        <v>16.59</v>
      </c>
      <c r="E58" s="89">
        <v>16.59</v>
      </c>
    </row>
    <row r="59" spans="1:5" x14ac:dyDescent="0.25">
      <c r="A59" s="88">
        <v>50</v>
      </c>
      <c r="B59" s="89">
        <v>12.99</v>
      </c>
      <c r="C59" s="89">
        <v>12.99</v>
      </c>
      <c r="D59" s="89">
        <v>16.87</v>
      </c>
      <c r="E59" s="89">
        <v>16.87</v>
      </c>
    </row>
    <row r="60" spans="1:5" x14ac:dyDescent="0.25">
      <c r="A60" s="88">
        <v>51</v>
      </c>
      <c r="B60" s="89">
        <v>13.2</v>
      </c>
      <c r="C60" s="89">
        <v>13.2</v>
      </c>
      <c r="D60" s="89">
        <v>17.149999999999999</v>
      </c>
      <c r="E60" s="89">
        <v>17.149999999999999</v>
      </c>
    </row>
    <row r="61" spans="1:5" x14ac:dyDescent="0.25">
      <c r="A61" s="88">
        <v>52</v>
      </c>
      <c r="B61" s="89">
        <v>13.42</v>
      </c>
      <c r="C61" s="89">
        <v>13.42</v>
      </c>
      <c r="D61" s="89">
        <v>17.440000000000001</v>
      </c>
      <c r="E61" s="89">
        <v>17.440000000000001</v>
      </c>
    </row>
    <row r="62" spans="1:5" x14ac:dyDescent="0.25">
      <c r="A62" s="88">
        <v>53</v>
      </c>
      <c r="B62" s="89">
        <v>13.64</v>
      </c>
      <c r="C62" s="89">
        <v>13.64</v>
      </c>
      <c r="D62" s="89">
        <v>17.739999999999998</v>
      </c>
      <c r="E62" s="89">
        <v>17.739999999999998</v>
      </c>
    </row>
    <row r="63" spans="1:5" x14ac:dyDescent="0.25">
      <c r="A63" s="88">
        <v>54</v>
      </c>
      <c r="B63" s="89">
        <v>13.86</v>
      </c>
      <c r="C63" s="89">
        <v>13.86</v>
      </c>
      <c r="D63" s="89">
        <v>18.05</v>
      </c>
      <c r="E63" s="89">
        <v>18.05</v>
      </c>
    </row>
    <row r="64" spans="1:5" x14ac:dyDescent="0.25">
      <c r="A64" s="88">
        <v>55</v>
      </c>
      <c r="B64" s="89">
        <v>14.1</v>
      </c>
      <c r="C64" s="89">
        <v>14.1</v>
      </c>
      <c r="D64" s="89">
        <v>18.37</v>
      </c>
      <c r="E64" s="89">
        <v>18.37</v>
      </c>
    </row>
    <row r="65" spans="1:5" x14ac:dyDescent="0.25">
      <c r="A65" s="88">
        <v>56</v>
      </c>
      <c r="B65" s="89">
        <v>14.34</v>
      </c>
      <c r="C65" s="89">
        <v>14.34</v>
      </c>
      <c r="D65" s="89">
        <v>18.7</v>
      </c>
      <c r="E65" s="89">
        <v>18.7</v>
      </c>
    </row>
    <row r="66" spans="1:5" x14ac:dyDescent="0.25">
      <c r="A66" s="88">
        <v>57</v>
      </c>
      <c r="B66" s="89">
        <v>14.59</v>
      </c>
      <c r="C66" s="89">
        <v>14.59</v>
      </c>
      <c r="D66" s="89">
        <v>19.04</v>
      </c>
      <c r="E66" s="89">
        <v>19.04</v>
      </c>
    </row>
    <row r="67" spans="1:5" x14ac:dyDescent="0.25">
      <c r="A67" s="88">
        <v>58</v>
      </c>
      <c r="B67" s="89">
        <v>14.85</v>
      </c>
      <c r="C67" s="89">
        <v>14.85</v>
      </c>
      <c r="D67" s="89">
        <v>19.399999999999999</v>
      </c>
      <c r="E67" s="89">
        <v>19.399999999999999</v>
      </c>
    </row>
    <row r="68" spans="1:5" x14ac:dyDescent="0.25">
      <c r="A68" s="88">
        <v>59</v>
      </c>
      <c r="B68" s="89">
        <v>15.12</v>
      </c>
      <c r="C68" s="89">
        <v>15.12</v>
      </c>
      <c r="D68" s="89">
        <v>19.77</v>
      </c>
      <c r="E68" s="89">
        <v>19.77</v>
      </c>
    </row>
    <row r="69" spans="1:5" x14ac:dyDescent="0.25">
      <c r="A69" s="88">
        <v>60</v>
      </c>
      <c r="B69" s="89">
        <v>15.41</v>
      </c>
      <c r="C69" s="89">
        <v>15.41</v>
      </c>
      <c r="D69" s="89">
        <v>19.64</v>
      </c>
      <c r="E69" s="89">
        <v>19.64</v>
      </c>
    </row>
    <row r="70" spans="1:5" x14ac:dyDescent="0.25">
      <c r="A70" s="88">
        <v>61</v>
      </c>
      <c r="B70" s="89">
        <v>15.7</v>
      </c>
      <c r="C70" s="89">
        <v>15.7</v>
      </c>
      <c r="D70" s="89">
        <v>19</v>
      </c>
      <c r="E70" s="89">
        <v>19</v>
      </c>
    </row>
    <row r="71" spans="1:5" x14ac:dyDescent="0.25">
      <c r="A71" s="88">
        <v>62</v>
      </c>
      <c r="B71" s="89">
        <v>16.02</v>
      </c>
      <c r="C71" s="89">
        <v>16.02</v>
      </c>
      <c r="D71" s="89">
        <v>18.36</v>
      </c>
      <c r="E71" s="89">
        <v>18.36</v>
      </c>
    </row>
    <row r="72" spans="1:5" x14ac:dyDescent="0.25">
      <c r="A72" s="88">
        <v>63</v>
      </c>
      <c r="B72" s="89">
        <v>16.350000000000001</v>
      </c>
      <c r="C72" s="89">
        <v>16.350000000000001</v>
      </c>
      <c r="D72" s="89">
        <v>17.72</v>
      </c>
      <c r="E72" s="89">
        <v>17.72</v>
      </c>
    </row>
    <row r="73" spans="1:5" x14ac:dyDescent="0.25">
      <c r="A73" s="88">
        <v>64</v>
      </c>
      <c r="B73" s="89">
        <v>16.7</v>
      </c>
      <c r="C73" s="89">
        <v>16.7</v>
      </c>
      <c r="D73" s="89">
        <v>17.079999999999998</v>
      </c>
      <c r="E73" s="89">
        <v>17.079999999999998</v>
      </c>
    </row>
    <row r="74" spans="1:5" x14ac:dyDescent="0.25">
      <c r="A74" s="88">
        <v>65</v>
      </c>
      <c r="B74" s="89">
        <v>16.55</v>
      </c>
      <c r="C74" s="89">
        <v>16.55</v>
      </c>
      <c r="D74" s="89">
        <v>16.45</v>
      </c>
      <c r="E74" s="89">
        <v>16.45</v>
      </c>
    </row>
    <row r="75" spans="1:5" x14ac:dyDescent="0.25">
      <c r="A75" s="88">
        <v>66</v>
      </c>
      <c r="B75" s="89">
        <v>15.89</v>
      </c>
      <c r="C75" s="89">
        <v>15.89</v>
      </c>
      <c r="D75" s="89">
        <v>15.83</v>
      </c>
      <c r="E75" s="89">
        <v>15.83</v>
      </c>
    </row>
    <row r="76" spans="1:5" x14ac:dyDescent="0.25">
      <c r="A76" s="88">
        <v>67</v>
      </c>
      <c r="B76" s="89">
        <v>15.23</v>
      </c>
      <c r="C76" s="89">
        <v>15.23</v>
      </c>
      <c r="D76" s="89">
        <v>15.2</v>
      </c>
      <c r="E76" s="89">
        <v>15.2</v>
      </c>
    </row>
    <row r="77" spans="1:5" x14ac:dyDescent="0.25">
      <c r="A77" s="88">
        <v>68</v>
      </c>
      <c r="B77" s="89">
        <v>14.58</v>
      </c>
      <c r="C77" s="89">
        <v>14.58</v>
      </c>
      <c r="D77" s="89">
        <v>14.57</v>
      </c>
      <c r="E77" s="89">
        <v>14.57</v>
      </c>
    </row>
    <row r="78" spans="1:5" x14ac:dyDescent="0.25">
      <c r="A78" s="88">
        <v>69</v>
      </c>
      <c r="B78" s="89">
        <v>13.95</v>
      </c>
      <c r="C78" s="89">
        <v>13.95</v>
      </c>
      <c r="D78" s="89">
        <v>13.94</v>
      </c>
      <c r="E78" s="89">
        <v>13.94</v>
      </c>
    </row>
    <row r="79" spans="1:5" x14ac:dyDescent="0.25">
      <c r="A79" s="88">
        <v>70</v>
      </c>
      <c r="B79" s="89">
        <v>13.32</v>
      </c>
      <c r="C79" s="89">
        <v>13.32</v>
      </c>
      <c r="D79" s="89">
        <v>13.32</v>
      </c>
      <c r="E79" s="89">
        <v>13.32</v>
      </c>
    </row>
    <row r="80" spans="1:5" x14ac:dyDescent="0.25">
      <c r="A80" s="88">
        <v>71</v>
      </c>
      <c r="B80" s="89">
        <v>12.7</v>
      </c>
      <c r="C80" s="89">
        <v>12.7</v>
      </c>
      <c r="D80" s="89">
        <v>12.7</v>
      </c>
      <c r="E80" s="89">
        <v>12.7</v>
      </c>
    </row>
    <row r="81" spans="1:5" x14ac:dyDescent="0.25">
      <c r="A81" s="88">
        <v>72</v>
      </c>
      <c r="B81" s="89">
        <v>12.08</v>
      </c>
      <c r="C81" s="89">
        <v>12.08</v>
      </c>
      <c r="D81" s="89">
        <v>12.08</v>
      </c>
      <c r="E81" s="89">
        <v>12.08</v>
      </c>
    </row>
    <row r="82" spans="1:5" x14ac:dyDescent="0.25">
      <c r="A82" s="88">
        <v>73</v>
      </c>
      <c r="B82" s="89">
        <v>11.47</v>
      </c>
      <c r="C82" s="89">
        <v>11.47</v>
      </c>
      <c r="D82" s="89">
        <v>11.47</v>
      </c>
      <c r="E82" s="89">
        <v>11.47</v>
      </c>
    </row>
    <row r="83" spans="1:5" x14ac:dyDescent="0.25">
      <c r="A83" s="88">
        <v>74</v>
      </c>
      <c r="B83" s="89">
        <v>10.86</v>
      </c>
      <c r="C83" s="89">
        <v>10.86</v>
      </c>
      <c r="D83" s="89">
        <v>10.86</v>
      </c>
      <c r="E83" s="89">
        <v>10.86</v>
      </c>
    </row>
  </sheetData>
  <sheetProtection algorithmName="SHA-512" hashValue="7JOKdh27mXxaCOlzS4YjBnv45/Yi7pEp4zKYUOQ6O8//aqLUYb0fLso1VMkf9seRJgUlE+aEASCzy3cynpC8kw==" saltValue="raDu71Isa6GgSO6MJcEKgw==" spinCount="100000" sheet="1" objects="1" scenarios="1"/>
  <conditionalFormatting sqref="A6:A21">
    <cfRule type="expression" dxfId="157" priority="3" stopIfTrue="1">
      <formula>MOD(ROW(),2)=0</formula>
    </cfRule>
    <cfRule type="expression" dxfId="156" priority="4" stopIfTrue="1">
      <formula>MOD(ROW(),2)&lt;&gt;0</formula>
    </cfRule>
  </conditionalFormatting>
  <conditionalFormatting sqref="A26:A83">
    <cfRule type="expression" dxfId="155" priority="9" stopIfTrue="1">
      <formula>MOD(ROW(),2)=0</formula>
    </cfRule>
    <cfRule type="expression" dxfId="154" priority="10" stopIfTrue="1">
      <formula>MOD(ROW(),2)&lt;&gt;0</formula>
    </cfRule>
  </conditionalFormatting>
  <conditionalFormatting sqref="B17:B21">
    <cfRule type="expression" dxfId="153" priority="17" stopIfTrue="1">
      <formula>MOD(ROW(),2)=0</formula>
    </cfRule>
    <cfRule type="expression" dxfId="152" priority="18" stopIfTrue="1">
      <formula>MOD(ROW(),2)&lt;&gt;0</formula>
    </cfRule>
  </conditionalFormatting>
  <conditionalFormatting sqref="B6:E21 B26:E83">
    <cfRule type="expression" dxfId="151" priority="25" stopIfTrue="1">
      <formula>MOD(ROW(),2)=0</formula>
    </cfRule>
    <cfRule type="expression" dxfId="150" priority="2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5"/>
  <dimension ref="A1:K65"/>
  <sheetViews>
    <sheetView showGridLines="0" zoomScale="85" zoomScaleNormal="85" workbookViewId="0">
      <selection activeCell="A4" sqref="A4"/>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39" t="s">
        <v>0</v>
      </c>
      <c r="B1" s="40"/>
      <c r="C1" s="40"/>
      <c r="D1" s="40"/>
      <c r="E1" s="40"/>
      <c r="F1" s="40"/>
      <c r="G1" s="40"/>
      <c r="H1" s="40"/>
      <c r="I1" s="40"/>
    </row>
    <row r="2" spans="1:11" ht="15.6" x14ac:dyDescent="0.3">
      <c r="A2" s="41" t="str">
        <f>IF(title="&gt; Enter workbook title here","Enter workbook title in Cover sheet",title)</f>
        <v>Fire_S - Consolidated Factor Spreadsheet</v>
      </c>
      <c r="B2" s="42"/>
      <c r="C2" s="42"/>
      <c r="D2" s="42"/>
      <c r="E2" s="42"/>
      <c r="F2" s="42"/>
      <c r="G2" s="42"/>
      <c r="H2" s="42"/>
      <c r="I2" s="42"/>
    </row>
    <row r="3" spans="1:11" ht="15.6" x14ac:dyDescent="0.3">
      <c r="A3" s="43" t="str">
        <f>TABLE_FACTOR_TYPE_1&amp;" - x-"&amp;TABLE_SERIES_NUMBER_1</f>
        <v>Scheme Pays AA - x-609</v>
      </c>
      <c r="B3" s="42"/>
      <c r="C3" s="42"/>
      <c r="D3" s="42"/>
      <c r="E3" s="42"/>
      <c r="F3" s="42"/>
      <c r="G3" s="42"/>
      <c r="H3" s="42"/>
      <c r="I3" s="42"/>
    </row>
    <row r="4" spans="1:11" x14ac:dyDescent="0.25">
      <c r="A4" s="44"/>
    </row>
    <row r="6" spans="1:11" x14ac:dyDescent="0.25">
      <c r="A6" s="75" t="s">
        <v>484</v>
      </c>
      <c r="B6" s="162" t="s">
        <v>485</v>
      </c>
      <c r="C6" s="162"/>
      <c r="D6" s="162"/>
      <c r="E6" s="162"/>
      <c r="F6" s="162"/>
      <c r="G6" s="162"/>
      <c r="H6" s="162"/>
      <c r="I6" s="162"/>
      <c r="J6" s="162"/>
      <c r="K6" s="162"/>
    </row>
    <row r="7" spans="1:11" x14ac:dyDescent="0.25">
      <c r="A7" s="76" t="s">
        <v>486</v>
      </c>
      <c r="B7" s="162" t="s">
        <v>81</v>
      </c>
      <c r="C7" s="162"/>
      <c r="D7" s="162"/>
      <c r="E7" s="162"/>
      <c r="F7" s="162"/>
      <c r="G7" s="162"/>
      <c r="H7" s="162"/>
      <c r="I7" s="162"/>
      <c r="J7" s="162"/>
      <c r="K7" s="162"/>
    </row>
    <row r="8" spans="1:11" x14ac:dyDescent="0.25">
      <c r="A8" s="76" t="s">
        <v>282</v>
      </c>
      <c r="B8" s="162">
        <v>2006</v>
      </c>
      <c r="C8" s="162"/>
      <c r="D8" s="162"/>
      <c r="E8" s="162"/>
      <c r="F8" s="162"/>
      <c r="G8" s="162"/>
      <c r="H8" s="162"/>
      <c r="I8" s="162"/>
      <c r="J8" s="162"/>
      <c r="K8" s="162"/>
    </row>
    <row r="9" spans="1:11" x14ac:dyDescent="0.25">
      <c r="A9" s="76" t="s">
        <v>283</v>
      </c>
      <c r="B9" s="162" t="s">
        <v>419</v>
      </c>
      <c r="C9" s="162"/>
      <c r="D9" s="162"/>
      <c r="E9" s="162"/>
      <c r="F9" s="162"/>
      <c r="G9" s="162"/>
      <c r="H9" s="162"/>
      <c r="I9" s="162"/>
      <c r="J9" s="162"/>
      <c r="K9" s="162"/>
    </row>
    <row r="10" spans="1:11" x14ac:dyDescent="0.25">
      <c r="A10" s="76" t="s">
        <v>6</v>
      </c>
      <c r="B10" s="162" t="s">
        <v>441</v>
      </c>
      <c r="C10" s="162"/>
      <c r="D10" s="162"/>
      <c r="E10" s="162"/>
      <c r="F10" s="162"/>
      <c r="G10" s="162"/>
      <c r="H10" s="162"/>
      <c r="I10" s="162"/>
      <c r="J10" s="162"/>
      <c r="K10" s="162"/>
    </row>
    <row r="11" spans="1:11" x14ac:dyDescent="0.25">
      <c r="A11" s="76" t="s">
        <v>284</v>
      </c>
      <c r="B11" s="162" t="s">
        <v>349</v>
      </c>
      <c r="C11" s="162"/>
      <c r="D11" s="162"/>
      <c r="E11" s="162"/>
      <c r="F11" s="162"/>
      <c r="G11" s="162"/>
      <c r="H11" s="162"/>
      <c r="I11" s="162"/>
      <c r="J11" s="162"/>
      <c r="K11" s="162"/>
    </row>
    <row r="12" spans="1:11" x14ac:dyDescent="0.25">
      <c r="A12" s="76" t="s">
        <v>285</v>
      </c>
      <c r="B12" s="162" t="s">
        <v>360</v>
      </c>
      <c r="C12" s="162"/>
      <c r="D12" s="162"/>
      <c r="E12" s="162"/>
      <c r="F12" s="162"/>
      <c r="G12" s="162"/>
      <c r="H12" s="162"/>
      <c r="I12" s="162"/>
      <c r="J12" s="162"/>
      <c r="K12" s="162"/>
    </row>
    <row r="13" spans="1:11" hidden="1" x14ac:dyDescent="0.25">
      <c r="A13" s="76" t="s">
        <v>493</v>
      </c>
      <c r="B13" s="162">
        <v>1</v>
      </c>
      <c r="C13" s="162"/>
      <c r="D13" s="162"/>
      <c r="E13" s="162"/>
      <c r="F13" s="162"/>
      <c r="G13" s="162"/>
      <c r="H13" s="162"/>
      <c r="I13" s="162"/>
      <c r="J13" s="162"/>
      <c r="K13" s="162"/>
    </row>
    <row r="14" spans="1:11" hidden="1" x14ac:dyDescent="0.25">
      <c r="A14" s="76" t="s">
        <v>287</v>
      </c>
      <c r="B14" s="162">
        <v>609</v>
      </c>
      <c r="C14" s="162"/>
      <c r="D14" s="162"/>
      <c r="E14" s="162"/>
      <c r="F14" s="162"/>
      <c r="G14" s="162"/>
      <c r="H14" s="162"/>
      <c r="I14" s="162"/>
      <c r="J14" s="162"/>
      <c r="K14" s="162"/>
    </row>
    <row r="15" spans="1:11" x14ac:dyDescent="0.25">
      <c r="A15" s="76" t="s">
        <v>496</v>
      </c>
      <c r="B15" s="162" t="s">
        <v>442</v>
      </c>
      <c r="C15" s="162"/>
      <c r="D15" s="162"/>
      <c r="E15" s="162"/>
      <c r="F15" s="162"/>
      <c r="G15" s="162"/>
      <c r="H15" s="162"/>
      <c r="I15" s="162"/>
      <c r="J15" s="162"/>
      <c r="K15" s="162"/>
    </row>
    <row r="16" spans="1:11" x14ac:dyDescent="0.25">
      <c r="A16" s="76" t="s">
        <v>288</v>
      </c>
      <c r="B16" s="162" t="s">
        <v>304</v>
      </c>
      <c r="C16" s="162"/>
      <c r="D16" s="162"/>
      <c r="E16" s="162"/>
      <c r="F16" s="162"/>
      <c r="G16" s="162"/>
      <c r="H16" s="162"/>
      <c r="I16" s="162"/>
      <c r="J16" s="162"/>
      <c r="K16" s="162"/>
    </row>
    <row r="17" spans="1:11" x14ac:dyDescent="0.25">
      <c r="A17" s="76" t="s">
        <v>568</v>
      </c>
      <c r="B17" s="162"/>
      <c r="C17" s="162"/>
      <c r="D17" s="162"/>
      <c r="E17" s="162"/>
      <c r="F17" s="162"/>
      <c r="G17" s="162"/>
      <c r="H17" s="162"/>
      <c r="I17" s="162"/>
      <c r="J17" s="162"/>
      <c r="K17" s="162"/>
    </row>
    <row r="18" spans="1:11" x14ac:dyDescent="0.25">
      <c r="A18" s="76" t="s">
        <v>500</v>
      </c>
      <c r="B18" s="164">
        <v>45135</v>
      </c>
      <c r="C18" s="162"/>
      <c r="D18" s="162"/>
      <c r="E18" s="162"/>
      <c r="F18" s="162"/>
      <c r="G18" s="162"/>
      <c r="H18" s="162"/>
      <c r="I18" s="162"/>
      <c r="J18" s="162"/>
      <c r="K18" s="162"/>
    </row>
    <row r="19" spans="1:11" x14ac:dyDescent="0.25">
      <c r="A19" s="76" t="s">
        <v>290</v>
      </c>
      <c r="B19" s="164">
        <v>45135</v>
      </c>
      <c r="C19" s="162"/>
      <c r="D19" s="162"/>
      <c r="E19" s="162"/>
      <c r="F19" s="162"/>
      <c r="G19" s="162"/>
      <c r="H19" s="162"/>
      <c r="I19" s="162"/>
      <c r="J19" s="162"/>
      <c r="K19" s="162"/>
    </row>
    <row r="20" spans="1:11" x14ac:dyDescent="0.25">
      <c r="A20" s="76" t="s">
        <v>291</v>
      </c>
      <c r="B20" s="162" t="s">
        <v>298</v>
      </c>
      <c r="C20" s="162"/>
      <c r="D20" s="162"/>
      <c r="E20" s="162"/>
      <c r="F20" s="162"/>
      <c r="G20" s="162"/>
      <c r="H20" s="162"/>
      <c r="I20" s="162"/>
      <c r="J20" s="162"/>
      <c r="K20" s="162"/>
    </row>
    <row r="21" spans="1:11" x14ac:dyDescent="0.25">
      <c r="A21" s="150" t="s">
        <v>569</v>
      </c>
      <c r="B21" s="162" t="s">
        <v>297</v>
      </c>
      <c r="C21" s="162"/>
      <c r="D21" s="162"/>
      <c r="E21" s="162"/>
      <c r="F21" s="162"/>
      <c r="G21" s="162"/>
      <c r="H21" s="162"/>
      <c r="I21" s="162"/>
      <c r="J21" s="162"/>
      <c r="K21" s="162"/>
    </row>
    <row r="23" spans="1:11" x14ac:dyDescent="0.25">
      <c r="B23" s="91" t="str">
        <f>HYPERLINK("#'Factor List'!A1","Back to Factor List")</f>
        <v>Back to Factor List</v>
      </c>
    </row>
    <row r="24" spans="1:11" x14ac:dyDescent="0.25">
      <c r="B24" s="91" t="str">
        <f>HYPERLINK("#'Assumptions'!A1","Assumptions")</f>
        <v>Assumptions</v>
      </c>
    </row>
    <row r="26" spans="1:11" x14ac:dyDescent="0.25">
      <c r="A26" s="87" t="s">
        <v>611</v>
      </c>
      <c r="B26" s="87">
        <v>55</v>
      </c>
      <c r="C26" s="87">
        <v>56</v>
      </c>
      <c r="D26" s="87">
        <v>57</v>
      </c>
      <c r="E26" s="87">
        <v>58</v>
      </c>
      <c r="F26" s="87">
        <v>59</v>
      </c>
      <c r="G26" s="87">
        <v>60</v>
      </c>
      <c r="H26" s="87">
        <v>61</v>
      </c>
      <c r="I26" s="87">
        <v>62</v>
      </c>
      <c r="J26" s="87">
        <v>63</v>
      </c>
      <c r="K26" s="87">
        <v>64</v>
      </c>
    </row>
    <row r="27" spans="1:11" x14ac:dyDescent="0.25">
      <c r="A27" s="88">
        <v>0</v>
      </c>
      <c r="B27" s="90">
        <v>0.60899999999999999</v>
      </c>
      <c r="C27" s="90">
        <v>0.63600000000000001</v>
      </c>
      <c r="D27" s="90">
        <v>0.66500000000000004</v>
      </c>
      <c r="E27" s="90">
        <v>0.69499999999999995</v>
      </c>
      <c r="F27" s="90">
        <v>0.72899999999999998</v>
      </c>
      <c r="G27" s="90">
        <v>0.76500000000000001</v>
      </c>
      <c r="H27" s="90">
        <v>0.80400000000000005</v>
      </c>
      <c r="I27" s="90">
        <v>0.84599999999999997</v>
      </c>
      <c r="J27" s="90">
        <v>0.89300000000000002</v>
      </c>
      <c r="K27" s="90">
        <v>0.94399999999999995</v>
      </c>
    </row>
    <row r="28" spans="1:11" x14ac:dyDescent="0.25">
      <c r="A28" s="88">
        <v>1</v>
      </c>
      <c r="B28" s="90">
        <v>0.61199999999999999</v>
      </c>
      <c r="C28" s="90">
        <v>0.63800000000000001</v>
      </c>
      <c r="D28" s="90">
        <v>0.66700000000000004</v>
      </c>
      <c r="E28" s="90">
        <v>0.69799999999999995</v>
      </c>
      <c r="F28" s="90">
        <v>0.73199999999999998</v>
      </c>
      <c r="G28" s="90">
        <v>0.76800000000000002</v>
      </c>
      <c r="H28" s="90">
        <v>0.80700000000000005</v>
      </c>
      <c r="I28" s="90">
        <v>0.85</v>
      </c>
      <c r="J28" s="90">
        <v>0.89700000000000002</v>
      </c>
      <c r="K28" s="90">
        <v>0.94899999999999995</v>
      </c>
    </row>
    <row r="29" spans="1:11" x14ac:dyDescent="0.25">
      <c r="A29" s="88">
        <v>2</v>
      </c>
      <c r="B29" s="90">
        <v>0.61399999999999999</v>
      </c>
      <c r="C29" s="90">
        <v>0.64100000000000001</v>
      </c>
      <c r="D29" s="90">
        <v>0.67</v>
      </c>
      <c r="E29" s="90">
        <v>0.70099999999999996</v>
      </c>
      <c r="F29" s="90">
        <v>0.73499999999999999</v>
      </c>
      <c r="G29" s="90">
        <v>0.77100000000000002</v>
      </c>
      <c r="H29" s="90">
        <v>0.81100000000000005</v>
      </c>
      <c r="I29" s="90">
        <v>0.85399999999999998</v>
      </c>
      <c r="J29" s="90">
        <v>0.90200000000000002</v>
      </c>
      <c r="K29" s="90">
        <v>0.95299999999999996</v>
      </c>
    </row>
    <row r="30" spans="1:11" x14ac:dyDescent="0.25">
      <c r="A30" s="88">
        <v>3</v>
      </c>
      <c r="B30" s="90">
        <v>0.61599999999999999</v>
      </c>
      <c r="C30" s="90">
        <v>0.64300000000000002</v>
      </c>
      <c r="D30" s="90">
        <v>0.67200000000000004</v>
      </c>
      <c r="E30" s="90">
        <v>0.70399999999999996</v>
      </c>
      <c r="F30" s="90">
        <v>0.73799999999999999</v>
      </c>
      <c r="G30" s="90">
        <v>0.77400000000000002</v>
      </c>
      <c r="H30" s="90">
        <v>0.81499999999999995</v>
      </c>
      <c r="I30" s="90">
        <v>0.85799999999999998</v>
      </c>
      <c r="J30" s="90">
        <v>0.90600000000000003</v>
      </c>
      <c r="K30" s="90">
        <v>0.95799999999999996</v>
      </c>
    </row>
    <row r="31" spans="1:11" x14ac:dyDescent="0.25">
      <c r="A31" s="88">
        <v>4</v>
      </c>
      <c r="B31" s="90">
        <v>0.61799999999999999</v>
      </c>
      <c r="C31" s="90">
        <v>0.64500000000000002</v>
      </c>
      <c r="D31" s="90">
        <v>0.67500000000000004</v>
      </c>
      <c r="E31" s="90">
        <v>0.70599999999999996</v>
      </c>
      <c r="F31" s="90">
        <v>0.74099999999999999</v>
      </c>
      <c r="G31" s="90">
        <v>0.77800000000000002</v>
      </c>
      <c r="H31" s="90">
        <v>0.81799999999999995</v>
      </c>
      <c r="I31" s="90">
        <v>0.86199999999999999</v>
      </c>
      <c r="J31" s="90">
        <v>0.91</v>
      </c>
      <c r="K31" s="90">
        <v>0.96299999999999997</v>
      </c>
    </row>
    <row r="32" spans="1:11" x14ac:dyDescent="0.25">
      <c r="A32" s="88">
        <v>5</v>
      </c>
      <c r="B32" s="90">
        <v>0.62</v>
      </c>
      <c r="C32" s="90">
        <v>0.64800000000000002</v>
      </c>
      <c r="D32" s="90">
        <v>0.67700000000000005</v>
      </c>
      <c r="E32" s="90">
        <v>0.70899999999999996</v>
      </c>
      <c r="F32" s="90">
        <v>0.74399999999999999</v>
      </c>
      <c r="G32" s="90">
        <v>0.78100000000000003</v>
      </c>
      <c r="H32" s="90">
        <v>0.82199999999999995</v>
      </c>
      <c r="I32" s="90">
        <v>0.86599999999999999</v>
      </c>
      <c r="J32" s="90">
        <v>0.91400000000000003</v>
      </c>
      <c r="K32" s="90">
        <v>0.96699999999999997</v>
      </c>
    </row>
    <row r="33" spans="1:11" x14ac:dyDescent="0.25">
      <c r="A33" s="88">
        <v>6</v>
      </c>
      <c r="B33" s="90">
        <v>0.623</v>
      </c>
      <c r="C33" s="90">
        <v>0.65</v>
      </c>
      <c r="D33" s="90">
        <v>0.68</v>
      </c>
      <c r="E33" s="90">
        <v>0.71199999999999997</v>
      </c>
      <c r="F33" s="90">
        <v>0.747</v>
      </c>
      <c r="G33" s="90">
        <v>0.78400000000000003</v>
      </c>
      <c r="H33" s="90">
        <v>0.82499999999999996</v>
      </c>
      <c r="I33" s="90">
        <v>0.87</v>
      </c>
      <c r="J33" s="90">
        <v>0.91800000000000004</v>
      </c>
      <c r="K33" s="90">
        <v>0.97199999999999998</v>
      </c>
    </row>
    <row r="34" spans="1:11" x14ac:dyDescent="0.25">
      <c r="A34" s="88">
        <v>7</v>
      </c>
      <c r="B34" s="90">
        <v>0.625</v>
      </c>
      <c r="C34" s="90">
        <v>0.65300000000000002</v>
      </c>
      <c r="D34" s="90">
        <v>0.68200000000000005</v>
      </c>
      <c r="E34" s="90">
        <v>0.71499999999999997</v>
      </c>
      <c r="F34" s="90">
        <v>0.75</v>
      </c>
      <c r="G34" s="90">
        <v>0.78800000000000003</v>
      </c>
      <c r="H34" s="90">
        <v>0.82899999999999996</v>
      </c>
      <c r="I34" s="90">
        <v>0.874</v>
      </c>
      <c r="J34" s="90">
        <v>0.92300000000000004</v>
      </c>
      <c r="K34" s="90">
        <v>0.97699999999999998</v>
      </c>
    </row>
    <row r="35" spans="1:11" x14ac:dyDescent="0.25">
      <c r="A35" s="88">
        <v>8</v>
      </c>
      <c r="B35" s="90">
        <v>0.627</v>
      </c>
      <c r="C35" s="90">
        <v>0.65500000000000003</v>
      </c>
      <c r="D35" s="90">
        <v>0.68500000000000005</v>
      </c>
      <c r="E35" s="90">
        <v>0.71799999999999997</v>
      </c>
      <c r="F35" s="90">
        <v>0.753</v>
      </c>
      <c r="G35" s="90">
        <v>0.79100000000000004</v>
      </c>
      <c r="H35" s="90">
        <v>0.83199999999999996</v>
      </c>
      <c r="I35" s="90">
        <v>0.877</v>
      </c>
      <c r="J35" s="90">
        <v>0.92700000000000005</v>
      </c>
      <c r="K35" s="90">
        <v>0.98099999999999998</v>
      </c>
    </row>
    <row r="36" spans="1:11" x14ac:dyDescent="0.25">
      <c r="A36" s="88">
        <v>9</v>
      </c>
      <c r="B36" s="90">
        <v>0.629</v>
      </c>
      <c r="C36" s="90">
        <v>0.65700000000000003</v>
      </c>
      <c r="D36" s="90">
        <v>0.68799999999999994</v>
      </c>
      <c r="E36" s="90">
        <v>0.72</v>
      </c>
      <c r="F36" s="90">
        <v>0.75600000000000001</v>
      </c>
      <c r="G36" s="90">
        <v>0.79400000000000004</v>
      </c>
      <c r="H36" s="90">
        <v>0.83599999999999997</v>
      </c>
      <c r="I36" s="90">
        <v>0.88100000000000001</v>
      </c>
      <c r="J36" s="90">
        <v>0.93100000000000005</v>
      </c>
      <c r="K36" s="90">
        <v>0.98599999999999999</v>
      </c>
    </row>
    <row r="37" spans="1:11" x14ac:dyDescent="0.25">
      <c r="A37" s="88">
        <v>10</v>
      </c>
      <c r="B37" s="90">
        <v>0.63100000000000001</v>
      </c>
      <c r="C37" s="90">
        <v>0.66</v>
      </c>
      <c r="D37" s="90">
        <v>0.69</v>
      </c>
      <c r="E37" s="90">
        <v>0.72299999999999998</v>
      </c>
      <c r="F37" s="90">
        <v>0.75900000000000001</v>
      </c>
      <c r="G37" s="90">
        <v>0.79700000000000004</v>
      </c>
      <c r="H37" s="90">
        <v>0.83899999999999997</v>
      </c>
      <c r="I37" s="90">
        <v>0.88500000000000001</v>
      </c>
      <c r="J37" s="90">
        <v>0.93500000000000005</v>
      </c>
      <c r="K37" s="90">
        <v>0.99099999999999999</v>
      </c>
    </row>
    <row r="38" spans="1:11" x14ac:dyDescent="0.25">
      <c r="A38" s="88">
        <v>11</v>
      </c>
      <c r="B38" s="90">
        <v>0.63400000000000001</v>
      </c>
      <c r="C38" s="90">
        <v>0.66200000000000003</v>
      </c>
      <c r="D38" s="90">
        <v>0.69299999999999995</v>
      </c>
      <c r="E38" s="90">
        <v>0.72599999999999998</v>
      </c>
      <c r="F38" s="90">
        <v>0.76200000000000001</v>
      </c>
      <c r="G38" s="90">
        <v>0.80100000000000005</v>
      </c>
      <c r="H38" s="90">
        <v>0.84299999999999997</v>
      </c>
      <c r="I38" s="90">
        <v>0.88900000000000001</v>
      </c>
      <c r="J38" s="90">
        <v>0.94</v>
      </c>
      <c r="K38" s="90">
        <v>0.995</v>
      </c>
    </row>
    <row r="39" spans="1:11" x14ac:dyDescent="0.25">
      <c r="A39"/>
      <c r="B39"/>
    </row>
    <row r="40" spans="1:11" x14ac:dyDescent="0.25">
      <c r="A40"/>
      <c r="B40"/>
    </row>
    <row r="41" spans="1:11" x14ac:dyDescent="0.25">
      <c r="A41"/>
      <c r="B41"/>
    </row>
    <row r="42" spans="1:11" x14ac:dyDescent="0.25">
      <c r="A42"/>
      <c r="B42"/>
    </row>
    <row r="43" spans="1:11" x14ac:dyDescent="0.25">
      <c r="A43"/>
      <c r="B43"/>
    </row>
    <row r="44" spans="1:11" ht="39.6" customHeight="1" x14ac:dyDescent="0.25">
      <c r="A44"/>
      <c r="B44"/>
    </row>
    <row r="45" spans="1:11" x14ac:dyDescent="0.25">
      <c r="A45"/>
      <c r="B45"/>
    </row>
    <row r="46" spans="1:11" ht="27.6" customHeight="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jtwLSW8IivdpqAnPPrC7V76RmnVX2NeCnTaiUYGKX5krnVEW+logmlGKBl4frJyrOBY2URImjGb7ukXCKG6s4Q==" saltValue="7sK9xBQRs7OWfhQIXKmAuA==" spinCount="100000" sheet="1" objects="1" scenarios="1"/>
  <conditionalFormatting sqref="A6:A21">
    <cfRule type="expression" dxfId="149" priority="3" stopIfTrue="1">
      <formula>MOD(ROW(),2)=0</formula>
    </cfRule>
    <cfRule type="expression" dxfId="148" priority="4" stopIfTrue="1">
      <formula>MOD(ROW(),2)&lt;&gt;0</formula>
    </cfRule>
  </conditionalFormatting>
  <conditionalFormatting sqref="A26:A38">
    <cfRule type="expression" dxfId="147" priority="7" stopIfTrue="1">
      <formula>MOD(ROW(),2)=0</formula>
    </cfRule>
    <cfRule type="expression" dxfId="146" priority="8" stopIfTrue="1">
      <formula>MOD(ROW(),2)&lt;&gt;0</formula>
    </cfRule>
  </conditionalFormatting>
  <conditionalFormatting sqref="B17:B21">
    <cfRule type="expression" dxfId="145" priority="13" stopIfTrue="1">
      <formula>MOD(ROW(),2)=0</formula>
    </cfRule>
    <cfRule type="expression" dxfId="144" priority="14" stopIfTrue="1">
      <formula>MOD(ROW(),2)&lt;&gt;0</formula>
    </cfRule>
  </conditionalFormatting>
  <conditionalFormatting sqref="B6:K21 B26:K38">
    <cfRule type="expression" dxfId="143" priority="21" stopIfTrue="1">
      <formula>MOD(ROW(),2)=0</formula>
    </cfRule>
    <cfRule type="expression" dxfId="142" priority="2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6"/>
  <dimension ref="A1:H65"/>
  <sheetViews>
    <sheetView showGridLines="0" zoomScale="85" zoomScaleNormal="85" workbookViewId="0">
      <selection activeCell="A4" sqref="A4"/>
    </sheetView>
  </sheetViews>
  <sheetFormatPr defaultColWidth="10" defaultRowHeight="13.2" x14ac:dyDescent="0.25"/>
  <cols>
    <col min="1" max="1" width="31.88671875" style="27" customWidth="1"/>
    <col min="2" max="6" width="22.88671875" style="27" customWidth="1"/>
    <col min="7" max="16384" width="10" style="27"/>
  </cols>
  <sheetData>
    <row r="1" spans="1:8" ht="21" x14ac:dyDescent="0.4">
      <c r="A1" s="39" t="s">
        <v>0</v>
      </c>
      <c r="B1" s="40"/>
      <c r="C1" s="40"/>
      <c r="D1" s="40"/>
      <c r="E1" s="40"/>
      <c r="F1" s="40"/>
      <c r="G1" s="40"/>
      <c r="H1" s="40"/>
    </row>
    <row r="2" spans="1:8" ht="15.6" x14ac:dyDescent="0.3">
      <c r="A2" s="41" t="str">
        <f>IF(title="&gt; Enter workbook title here","Enter workbook title in Cover sheet",title)</f>
        <v>Fire_S - Consolidated Factor Spreadsheet</v>
      </c>
      <c r="B2" s="42"/>
      <c r="C2" s="42"/>
      <c r="D2" s="42"/>
      <c r="E2" s="42"/>
      <c r="F2" s="42"/>
      <c r="G2" s="42"/>
      <c r="H2" s="42"/>
    </row>
    <row r="3" spans="1:8" ht="15.6" x14ac:dyDescent="0.3">
      <c r="A3" s="43" t="str">
        <f>TABLE_FACTOR_TYPE_1&amp;" - x-"&amp;TABLE_SERIES_NUMBER_1</f>
        <v>Scheme Pays AA - x-610</v>
      </c>
      <c r="B3" s="42"/>
      <c r="C3" s="42"/>
      <c r="D3" s="42"/>
      <c r="E3" s="42"/>
      <c r="F3" s="42"/>
      <c r="G3" s="42"/>
      <c r="H3" s="42"/>
    </row>
    <row r="4" spans="1:8" x14ac:dyDescent="0.25">
      <c r="A4" s="44"/>
    </row>
    <row r="6" spans="1:8" x14ac:dyDescent="0.25">
      <c r="A6" s="75" t="s">
        <v>484</v>
      </c>
      <c r="B6" s="162" t="s">
        <v>485</v>
      </c>
      <c r="C6" s="162"/>
      <c r="D6" s="162"/>
      <c r="E6" s="162"/>
      <c r="F6" s="162"/>
    </row>
    <row r="7" spans="1:8" x14ac:dyDescent="0.25">
      <c r="A7" s="76" t="s">
        <v>486</v>
      </c>
      <c r="B7" s="162" t="s">
        <v>81</v>
      </c>
      <c r="C7" s="162"/>
      <c r="D7" s="162"/>
      <c r="E7" s="162"/>
      <c r="F7" s="162"/>
    </row>
    <row r="8" spans="1:8" x14ac:dyDescent="0.25">
      <c r="A8" s="76" t="s">
        <v>282</v>
      </c>
      <c r="B8" s="162">
        <v>2006</v>
      </c>
      <c r="C8" s="162"/>
      <c r="D8" s="162"/>
      <c r="E8" s="162"/>
      <c r="F8" s="162"/>
    </row>
    <row r="9" spans="1:8" x14ac:dyDescent="0.25">
      <c r="A9" s="76" t="s">
        <v>283</v>
      </c>
      <c r="B9" s="162" t="s">
        <v>419</v>
      </c>
      <c r="C9" s="162"/>
      <c r="D9" s="162"/>
      <c r="E9" s="162"/>
      <c r="F9" s="162"/>
    </row>
    <row r="10" spans="1:8" x14ac:dyDescent="0.25">
      <c r="A10" s="76" t="s">
        <v>6</v>
      </c>
      <c r="B10" s="162" t="s">
        <v>443</v>
      </c>
      <c r="C10" s="162"/>
      <c r="D10" s="162"/>
      <c r="E10" s="162"/>
      <c r="F10" s="162"/>
    </row>
    <row r="11" spans="1:8" x14ac:dyDescent="0.25">
      <c r="A11" s="76" t="s">
        <v>284</v>
      </c>
      <c r="B11" s="162" t="s">
        <v>349</v>
      </c>
      <c r="C11" s="162"/>
      <c r="D11" s="162"/>
      <c r="E11" s="162"/>
      <c r="F11" s="162"/>
    </row>
    <row r="12" spans="1:8" x14ac:dyDescent="0.25">
      <c r="A12" s="76" t="s">
        <v>285</v>
      </c>
      <c r="B12" s="162" t="s">
        <v>360</v>
      </c>
      <c r="C12" s="162"/>
      <c r="D12" s="162"/>
      <c r="E12" s="162"/>
      <c r="F12" s="162"/>
    </row>
    <row r="13" spans="1:8" hidden="1" x14ac:dyDescent="0.25">
      <c r="A13" s="76" t="s">
        <v>493</v>
      </c>
      <c r="B13" s="162">
        <v>1</v>
      </c>
      <c r="C13" s="162"/>
      <c r="D13" s="162"/>
      <c r="E13" s="162"/>
      <c r="F13" s="162"/>
    </row>
    <row r="14" spans="1:8" hidden="1" x14ac:dyDescent="0.25">
      <c r="A14" s="76" t="s">
        <v>287</v>
      </c>
      <c r="B14" s="162">
        <v>610</v>
      </c>
      <c r="C14" s="162"/>
      <c r="D14" s="162"/>
      <c r="E14" s="162"/>
      <c r="F14" s="162"/>
    </row>
    <row r="15" spans="1:8" x14ac:dyDescent="0.25">
      <c r="A15" s="76" t="s">
        <v>496</v>
      </c>
      <c r="B15" s="162" t="s">
        <v>444</v>
      </c>
      <c r="C15" s="162"/>
      <c r="D15" s="162"/>
      <c r="E15" s="162"/>
      <c r="F15" s="162"/>
    </row>
    <row r="16" spans="1:8" x14ac:dyDescent="0.25">
      <c r="A16" s="76" t="s">
        <v>288</v>
      </c>
      <c r="B16" s="162" t="s">
        <v>445</v>
      </c>
      <c r="C16" s="162"/>
      <c r="D16" s="162"/>
      <c r="E16" s="162"/>
      <c r="F16" s="162"/>
    </row>
    <row r="17" spans="1:6" x14ac:dyDescent="0.25">
      <c r="A17" s="76" t="s">
        <v>568</v>
      </c>
      <c r="B17" s="162"/>
      <c r="C17" s="162"/>
      <c r="D17" s="162"/>
      <c r="E17" s="162"/>
      <c r="F17" s="162"/>
    </row>
    <row r="18" spans="1:6" x14ac:dyDescent="0.25">
      <c r="A18" s="76" t="s">
        <v>500</v>
      </c>
      <c r="B18" s="164">
        <v>45135</v>
      </c>
      <c r="C18" s="162"/>
      <c r="D18" s="162"/>
      <c r="E18" s="162"/>
      <c r="F18" s="162"/>
    </row>
    <row r="19" spans="1:6" x14ac:dyDescent="0.25">
      <c r="A19" s="76" t="s">
        <v>290</v>
      </c>
      <c r="B19" s="164">
        <v>45135</v>
      </c>
      <c r="C19" s="162"/>
      <c r="D19" s="162"/>
      <c r="E19" s="162"/>
      <c r="F19" s="162"/>
    </row>
    <row r="20" spans="1:6" x14ac:dyDescent="0.25">
      <c r="A20" s="76" t="s">
        <v>291</v>
      </c>
      <c r="B20" s="162" t="s">
        <v>298</v>
      </c>
      <c r="C20" s="162"/>
      <c r="D20" s="162"/>
      <c r="E20" s="162"/>
      <c r="F20" s="162"/>
    </row>
    <row r="21" spans="1:6" x14ac:dyDescent="0.25">
      <c r="A21" s="150" t="s">
        <v>569</v>
      </c>
      <c r="B21" s="162" t="s">
        <v>297</v>
      </c>
      <c r="C21" s="162"/>
      <c r="D21" s="162"/>
      <c r="E21" s="162"/>
      <c r="F21" s="162"/>
    </row>
    <row r="23" spans="1:6" x14ac:dyDescent="0.25">
      <c r="B23" s="91" t="str">
        <f>HYPERLINK("#'Factor List'!A1","Back to Factor List")</f>
        <v>Back to Factor List</v>
      </c>
    </row>
    <row r="24" spans="1:6" x14ac:dyDescent="0.25">
      <c r="B24" s="91" t="str">
        <f>HYPERLINK("#'Assumptions'!A1","Assumptions")</f>
        <v>Assumptions</v>
      </c>
    </row>
    <row r="26" spans="1:6" x14ac:dyDescent="0.25">
      <c r="A26" s="87" t="s">
        <v>611</v>
      </c>
      <c r="B26" s="87">
        <v>55</v>
      </c>
      <c r="C26" s="87">
        <v>56</v>
      </c>
      <c r="D26" s="87">
        <v>57</v>
      </c>
      <c r="E26" s="87">
        <v>58</v>
      </c>
      <c r="F26" s="87">
        <v>59</v>
      </c>
    </row>
    <row r="27" spans="1:6" x14ac:dyDescent="0.25">
      <c r="A27" s="88">
        <v>0</v>
      </c>
      <c r="B27" s="90">
        <v>0.79400000000000004</v>
      </c>
      <c r="C27" s="90">
        <v>0.82899999999999996</v>
      </c>
      <c r="D27" s="90">
        <v>0.86699999999999999</v>
      </c>
      <c r="E27" s="90">
        <v>0.90800000000000003</v>
      </c>
      <c r="F27" s="90">
        <v>0.95199999999999996</v>
      </c>
    </row>
    <row r="28" spans="1:6" x14ac:dyDescent="0.25">
      <c r="A28" s="88">
        <v>1</v>
      </c>
      <c r="B28" s="90">
        <v>0.79700000000000004</v>
      </c>
      <c r="C28" s="90">
        <v>0.83199999999999996</v>
      </c>
      <c r="D28" s="90">
        <v>0.87</v>
      </c>
      <c r="E28" s="90">
        <v>0.91200000000000003</v>
      </c>
      <c r="F28" s="90">
        <v>0.95599999999999996</v>
      </c>
    </row>
    <row r="29" spans="1:6" x14ac:dyDescent="0.25">
      <c r="A29" s="88">
        <v>2</v>
      </c>
      <c r="B29" s="90">
        <v>0.8</v>
      </c>
      <c r="C29" s="90">
        <v>0.83499999999999996</v>
      </c>
      <c r="D29" s="90">
        <v>0.874</v>
      </c>
      <c r="E29" s="90">
        <v>0.91500000000000004</v>
      </c>
      <c r="F29" s="90">
        <v>0.96</v>
      </c>
    </row>
    <row r="30" spans="1:6" x14ac:dyDescent="0.25">
      <c r="A30" s="88">
        <v>3</v>
      </c>
      <c r="B30" s="90">
        <v>0.80200000000000005</v>
      </c>
      <c r="C30" s="90">
        <v>0.83799999999999997</v>
      </c>
      <c r="D30" s="90">
        <v>0.877</v>
      </c>
      <c r="E30" s="90">
        <v>0.91900000000000004</v>
      </c>
      <c r="F30" s="90">
        <v>0.96399999999999997</v>
      </c>
    </row>
    <row r="31" spans="1:6" x14ac:dyDescent="0.25">
      <c r="A31" s="88">
        <v>4</v>
      </c>
      <c r="B31" s="90">
        <v>0.80500000000000005</v>
      </c>
      <c r="C31" s="90">
        <v>0.84199999999999997</v>
      </c>
      <c r="D31" s="90">
        <v>0.88100000000000001</v>
      </c>
      <c r="E31" s="90">
        <v>0.92300000000000004</v>
      </c>
      <c r="F31" s="90">
        <v>0.96799999999999997</v>
      </c>
    </row>
    <row r="32" spans="1:6" x14ac:dyDescent="0.25">
      <c r="A32" s="88">
        <v>5</v>
      </c>
      <c r="B32" s="90">
        <v>0.80800000000000005</v>
      </c>
      <c r="C32" s="90">
        <v>0.84499999999999997</v>
      </c>
      <c r="D32" s="90">
        <v>0.88400000000000001</v>
      </c>
      <c r="E32" s="90">
        <v>0.92600000000000005</v>
      </c>
      <c r="F32" s="90">
        <v>0.97199999999999998</v>
      </c>
    </row>
    <row r="33" spans="1:6" x14ac:dyDescent="0.25">
      <c r="A33" s="88">
        <v>6</v>
      </c>
      <c r="B33" s="90">
        <v>0.81100000000000005</v>
      </c>
      <c r="C33" s="90">
        <v>0.84799999999999998</v>
      </c>
      <c r="D33" s="90">
        <v>0.88700000000000001</v>
      </c>
      <c r="E33" s="90">
        <v>0.93</v>
      </c>
      <c r="F33" s="90">
        <v>0.97599999999999998</v>
      </c>
    </row>
    <row r="34" spans="1:6" x14ac:dyDescent="0.25">
      <c r="A34" s="88">
        <v>7</v>
      </c>
      <c r="B34" s="90">
        <v>0.81399999999999995</v>
      </c>
      <c r="C34" s="90">
        <v>0.85099999999999998</v>
      </c>
      <c r="D34" s="90">
        <v>0.89100000000000001</v>
      </c>
      <c r="E34" s="90">
        <v>0.93400000000000005</v>
      </c>
      <c r="F34" s="90">
        <v>0.98</v>
      </c>
    </row>
    <row r="35" spans="1:6" x14ac:dyDescent="0.25">
      <c r="A35" s="88">
        <v>8</v>
      </c>
      <c r="B35" s="90">
        <v>0.81699999999999995</v>
      </c>
      <c r="C35" s="90">
        <v>0.85399999999999998</v>
      </c>
      <c r="D35" s="90">
        <v>0.89400000000000002</v>
      </c>
      <c r="E35" s="90">
        <v>0.93700000000000006</v>
      </c>
      <c r="F35" s="90">
        <v>0.98399999999999999</v>
      </c>
    </row>
    <row r="36" spans="1:6" x14ac:dyDescent="0.25">
      <c r="A36" s="88">
        <v>9</v>
      </c>
      <c r="B36" s="90">
        <v>0.82</v>
      </c>
      <c r="C36" s="90">
        <v>0.85699999999999998</v>
      </c>
      <c r="D36" s="90">
        <v>0.89800000000000002</v>
      </c>
      <c r="E36" s="90">
        <v>0.94099999999999995</v>
      </c>
      <c r="F36" s="90">
        <v>0.98799999999999999</v>
      </c>
    </row>
    <row r="37" spans="1:6" x14ac:dyDescent="0.25">
      <c r="A37" s="88">
        <v>10</v>
      </c>
      <c r="B37" s="90">
        <v>0.82299999999999995</v>
      </c>
      <c r="C37" s="90">
        <v>0.86099999999999999</v>
      </c>
      <c r="D37" s="90">
        <v>0.90100000000000002</v>
      </c>
      <c r="E37" s="90">
        <v>0.94499999999999995</v>
      </c>
      <c r="F37" s="90">
        <v>0.99199999999999999</v>
      </c>
    </row>
    <row r="38" spans="1:6" x14ac:dyDescent="0.25">
      <c r="A38" s="88">
        <v>11</v>
      </c>
      <c r="B38" s="90">
        <v>0.82599999999999996</v>
      </c>
      <c r="C38" s="90">
        <v>0.86399999999999999</v>
      </c>
      <c r="D38" s="90">
        <v>0.90400000000000003</v>
      </c>
      <c r="E38" s="90">
        <v>0.94799999999999995</v>
      </c>
      <c r="F38" s="90">
        <v>0.996</v>
      </c>
    </row>
    <row r="39" spans="1:6" x14ac:dyDescent="0.25">
      <c r="A39"/>
      <c r="B39"/>
    </row>
    <row r="40" spans="1:6" x14ac:dyDescent="0.25">
      <c r="A40"/>
      <c r="B40"/>
    </row>
    <row r="41" spans="1:6" x14ac:dyDescent="0.25">
      <c r="A41"/>
      <c r="B41"/>
    </row>
    <row r="42" spans="1:6" x14ac:dyDescent="0.25">
      <c r="A42"/>
      <c r="B42"/>
    </row>
    <row r="43" spans="1:6" x14ac:dyDescent="0.25">
      <c r="A43"/>
      <c r="B43"/>
    </row>
    <row r="44" spans="1:6" ht="39.6" customHeight="1" x14ac:dyDescent="0.25">
      <c r="A44"/>
      <c r="B44"/>
    </row>
    <row r="45" spans="1:6" x14ac:dyDescent="0.25">
      <c r="A45"/>
      <c r="B45"/>
    </row>
    <row r="46" spans="1:6" ht="27.6" customHeight="1" x14ac:dyDescent="0.25">
      <c r="A46"/>
      <c r="B46"/>
    </row>
    <row r="47" spans="1:6" x14ac:dyDescent="0.25">
      <c r="A47"/>
      <c r="B47"/>
    </row>
    <row r="48" spans="1:6"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wzk/yCfuSV0kH8r2/IETuXYQ/a9dNfXnmfsRml4YkIeFu8fAblEqiN72szpC57Ct913iDK66fFVUWi+rpCgIRA==" saltValue="daMHBD3a+HODN8UmSJD9ZA==" spinCount="100000" sheet="1" objects="1" scenarios="1"/>
  <conditionalFormatting sqref="A6:A21">
    <cfRule type="expression" dxfId="141" priority="3" stopIfTrue="1">
      <formula>MOD(ROW(),2)=0</formula>
    </cfRule>
    <cfRule type="expression" dxfId="140" priority="4" stopIfTrue="1">
      <formula>MOD(ROW(),2)&lt;&gt;0</formula>
    </cfRule>
  </conditionalFormatting>
  <conditionalFormatting sqref="A26:A38">
    <cfRule type="expression" dxfId="139" priority="7" stopIfTrue="1">
      <formula>MOD(ROW(),2)=0</formula>
    </cfRule>
    <cfRule type="expression" dxfId="138" priority="8" stopIfTrue="1">
      <formula>MOD(ROW(),2)&lt;&gt;0</formula>
    </cfRule>
  </conditionalFormatting>
  <conditionalFormatting sqref="B17:B21">
    <cfRule type="expression" dxfId="137" priority="13" stopIfTrue="1">
      <formula>MOD(ROW(),2)=0</formula>
    </cfRule>
    <cfRule type="expression" dxfId="136" priority="14" stopIfTrue="1">
      <formula>MOD(ROW(),2)&lt;&gt;0</formula>
    </cfRule>
  </conditionalFormatting>
  <conditionalFormatting sqref="B6:F21 B26:F38">
    <cfRule type="expression" dxfId="135" priority="21" stopIfTrue="1">
      <formula>MOD(ROW(),2)=0</formula>
    </cfRule>
    <cfRule type="expression" dxfId="134" priority="2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7"/>
  <dimension ref="A1:K65"/>
  <sheetViews>
    <sheetView showGridLines="0" zoomScale="85" zoomScaleNormal="85" workbookViewId="0">
      <selection activeCell="A4" sqref="A4"/>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39" t="s">
        <v>0</v>
      </c>
      <c r="B1" s="40"/>
      <c r="C1" s="40"/>
      <c r="D1" s="40"/>
      <c r="E1" s="40"/>
      <c r="F1" s="40"/>
      <c r="G1" s="40"/>
      <c r="H1" s="40"/>
      <c r="I1" s="40"/>
    </row>
    <row r="2" spans="1:11" ht="15.6" x14ac:dyDescent="0.3">
      <c r="A2" s="41" t="str">
        <f>IF(title="&gt; Enter workbook title here","Enter workbook title in Cover sheet",title)</f>
        <v>Fire_S - Consolidated Factor Spreadsheet</v>
      </c>
      <c r="B2" s="42"/>
      <c r="C2" s="42"/>
      <c r="D2" s="42"/>
      <c r="E2" s="42"/>
      <c r="F2" s="42"/>
      <c r="G2" s="42"/>
      <c r="H2" s="42"/>
      <c r="I2" s="42"/>
    </row>
    <row r="3" spans="1:11" ht="15.6" x14ac:dyDescent="0.3">
      <c r="A3" s="43" t="str">
        <f>TABLE_FACTOR_TYPE_1&amp;" - x-"&amp;TABLE_SERIES_NUMBER_1</f>
        <v>Scheme Pays AA - x-611</v>
      </c>
      <c r="B3" s="42"/>
      <c r="C3" s="42"/>
      <c r="D3" s="42"/>
      <c r="E3" s="42"/>
      <c r="F3" s="42"/>
      <c r="G3" s="42"/>
      <c r="H3" s="42"/>
      <c r="I3" s="42"/>
    </row>
    <row r="4" spans="1:11" x14ac:dyDescent="0.25">
      <c r="A4" s="44"/>
    </row>
    <row r="6" spans="1:11" x14ac:dyDescent="0.25">
      <c r="A6" s="75" t="s">
        <v>484</v>
      </c>
      <c r="B6" s="162" t="s">
        <v>485</v>
      </c>
      <c r="C6" s="162"/>
      <c r="D6" s="162"/>
      <c r="E6" s="162"/>
      <c r="F6" s="162"/>
      <c r="G6" s="162"/>
      <c r="H6" s="162"/>
      <c r="I6" s="162"/>
      <c r="J6" s="162"/>
      <c r="K6" s="162"/>
    </row>
    <row r="7" spans="1:11" x14ac:dyDescent="0.25">
      <c r="A7" s="76" t="s">
        <v>486</v>
      </c>
      <c r="B7" s="162" t="s">
        <v>81</v>
      </c>
      <c r="C7" s="162"/>
      <c r="D7" s="162"/>
      <c r="E7" s="162"/>
      <c r="F7" s="162"/>
      <c r="G7" s="162"/>
      <c r="H7" s="162"/>
      <c r="I7" s="162"/>
      <c r="J7" s="162"/>
      <c r="K7" s="162"/>
    </row>
    <row r="8" spans="1:11" x14ac:dyDescent="0.25">
      <c r="A8" s="76" t="s">
        <v>282</v>
      </c>
      <c r="B8" s="162">
        <v>2006</v>
      </c>
      <c r="C8" s="162"/>
      <c r="D8" s="162"/>
      <c r="E8" s="162"/>
      <c r="F8" s="162"/>
      <c r="G8" s="162"/>
      <c r="H8" s="162"/>
      <c r="I8" s="162"/>
      <c r="J8" s="162"/>
      <c r="K8" s="162"/>
    </row>
    <row r="9" spans="1:11" x14ac:dyDescent="0.25">
      <c r="A9" s="76" t="s">
        <v>283</v>
      </c>
      <c r="B9" s="162" t="s">
        <v>419</v>
      </c>
      <c r="C9" s="162"/>
      <c r="D9" s="162"/>
      <c r="E9" s="162"/>
      <c r="F9" s="162"/>
      <c r="G9" s="162"/>
      <c r="H9" s="162"/>
      <c r="I9" s="162"/>
      <c r="J9" s="162"/>
      <c r="K9" s="162"/>
    </row>
    <row r="10" spans="1:11" x14ac:dyDescent="0.25">
      <c r="A10" s="76" t="s">
        <v>6</v>
      </c>
      <c r="B10" s="162" t="s">
        <v>446</v>
      </c>
      <c r="C10" s="162"/>
      <c r="D10" s="162"/>
      <c r="E10" s="162"/>
      <c r="F10" s="162"/>
      <c r="G10" s="162"/>
      <c r="H10" s="162"/>
      <c r="I10" s="162"/>
      <c r="J10" s="162"/>
      <c r="K10" s="162"/>
    </row>
    <row r="11" spans="1:11" x14ac:dyDescent="0.25">
      <c r="A11" s="76" t="s">
        <v>284</v>
      </c>
      <c r="B11" s="162" t="s">
        <v>349</v>
      </c>
      <c r="C11" s="162"/>
      <c r="D11" s="162"/>
      <c r="E11" s="162"/>
      <c r="F11" s="162"/>
      <c r="G11" s="162"/>
      <c r="H11" s="162"/>
      <c r="I11" s="162"/>
      <c r="J11" s="162"/>
      <c r="K11" s="162"/>
    </row>
    <row r="12" spans="1:11" x14ac:dyDescent="0.25">
      <c r="A12" s="76" t="s">
        <v>285</v>
      </c>
      <c r="B12" s="162" t="s">
        <v>360</v>
      </c>
      <c r="C12" s="162"/>
      <c r="D12" s="162"/>
      <c r="E12" s="162"/>
      <c r="F12" s="162"/>
      <c r="G12" s="162"/>
      <c r="H12" s="162"/>
      <c r="I12" s="162"/>
      <c r="J12" s="162"/>
      <c r="K12" s="162"/>
    </row>
    <row r="13" spans="1:11" hidden="1" x14ac:dyDescent="0.25">
      <c r="A13" s="76" t="s">
        <v>493</v>
      </c>
      <c r="B13" s="162">
        <v>1</v>
      </c>
      <c r="C13" s="162"/>
      <c r="D13" s="162"/>
      <c r="E13" s="162"/>
      <c r="F13" s="162"/>
      <c r="G13" s="162"/>
      <c r="H13" s="162"/>
      <c r="I13" s="162"/>
      <c r="J13" s="162"/>
      <c r="K13" s="162"/>
    </row>
    <row r="14" spans="1:11" hidden="1" x14ac:dyDescent="0.25">
      <c r="A14" s="76" t="s">
        <v>287</v>
      </c>
      <c r="B14" s="162">
        <v>611</v>
      </c>
      <c r="C14" s="162"/>
      <c r="D14" s="162"/>
      <c r="E14" s="162"/>
      <c r="F14" s="162"/>
      <c r="G14" s="162"/>
      <c r="H14" s="162"/>
      <c r="I14" s="162"/>
      <c r="J14" s="162"/>
      <c r="K14" s="162"/>
    </row>
    <row r="15" spans="1:11" x14ac:dyDescent="0.25">
      <c r="A15" s="76" t="s">
        <v>496</v>
      </c>
      <c r="B15" s="162" t="s">
        <v>447</v>
      </c>
      <c r="C15" s="162"/>
      <c r="D15" s="162"/>
      <c r="E15" s="162"/>
      <c r="F15" s="162"/>
      <c r="G15" s="162"/>
      <c r="H15" s="162"/>
      <c r="I15" s="162"/>
      <c r="J15" s="162"/>
      <c r="K15" s="162"/>
    </row>
    <row r="16" spans="1:11" x14ac:dyDescent="0.25">
      <c r="A16" s="76" t="s">
        <v>288</v>
      </c>
      <c r="B16" s="162" t="s">
        <v>305</v>
      </c>
      <c r="C16" s="162"/>
      <c r="D16" s="162"/>
      <c r="E16" s="162"/>
      <c r="F16" s="162"/>
      <c r="G16" s="162"/>
      <c r="H16" s="162"/>
      <c r="I16" s="162"/>
      <c r="J16" s="162"/>
      <c r="K16" s="162"/>
    </row>
    <row r="17" spans="1:11" x14ac:dyDescent="0.25">
      <c r="A17" s="76" t="s">
        <v>568</v>
      </c>
      <c r="B17" s="162"/>
      <c r="C17" s="162"/>
      <c r="D17" s="162"/>
      <c r="E17" s="162"/>
      <c r="F17" s="162"/>
      <c r="G17" s="162"/>
      <c r="H17" s="162"/>
      <c r="I17" s="162"/>
      <c r="J17" s="162"/>
      <c r="K17" s="162"/>
    </row>
    <row r="18" spans="1:11" x14ac:dyDescent="0.25">
      <c r="A18" s="76" t="s">
        <v>500</v>
      </c>
      <c r="B18" s="164">
        <v>45135</v>
      </c>
      <c r="C18" s="162"/>
      <c r="D18" s="162"/>
      <c r="E18" s="162"/>
      <c r="F18" s="162"/>
      <c r="G18" s="162"/>
      <c r="H18" s="162"/>
      <c r="I18" s="162"/>
      <c r="J18" s="162"/>
      <c r="K18" s="162"/>
    </row>
    <row r="19" spans="1:11" x14ac:dyDescent="0.25">
      <c r="A19" s="76" t="s">
        <v>290</v>
      </c>
      <c r="B19" s="164">
        <v>45135</v>
      </c>
      <c r="C19" s="162"/>
      <c r="D19" s="162"/>
      <c r="E19" s="162"/>
      <c r="F19" s="162"/>
      <c r="G19" s="162"/>
      <c r="H19" s="162"/>
      <c r="I19" s="162"/>
      <c r="J19" s="162"/>
      <c r="K19" s="162"/>
    </row>
    <row r="20" spans="1:11" x14ac:dyDescent="0.25">
      <c r="A20" s="76" t="s">
        <v>291</v>
      </c>
      <c r="B20" s="162" t="s">
        <v>298</v>
      </c>
      <c r="C20" s="162"/>
      <c r="D20" s="162"/>
      <c r="E20" s="162"/>
      <c r="F20" s="162"/>
      <c r="G20" s="162"/>
      <c r="H20" s="162"/>
      <c r="I20" s="162"/>
      <c r="J20" s="162"/>
      <c r="K20" s="162"/>
    </row>
    <row r="21" spans="1:11" x14ac:dyDescent="0.25">
      <c r="A21" s="150" t="s">
        <v>569</v>
      </c>
      <c r="B21" s="162" t="s">
        <v>297</v>
      </c>
      <c r="C21" s="162"/>
      <c r="D21" s="162"/>
      <c r="E21" s="162"/>
      <c r="F21" s="162"/>
      <c r="G21" s="162"/>
      <c r="H21" s="162"/>
      <c r="I21" s="162"/>
      <c r="J21" s="162"/>
      <c r="K21" s="162"/>
    </row>
    <row r="23" spans="1:11" x14ac:dyDescent="0.25">
      <c r="B23" s="91" t="str">
        <f>HYPERLINK("#'Factor List'!A1","Back to Factor List")</f>
        <v>Back to Factor List</v>
      </c>
    </row>
    <row r="24" spans="1:11" x14ac:dyDescent="0.25">
      <c r="B24" s="91" t="str">
        <f>HYPERLINK("#'Assumptions'!A1","Assumptions")</f>
        <v>Assumptions</v>
      </c>
    </row>
    <row r="26" spans="1:11" x14ac:dyDescent="0.25">
      <c r="A26" s="87" t="s">
        <v>611</v>
      </c>
      <c r="B26" s="87">
        <v>65</v>
      </c>
      <c r="C26" s="87">
        <v>66</v>
      </c>
      <c r="D26" s="87">
        <v>67</v>
      </c>
      <c r="E26" s="87">
        <v>68</v>
      </c>
      <c r="F26" s="87">
        <v>69</v>
      </c>
      <c r="G26" s="87">
        <v>70</v>
      </c>
      <c r="H26" s="87">
        <v>71</v>
      </c>
      <c r="I26" s="87">
        <v>72</v>
      </c>
      <c r="J26" s="87">
        <v>73</v>
      </c>
      <c r="K26" s="87">
        <v>74</v>
      </c>
    </row>
    <row r="27" spans="1:11" x14ac:dyDescent="0.25">
      <c r="A27" s="88">
        <v>0</v>
      </c>
      <c r="B27" s="90">
        <v>1</v>
      </c>
      <c r="C27" s="90">
        <v>1.0620000000000001</v>
      </c>
      <c r="D27" s="90">
        <v>1.131</v>
      </c>
      <c r="E27" s="90">
        <v>1.206</v>
      </c>
      <c r="F27" s="90">
        <v>1.29</v>
      </c>
      <c r="G27" s="90">
        <v>1.383</v>
      </c>
      <c r="H27" s="90">
        <v>1.4850000000000001</v>
      </c>
      <c r="I27" s="90">
        <v>1.6</v>
      </c>
      <c r="J27" s="90">
        <v>1.728</v>
      </c>
      <c r="K27" s="90">
        <v>1.87</v>
      </c>
    </row>
    <row r="28" spans="1:11" x14ac:dyDescent="0.25">
      <c r="A28" s="88">
        <v>1</v>
      </c>
      <c r="B28" s="90">
        <v>1.0049999999999999</v>
      </c>
      <c r="C28" s="90">
        <v>1.0680000000000001</v>
      </c>
      <c r="D28" s="90">
        <v>1.137</v>
      </c>
      <c r="E28" s="90">
        <v>1.2130000000000001</v>
      </c>
      <c r="F28" s="90">
        <v>1.298</v>
      </c>
      <c r="G28" s="90">
        <v>1.391</v>
      </c>
      <c r="H28" s="90">
        <v>1.4950000000000001</v>
      </c>
      <c r="I28" s="90">
        <v>1.61</v>
      </c>
      <c r="J28" s="90">
        <v>1.7390000000000001</v>
      </c>
      <c r="K28" s="90">
        <v>1.8839999999999999</v>
      </c>
    </row>
    <row r="29" spans="1:11" x14ac:dyDescent="0.25">
      <c r="A29" s="88">
        <v>2</v>
      </c>
      <c r="B29" s="90">
        <v>1.01</v>
      </c>
      <c r="C29" s="90">
        <v>1.0740000000000001</v>
      </c>
      <c r="D29" s="90">
        <v>1.143</v>
      </c>
      <c r="E29" s="90">
        <v>1.22</v>
      </c>
      <c r="F29" s="90">
        <v>1.306</v>
      </c>
      <c r="G29" s="90">
        <v>1.4</v>
      </c>
      <c r="H29" s="90">
        <v>1.5049999999999999</v>
      </c>
      <c r="I29" s="90">
        <v>1.621</v>
      </c>
      <c r="J29" s="90">
        <v>1.7509999999999999</v>
      </c>
      <c r="K29" s="90">
        <v>1.897</v>
      </c>
    </row>
    <row r="30" spans="1:11" x14ac:dyDescent="0.25">
      <c r="A30" s="88">
        <v>3</v>
      </c>
      <c r="B30" s="90">
        <v>1.016</v>
      </c>
      <c r="C30" s="90">
        <v>1.079</v>
      </c>
      <c r="D30" s="90">
        <v>1.1499999999999999</v>
      </c>
      <c r="E30" s="90">
        <v>1.2270000000000001</v>
      </c>
      <c r="F30" s="90">
        <v>1.3129999999999999</v>
      </c>
      <c r="G30" s="90">
        <v>1.4079999999999999</v>
      </c>
      <c r="H30" s="90">
        <v>1.514</v>
      </c>
      <c r="I30" s="90">
        <v>1.6319999999999999</v>
      </c>
      <c r="J30" s="90">
        <v>1.7629999999999999</v>
      </c>
      <c r="K30" s="90">
        <v>1.911</v>
      </c>
    </row>
    <row r="31" spans="1:11" x14ac:dyDescent="0.25">
      <c r="A31" s="88">
        <v>4</v>
      </c>
      <c r="B31" s="90">
        <v>1.0209999999999999</v>
      </c>
      <c r="C31" s="90">
        <v>1.085</v>
      </c>
      <c r="D31" s="90">
        <v>1.1559999999999999</v>
      </c>
      <c r="E31" s="90">
        <v>1.234</v>
      </c>
      <c r="F31" s="90">
        <v>1.321</v>
      </c>
      <c r="G31" s="90">
        <v>1.417</v>
      </c>
      <c r="H31" s="90">
        <v>1.524</v>
      </c>
      <c r="I31" s="90">
        <v>1.6419999999999999</v>
      </c>
      <c r="J31" s="90">
        <v>1.7749999999999999</v>
      </c>
      <c r="K31" s="90">
        <v>1.9239999999999999</v>
      </c>
    </row>
    <row r="32" spans="1:11" x14ac:dyDescent="0.25">
      <c r="A32" s="88">
        <v>5</v>
      </c>
      <c r="B32" s="90">
        <v>1.026</v>
      </c>
      <c r="C32" s="90">
        <v>1.091</v>
      </c>
      <c r="D32" s="90">
        <v>1.1619999999999999</v>
      </c>
      <c r="E32" s="90">
        <v>1.2410000000000001</v>
      </c>
      <c r="F32" s="90">
        <v>1.329</v>
      </c>
      <c r="G32" s="90">
        <v>1.4259999999999999</v>
      </c>
      <c r="H32" s="90">
        <v>1.5329999999999999</v>
      </c>
      <c r="I32" s="90">
        <v>1.653</v>
      </c>
      <c r="J32" s="90">
        <v>1.7869999999999999</v>
      </c>
      <c r="K32" s="90">
        <v>1.9370000000000001</v>
      </c>
    </row>
    <row r="33" spans="1:11" x14ac:dyDescent="0.25">
      <c r="A33" s="88">
        <v>6</v>
      </c>
      <c r="B33" s="90">
        <v>1.0309999999999999</v>
      </c>
      <c r="C33" s="90">
        <v>1.0960000000000001</v>
      </c>
      <c r="D33" s="90">
        <v>1.169</v>
      </c>
      <c r="E33" s="90">
        <v>1.248</v>
      </c>
      <c r="F33" s="90">
        <v>1.3360000000000001</v>
      </c>
      <c r="G33" s="90">
        <v>1.4339999999999999</v>
      </c>
      <c r="H33" s="90">
        <v>1.5429999999999999</v>
      </c>
      <c r="I33" s="90">
        <v>1.6639999999999999</v>
      </c>
      <c r="J33" s="90">
        <v>1.7989999999999999</v>
      </c>
      <c r="K33" s="90">
        <v>1.9510000000000001</v>
      </c>
    </row>
    <row r="34" spans="1:11" x14ac:dyDescent="0.25">
      <c r="A34" s="88">
        <v>7</v>
      </c>
      <c r="B34" s="90">
        <v>1.036</v>
      </c>
      <c r="C34" s="90">
        <v>1.1020000000000001</v>
      </c>
      <c r="D34" s="90">
        <v>1.175</v>
      </c>
      <c r="E34" s="90">
        <v>1.2549999999999999</v>
      </c>
      <c r="F34" s="90">
        <v>1.3440000000000001</v>
      </c>
      <c r="G34" s="90">
        <v>1.4430000000000001</v>
      </c>
      <c r="H34" s="90">
        <v>1.552</v>
      </c>
      <c r="I34" s="90">
        <v>1.6739999999999999</v>
      </c>
      <c r="J34" s="90">
        <v>1.8109999999999999</v>
      </c>
      <c r="K34" s="90">
        <v>1.964</v>
      </c>
    </row>
    <row r="35" spans="1:11" x14ac:dyDescent="0.25">
      <c r="A35" s="88">
        <v>8</v>
      </c>
      <c r="B35" s="90">
        <v>1.0409999999999999</v>
      </c>
      <c r="C35" s="90">
        <v>1.1080000000000001</v>
      </c>
      <c r="D35" s="90">
        <v>1.181</v>
      </c>
      <c r="E35" s="90">
        <v>1.262</v>
      </c>
      <c r="F35" s="90">
        <v>1.3520000000000001</v>
      </c>
      <c r="G35" s="90">
        <v>1.4510000000000001</v>
      </c>
      <c r="H35" s="90">
        <v>1.5620000000000001</v>
      </c>
      <c r="I35" s="90">
        <v>1.6850000000000001</v>
      </c>
      <c r="J35" s="90">
        <v>1.823</v>
      </c>
      <c r="K35" s="90">
        <v>1.978</v>
      </c>
    </row>
    <row r="36" spans="1:11" x14ac:dyDescent="0.25">
      <c r="A36" s="88">
        <v>9</v>
      </c>
      <c r="B36" s="90">
        <v>1.0469999999999999</v>
      </c>
      <c r="C36" s="90">
        <v>1.1140000000000001</v>
      </c>
      <c r="D36" s="90">
        <v>1.1870000000000001</v>
      </c>
      <c r="E36" s="90">
        <v>1.2689999999999999</v>
      </c>
      <c r="F36" s="90">
        <v>1.36</v>
      </c>
      <c r="G36" s="90">
        <v>1.46</v>
      </c>
      <c r="H36" s="90">
        <v>1.571</v>
      </c>
      <c r="I36" s="90">
        <v>1.696</v>
      </c>
      <c r="J36" s="90">
        <v>1.835</v>
      </c>
      <c r="K36" s="90">
        <v>1.9910000000000001</v>
      </c>
    </row>
    <row r="37" spans="1:11" x14ac:dyDescent="0.25">
      <c r="A37" s="88">
        <v>10</v>
      </c>
      <c r="B37" s="90">
        <v>1.052</v>
      </c>
      <c r="C37" s="90">
        <v>1.119</v>
      </c>
      <c r="D37" s="90">
        <v>1.194</v>
      </c>
      <c r="E37" s="90">
        <v>1.276</v>
      </c>
      <c r="F37" s="90">
        <v>1.367</v>
      </c>
      <c r="G37" s="90">
        <v>1.468</v>
      </c>
      <c r="H37" s="90">
        <v>1.581</v>
      </c>
      <c r="I37" s="90">
        <v>1.706</v>
      </c>
      <c r="J37" s="90">
        <v>1.847</v>
      </c>
      <c r="K37" s="90">
        <v>2.004</v>
      </c>
    </row>
    <row r="38" spans="1:11" x14ac:dyDescent="0.25">
      <c r="A38" s="88">
        <v>11</v>
      </c>
      <c r="B38" s="90">
        <v>1.0569999999999999</v>
      </c>
      <c r="C38" s="90">
        <v>1.125</v>
      </c>
      <c r="D38" s="90">
        <v>1.2</v>
      </c>
      <c r="E38" s="90">
        <v>1.2829999999999999</v>
      </c>
      <c r="F38" s="90">
        <v>1.375</v>
      </c>
      <c r="G38" s="90">
        <v>1.4770000000000001</v>
      </c>
      <c r="H38" s="90">
        <v>1.59</v>
      </c>
      <c r="I38" s="90">
        <v>1.7170000000000001</v>
      </c>
      <c r="J38" s="90">
        <v>1.859</v>
      </c>
      <c r="K38" s="90">
        <v>2.0179999999999998</v>
      </c>
    </row>
    <row r="39" spans="1:11" x14ac:dyDescent="0.25">
      <c r="A39"/>
      <c r="B39"/>
    </row>
    <row r="40" spans="1:11" x14ac:dyDescent="0.25">
      <c r="A40"/>
      <c r="B40"/>
    </row>
    <row r="41" spans="1:11" x14ac:dyDescent="0.25">
      <c r="A41"/>
      <c r="B41"/>
    </row>
    <row r="42" spans="1:11" x14ac:dyDescent="0.25">
      <c r="A42"/>
      <c r="B42"/>
    </row>
    <row r="43" spans="1:11" x14ac:dyDescent="0.25">
      <c r="A43"/>
      <c r="B43"/>
    </row>
    <row r="44" spans="1:11" ht="39.6" customHeight="1" x14ac:dyDescent="0.25">
      <c r="A44"/>
      <c r="B44"/>
    </row>
    <row r="45" spans="1:11" x14ac:dyDescent="0.25">
      <c r="A45"/>
      <c r="B45"/>
    </row>
    <row r="46" spans="1:11" ht="27.6" customHeight="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MaHUyEAaEVHoZRn12BosQmd7UUYMZmTTx1749KG95GkO+mwD8PJqmEx9SXKbvEIahWvck+yNMu1VXh8TW7HSSQ==" saltValue="lT2LXnehu/Qh3Bgzdd9KHQ==" spinCount="100000" sheet="1" objects="1" scenarios="1"/>
  <conditionalFormatting sqref="A6:A21">
    <cfRule type="expression" dxfId="133" priority="3" stopIfTrue="1">
      <formula>MOD(ROW(),2)=0</formula>
    </cfRule>
    <cfRule type="expression" dxfId="132" priority="4" stopIfTrue="1">
      <formula>MOD(ROW(),2)&lt;&gt;0</formula>
    </cfRule>
  </conditionalFormatting>
  <conditionalFormatting sqref="A26:A38">
    <cfRule type="expression" dxfId="131" priority="7" stopIfTrue="1">
      <formula>MOD(ROW(),2)=0</formula>
    </cfRule>
    <cfRule type="expression" dxfId="130" priority="8" stopIfTrue="1">
      <formula>MOD(ROW(),2)&lt;&gt;0</formula>
    </cfRule>
  </conditionalFormatting>
  <conditionalFormatting sqref="B17:B21">
    <cfRule type="expression" dxfId="129" priority="13" stopIfTrue="1">
      <formula>MOD(ROW(),2)=0</formula>
    </cfRule>
    <cfRule type="expression" dxfId="128" priority="14" stopIfTrue="1">
      <formula>MOD(ROW(),2)&lt;&gt;0</formula>
    </cfRule>
  </conditionalFormatting>
  <conditionalFormatting sqref="B6:K21 B26:K38">
    <cfRule type="expression" dxfId="127" priority="21" stopIfTrue="1">
      <formula>MOD(ROW(),2)=0</formula>
    </cfRule>
    <cfRule type="expression" dxfId="126" priority="2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8"/>
  <dimension ref="A1:K65"/>
  <sheetViews>
    <sheetView showGridLines="0" zoomScale="85" zoomScaleNormal="85" workbookViewId="0">
      <selection activeCell="A4" sqref="A4"/>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39" t="s">
        <v>0</v>
      </c>
      <c r="B1" s="40"/>
      <c r="C1" s="40"/>
      <c r="D1" s="40"/>
      <c r="E1" s="40"/>
      <c r="F1" s="40"/>
      <c r="G1" s="40"/>
      <c r="H1" s="40"/>
      <c r="I1" s="40"/>
    </row>
    <row r="2" spans="1:11" ht="15.6" x14ac:dyDescent="0.3">
      <c r="A2" s="41" t="str">
        <f>IF(title="&gt; Enter workbook title here","Enter workbook title in Cover sheet",title)</f>
        <v>Fire_S - Consolidated Factor Spreadsheet</v>
      </c>
      <c r="B2" s="42"/>
      <c r="C2" s="42"/>
      <c r="D2" s="42"/>
      <c r="E2" s="42"/>
      <c r="F2" s="42"/>
      <c r="G2" s="42"/>
      <c r="H2" s="42"/>
      <c r="I2" s="42"/>
    </row>
    <row r="3" spans="1:11" ht="15.6" x14ac:dyDescent="0.3">
      <c r="A3" s="43" t="str">
        <f>TABLE_FACTOR_TYPE_1&amp;" - x-"&amp;TABLE_SERIES_NUMBER_1</f>
        <v>Scheme Pays AA - x-612</v>
      </c>
      <c r="B3" s="42"/>
      <c r="C3" s="42"/>
      <c r="D3" s="42"/>
      <c r="E3" s="42"/>
      <c r="F3" s="42"/>
      <c r="G3" s="42"/>
      <c r="H3" s="42"/>
      <c r="I3" s="42"/>
    </row>
    <row r="4" spans="1:11" x14ac:dyDescent="0.25">
      <c r="A4" s="44"/>
    </row>
    <row r="6" spans="1:11" x14ac:dyDescent="0.25">
      <c r="A6" s="75" t="s">
        <v>484</v>
      </c>
      <c r="B6" s="162" t="s">
        <v>485</v>
      </c>
      <c r="C6" s="162"/>
      <c r="D6" s="162"/>
      <c r="E6" s="162"/>
      <c r="F6" s="162"/>
      <c r="G6" s="162"/>
      <c r="H6" s="162"/>
      <c r="I6" s="162"/>
      <c r="J6" s="162"/>
      <c r="K6" s="162"/>
    </row>
    <row r="7" spans="1:11" x14ac:dyDescent="0.25">
      <c r="A7" s="76" t="s">
        <v>486</v>
      </c>
      <c r="B7" s="162" t="s">
        <v>81</v>
      </c>
      <c r="C7" s="162"/>
      <c r="D7" s="162"/>
      <c r="E7" s="162"/>
      <c r="F7" s="162"/>
      <c r="G7" s="162"/>
      <c r="H7" s="162"/>
      <c r="I7" s="162"/>
      <c r="J7" s="162"/>
      <c r="K7" s="162"/>
    </row>
    <row r="8" spans="1:11" x14ac:dyDescent="0.25">
      <c r="A8" s="76" t="s">
        <v>282</v>
      </c>
      <c r="B8" s="162">
        <v>2006</v>
      </c>
      <c r="C8" s="162"/>
      <c r="D8" s="162"/>
      <c r="E8" s="162"/>
      <c r="F8" s="162"/>
      <c r="G8" s="162"/>
      <c r="H8" s="162"/>
      <c r="I8" s="162"/>
      <c r="J8" s="162"/>
      <c r="K8" s="162"/>
    </row>
    <row r="9" spans="1:11" x14ac:dyDescent="0.25">
      <c r="A9" s="76" t="s">
        <v>283</v>
      </c>
      <c r="B9" s="162" t="s">
        <v>419</v>
      </c>
      <c r="C9" s="162"/>
      <c r="D9" s="162"/>
      <c r="E9" s="162"/>
      <c r="F9" s="162"/>
      <c r="G9" s="162"/>
      <c r="H9" s="162"/>
      <c r="I9" s="162"/>
      <c r="J9" s="162"/>
      <c r="K9" s="162"/>
    </row>
    <row r="10" spans="1:11" x14ac:dyDescent="0.25">
      <c r="A10" s="76" t="s">
        <v>6</v>
      </c>
      <c r="B10" s="162" t="s">
        <v>637</v>
      </c>
      <c r="C10" s="162"/>
      <c r="D10" s="162"/>
      <c r="E10" s="162"/>
      <c r="F10" s="162"/>
      <c r="G10" s="162"/>
      <c r="H10" s="162"/>
      <c r="I10" s="162"/>
      <c r="J10" s="162"/>
      <c r="K10" s="162"/>
    </row>
    <row r="11" spans="1:11" x14ac:dyDescent="0.25">
      <c r="A11" s="76" t="s">
        <v>284</v>
      </c>
      <c r="B11" s="162" t="s">
        <v>349</v>
      </c>
      <c r="C11" s="162"/>
      <c r="D11" s="162"/>
      <c r="E11" s="162"/>
      <c r="F11" s="162"/>
      <c r="G11" s="162"/>
      <c r="H11" s="162"/>
      <c r="I11" s="162"/>
      <c r="J11" s="162"/>
      <c r="K11" s="162"/>
    </row>
    <row r="12" spans="1:11" x14ac:dyDescent="0.25">
      <c r="A12" s="76" t="s">
        <v>285</v>
      </c>
      <c r="B12" s="162" t="s">
        <v>360</v>
      </c>
      <c r="C12" s="162"/>
      <c r="D12" s="162"/>
      <c r="E12" s="162"/>
      <c r="F12" s="162"/>
      <c r="G12" s="162"/>
      <c r="H12" s="162"/>
      <c r="I12" s="162"/>
      <c r="J12" s="162"/>
      <c r="K12" s="162"/>
    </row>
    <row r="13" spans="1:11" hidden="1" x14ac:dyDescent="0.25">
      <c r="A13" s="76" t="s">
        <v>493</v>
      </c>
      <c r="B13" s="162">
        <v>1</v>
      </c>
      <c r="C13" s="162"/>
      <c r="D13" s="162"/>
      <c r="E13" s="162"/>
      <c r="F13" s="162"/>
      <c r="G13" s="162"/>
      <c r="H13" s="162"/>
      <c r="I13" s="162"/>
      <c r="J13" s="162"/>
      <c r="K13" s="162"/>
    </row>
    <row r="14" spans="1:11" hidden="1" x14ac:dyDescent="0.25">
      <c r="A14" s="76" t="s">
        <v>287</v>
      </c>
      <c r="B14" s="162">
        <v>612</v>
      </c>
      <c r="C14" s="162"/>
      <c r="D14" s="162"/>
      <c r="E14" s="162"/>
      <c r="F14" s="162"/>
      <c r="G14" s="162"/>
      <c r="H14" s="162"/>
      <c r="I14" s="162"/>
      <c r="J14" s="162"/>
      <c r="K14" s="162"/>
    </row>
    <row r="15" spans="1:11" x14ac:dyDescent="0.25">
      <c r="A15" s="76" t="s">
        <v>496</v>
      </c>
      <c r="B15" s="162" t="s">
        <v>448</v>
      </c>
      <c r="C15" s="162"/>
      <c r="D15" s="162"/>
      <c r="E15" s="162"/>
      <c r="F15" s="162"/>
      <c r="G15" s="162"/>
      <c r="H15" s="162"/>
      <c r="I15" s="162"/>
      <c r="J15" s="162"/>
      <c r="K15" s="162"/>
    </row>
    <row r="16" spans="1:11" x14ac:dyDescent="0.25">
      <c r="A16" s="76" t="s">
        <v>288</v>
      </c>
      <c r="B16" s="162" t="s">
        <v>449</v>
      </c>
      <c r="C16" s="162"/>
      <c r="D16" s="162"/>
      <c r="E16" s="162"/>
      <c r="F16" s="162"/>
      <c r="G16" s="162"/>
      <c r="H16" s="162"/>
      <c r="I16" s="162"/>
      <c r="J16" s="162"/>
      <c r="K16" s="162"/>
    </row>
    <row r="17" spans="1:11" x14ac:dyDescent="0.25">
      <c r="A17" s="76" t="s">
        <v>568</v>
      </c>
      <c r="B17" s="162"/>
      <c r="C17" s="162"/>
      <c r="D17" s="162"/>
      <c r="E17" s="162"/>
      <c r="F17" s="162"/>
      <c r="G17" s="162"/>
      <c r="H17" s="162"/>
      <c r="I17" s="162"/>
      <c r="J17" s="162"/>
      <c r="K17" s="162"/>
    </row>
    <row r="18" spans="1:11" x14ac:dyDescent="0.25">
      <c r="A18" s="76" t="s">
        <v>500</v>
      </c>
      <c r="B18" s="164">
        <v>45135</v>
      </c>
      <c r="C18" s="162"/>
      <c r="D18" s="162"/>
      <c r="E18" s="162"/>
      <c r="F18" s="162"/>
      <c r="G18" s="162"/>
      <c r="H18" s="162"/>
      <c r="I18" s="162"/>
      <c r="J18" s="162"/>
      <c r="K18" s="162"/>
    </row>
    <row r="19" spans="1:11" x14ac:dyDescent="0.25">
      <c r="A19" s="76" t="s">
        <v>290</v>
      </c>
      <c r="B19" s="164">
        <v>45135</v>
      </c>
      <c r="C19" s="162"/>
      <c r="D19" s="162"/>
      <c r="E19" s="162"/>
      <c r="F19" s="162"/>
      <c r="G19" s="162"/>
      <c r="H19" s="162"/>
      <c r="I19" s="162"/>
      <c r="J19" s="162"/>
      <c r="K19" s="162"/>
    </row>
    <row r="20" spans="1:11" x14ac:dyDescent="0.25">
      <c r="A20" s="76" t="s">
        <v>291</v>
      </c>
      <c r="B20" s="162" t="s">
        <v>298</v>
      </c>
      <c r="C20" s="162"/>
      <c r="D20" s="162"/>
      <c r="E20" s="162"/>
      <c r="F20" s="162"/>
      <c r="G20" s="162"/>
      <c r="H20" s="162"/>
      <c r="I20" s="162"/>
      <c r="J20" s="162"/>
      <c r="K20" s="162"/>
    </row>
    <row r="21" spans="1:11" x14ac:dyDescent="0.25">
      <c r="A21" s="150" t="s">
        <v>569</v>
      </c>
      <c r="B21" s="162" t="s">
        <v>297</v>
      </c>
      <c r="C21" s="162"/>
      <c r="D21" s="162"/>
      <c r="E21" s="162"/>
      <c r="F21" s="162"/>
      <c r="G21" s="162"/>
      <c r="H21" s="162"/>
      <c r="I21" s="162"/>
      <c r="J21" s="162"/>
      <c r="K21" s="162"/>
    </row>
    <row r="23" spans="1:11" x14ac:dyDescent="0.25">
      <c r="B23" s="91" t="str">
        <f>HYPERLINK("#'Factor List'!A1","Back to Factor List")</f>
        <v>Back to Factor List</v>
      </c>
    </row>
    <row r="24" spans="1:11" x14ac:dyDescent="0.25">
      <c r="B24" s="91" t="str">
        <f>HYPERLINK("#'Assumptions'!A1","Assumptions")</f>
        <v>Assumptions</v>
      </c>
    </row>
    <row r="26" spans="1:11" x14ac:dyDescent="0.25">
      <c r="A26" s="87" t="s">
        <v>611</v>
      </c>
      <c r="B26" s="87">
        <v>60</v>
      </c>
      <c r="C26" s="87">
        <v>61</v>
      </c>
      <c r="D26" s="87">
        <v>62</v>
      </c>
      <c r="E26" s="87">
        <v>63</v>
      </c>
      <c r="F26" s="87">
        <v>64</v>
      </c>
      <c r="G26" s="87">
        <v>65</v>
      </c>
      <c r="H26" s="87">
        <v>66</v>
      </c>
      <c r="I26" s="87">
        <v>67</v>
      </c>
      <c r="J26" s="87">
        <v>68</v>
      </c>
      <c r="K26" s="87">
        <v>69</v>
      </c>
    </row>
    <row r="27" spans="1:11" x14ac:dyDescent="0.25">
      <c r="A27" s="88">
        <v>0</v>
      </c>
      <c r="B27" s="90">
        <v>1</v>
      </c>
      <c r="C27" s="90">
        <v>1.052</v>
      </c>
      <c r="D27" s="90">
        <v>1.109</v>
      </c>
      <c r="E27" s="90">
        <v>1.171</v>
      </c>
      <c r="F27" s="90">
        <v>1.238</v>
      </c>
      <c r="G27" s="90">
        <v>1.3109999999999999</v>
      </c>
      <c r="H27" s="90">
        <v>1.391</v>
      </c>
      <c r="I27" s="90">
        <v>1.4790000000000001</v>
      </c>
      <c r="J27" s="90">
        <v>1.575</v>
      </c>
      <c r="K27" s="90">
        <v>1.6819999999999999</v>
      </c>
    </row>
    <row r="28" spans="1:11" x14ac:dyDescent="0.25">
      <c r="A28" s="88">
        <v>1</v>
      </c>
      <c r="B28" s="90">
        <v>1.004</v>
      </c>
      <c r="C28" s="90">
        <v>1.0569999999999999</v>
      </c>
      <c r="D28" s="90">
        <v>1.1140000000000001</v>
      </c>
      <c r="E28" s="90">
        <v>1.1759999999999999</v>
      </c>
      <c r="F28" s="90">
        <v>1.244</v>
      </c>
      <c r="G28" s="90">
        <v>1.3180000000000001</v>
      </c>
      <c r="H28" s="90">
        <v>1.399</v>
      </c>
      <c r="I28" s="90">
        <v>1.4870000000000001</v>
      </c>
      <c r="J28" s="90">
        <v>1.5840000000000001</v>
      </c>
      <c r="K28" s="90">
        <v>1.6919999999999999</v>
      </c>
    </row>
    <row r="29" spans="1:11" x14ac:dyDescent="0.25">
      <c r="A29" s="88">
        <v>2</v>
      </c>
      <c r="B29" s="90">
        <v>1.0089999999999999</v>
      </c>
      <c r="C29" s="90">
        <v>1.0620000000000001</v>
      </c>
      <c r="D29" s="90">
        <v>1.119</v>
      </c>
      <c r="E29" s="90">
        <v>1.1819999999999999</v>
      </c>
      <c r="F29" s="90">
        <v>1.25</v>
      </c>
      <c r="G29" s="90">
        <v>1.3240000000000001</v>
      </c>
      <c r="H29" s="90">
        <v>1.4059999999999999</v>
      </c>
      <c r="I29" s="90">
        <v>1.4950000000000001</v>
      </c>
      <c r="J29" s="90">
        <v>1.593</v>
      </c>
      <c r="K29" s="90">
        <v>1.7010000000000001</v>
      </c>
    </row>
    <row r="30" spans="1:11" x14ac:dyDescent="0.25">
      <c r="A30" s="88">
        <v>3</v>
      </c>
      <c r="B30" s="90">
        <v>1.0129999999999999</v>
      </c>
      <c r="C30" s="90">
        <v>1.0660000000000001</v>
      </c>
      <c r="D30" s="90">
        <v>1.1240000000000001</v>
      </c>
      <c r="E30" s="90">
        <v>1.1870000000000001</v>
      </c>
      <c r="F30" s="90">
        <v>1.256</v>
      </c>
      <c r="G30" s="90">
        <v>1.331</v>
      </c>
      <c r="H30" s="90">
        <v>1.413</v>
      </c>
      <c r="I30" s="90">
        <v>1.5029999999999999</v>
      </c>
      <c r="J30" s="90">
        <v>1.6020000000000001</v>
      </c>
      <c r="K30" s="90">
        <v>1.7110000000000001</v>
      </c>
    </row>
    <row r="31" spans="1:11" x14ac:dyDescent="0.25">
      <c r="A31" s="88">
        <v>4</v>
      </c>
      <c r="B31" s="90">
        <v>1.0169999999999999</v>
      </c>
      <c r="C31" s="90">
        <v>1.071</v>
      </c>
      <c r="D31" s="90">
        <v>1.129</v>
      </c>
      <c r="E31" s="90">
        <v>1.1930000000000001</v>
      </c>
      <c r="F31" s="90">
        <v>1.262</v>
      </c>
      <c r="G31" s="90">
        <v>1.3380000000000001</v>
      </c>
      <c r="H31" s="90">
        <v>1.42</v>
      </c>
      <c r="I31" s="90">
        <v>1.5109999999999999</v>
      </c>
      <c r="J31" s="90">
        <v>1.611</v>
      </c>
      <c r="K31" s="90">
        <v>1.7210000000000001</v>
      </c>
    </row>
    <row r="32" spans="1:11" x14ac:dyDescent="0.25">
      <c r="A32" s="88">
        <v>5</v>
      </c>
      <c r="B32" s="90">
        <v>1.022</v>
      </c>
      <c r="C32" s="90">
        <v>1.0760000000000001</v>
      </c>
      <c r="D32" s="90">
        <v>1.135</v>
      </c>
      <c r="E32" s="90">
        <v>1.1990000000000001</v>
      </c>
      <c r="F32" s="90">
        <v>1.268</v>
      </c>
      <c r="G32" s="90">
        <v>1.3440000000000001</v>
      </c>
      <c r="H32" s="90">
        <v>1.4279999999999999</v>
      </c>
      <c r="I32" s="90">
        <v>1.5189999999999999</v>
      </c>
      <c r="J32" s="90">
        <v>1.62</v>
      </c>
      <c r="K32" s="90">
        <v>1.7310000000000001</v>
      </c>
    </row>
    <row r="33" spans="1:11" x14ac:dyDescent="0.25">
      <c r="A33" s="88">
        <v>6</v>
      </c>
      <c r="B33" s="90">
        <v>1.026</v>
      </c>
      <c r="C33" s="90">
        <v>1.081</v>
      </c>
      <c r="D33" s="90">
        <v>1.1399999999999999</v>
      </c>
      <c r="E33" s="90">
        <v>1.204</v>
      </c>
      <c r="F33" s="90">
        <v>1.274</v>
      </c>
      <c r="G33" s="90">
        <v>1.351</v>
      </c>
      <c r="H33" s="90">
        <v>1.4350000000000001</v>
      </c>
      <c r="I33" s="90">
        <v>1.5269999999999999</v>
      </c>
      <c r="J33" s="90">
        <v>1.629</v>
      </c>
      <c r="K33" s="90">
        <v>1.74</v>
      </c>
    </row>
    <row r="34" spans="1:11" x14ac:dyDescent="0.25">
      <c r="A34" s="88">
        <v>7</v>
      </c>
      <c r="B34" s="90">
        <v>1.03</v>
      </c>
      <c r="C34" s="90">
        <v>1.085</v>
      </c>
      <c r="D34" s="90">
        <v>1.145</v>
      </c>
      <c r="E34" s="90">
        <v>1.21</v>
      </c>
      <c r="F34" s="90">
        <v>1.2809999999999999</v>
      </c>
      <c r="G34" s="90">
        <v>1.3580000000000001</v>
      </c>
      <c r="H34" s="90">
        <v>1.4419999999999999</v>
      </c>
      <c r="I34" s="90">
        <v>1.5349999999999999</v>
      </c>
      <c r="J34" s="90">
        <v>1.637</v>
      </c>
      <c r="K34" s="90">
        <v>1.75</v>
      </c>
    </row>
    <row r="35" spans="1:11" x14ac:dyDescent="0.25">
      <c r="A35" s="88">
        <v>8</v>
      </c>
      <c r="B35" s="90">
        <v>1.0349999999999999</v>
      </c>
      <c r="C35" s="90">
        <v>1.0900000000000001</v>
      </c>
      <c r="D35" s="90">
        <v>1.1499999999999999</v>
      </c>
      <c r="E35" s="90">
        <v>1.2150000000000001</v>
      </c>
      <c r="F35" s="90">
        <v>1.2869999999999999</v>
      </c>
      <c r="G35" s="90">
        <v>1.365</v>
      </c>
      <c r="H35" s="90">
        <v>1.45</v>
      </c>
      <c r="I35" s="90">
        <v>1.5429999999999999</v>
      </c>
      <c r="J35" s="90">
        <v>1.6459999999999999</v>
      </c>
      <c r="K35" s="90">
        <v>1.76</v>
      </c>
    </row>
    <row r="36" spans="1:11" x14ac:dyDescent="0.25">
      <c r="A36" s="88">
        <v>9</v>
      </c>
      <c r="B36" s="90">
        <v>1.0389999999999999</v>
      </c>
      <c r="C36" s="90">
        <v>1.095</v>
      </c>
      <c r="D36" s="90">
        <v>1.155</v>
      </c>
      <c r="E36" s="90">
        <v>1.2210000000000001</v>
      </c>
      <c r="F36" s="90">
        <v>1.2929999999999999</v>
      </c>
      <c r="G36" s="90">
        <v>1.371</v>
      </c>
      <c r="H36" s="90">
        <v>1.4570000000000001</v>
      </c>
      <c r="I36" s="90">
        <v>1.5509999999999999</v>
      </c>
      <c r="J36" s="90">
        <v>1.655</v>
      </c>
      <c r="K36" s="90">
        <v>1.77</v>
      </c>
    </row>
    <row r="37" spans="1:11" x14ac:dyDescent="0.25">
      <c r="A37" s="88">
        <v>10</v>
      </c>
      <c r="B37" s="90">
        <v>1.044</v>
      </c>
      <c r="C37" s="90">
        <v>1.099</v>
      </c>
      <c r="D37" s="90">
        <v>1.1599999999999999</v>
      </c>
      <c r="E37" s="90">
        <v>1.2270000000000001</v>
      </c>
      <c r="F37" s="90">
        <v>1.2989999999999999</v>
      </c>
      <c r="G37" s="90">
        <v>1.3779999999999999</v>
      </c>
      <c r="H37" s="90">
        <v>1.464</v>
      </c>
      <c r="I37" s="90">
        <v>1.5589999999999999</v>
      </c>
      <c r="J37" s="90">
        <v>1.6639999999999999</v>
      </c>
      <c r="K37" s="90">
        <v>1.78</v>
      </c>
    </row>
    <row r="38" spans="1:11" x14ac:dyDescent="0.25">
      <c r="A38" s="88">
        <v>11</v>
      </c>
      <c r="B38" s="90">
        <v>1.048</v>
      </c>
      <c r="C38" s="90">
        <v>1.1040000000000001</v>
      </c>
      <c r="D38" s="90">
        <v>1.165</v>
      </c>
      <c r="E38" s="90">
        <v>1.232</v>
      </c>
      <c r="F38" s="90">
        <v>1.3049999999999999</v>
      </c>
      <c r="G38" s="90">
        <v>1.385</v>
      </c>
      <c r="H38" s="90">
        <v>1.472</v>
      </c>
      <c r="I38" s="90">
        <v>1.5669999999999999</v>
      </c>
      <c r="J38" s="90">
        <v>1.673</v>
      </c>
      <c r="K38" s="90">
        <v>1.7889999999999999</v>
      </c>
    </row>
    <row r="39" spans="1:11" x14ac:dyDescent="0.25">
      <c r="A39"/>
      <c r="B39"/>
    </row>
    <row r="40" spans="1:11" x14ac:dyDescent="0.25">
      <c r="A40"/>
      <c r="B40"/>
    </row>
    <row r="41" spans="1:11" x14ac:dyDescent="0.25">
      <c r="A41"/>
      <c r="B41"/>
    </row>
    <row r="42" spans="1:11" x14ac:dyDescent="0.25">
      <c r="A42"/>
      <c r="B42"/>
    </row>
    <row r="43" spans="1:11" x14ac:dyDescent="0.25">
      <c r="A43"/>
      <c r="B43"/>
    </row>
    <row r="44" spans="1:11" ht="39.6" customHeight="1" x14ac:dyDescent="0.25">
      <c r="A44"/>
      <c r="B44"/>
    </row>
    <row r="45" spans="1:11" x14ac:dyDescent="0.25">
      <c r="A45"/>
      <c r="B45"/>
    </row>
    <row r="46" spans="1:11" ht="27.6" customHeight="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vnoX7EHtvenChcgOuAf6fjHCnSwy5xKLxGoGLMUTR1O4nNg8i/eEnhrlfCsbdCcDVkEYZzV3vyjY2rU4vLcRmw==" saltValue="qzpNU1Pxm+cmmoVYUBFoGg==" spinCount="100000" sheet="1" objects="1" scenarios="1"/>
  <conditionalFormatting sqref="A6:A21">
    <cfRule type="expression" dxfId="125" priority="3" stopIfTrue="1">
      <formula>MOD(ROW(),2)=0</formula>
    </cfRule>
    <cfRule type="expression" dxfId="124" priority="4" stopIfTrue="1">
      <formula>MOD(ROW(),2)&lt;&gt;0</formula>
    </cfRule>
  </conditionalFormatting>
  <conditionalFormatting sqref="A26:A38">
    <cfRule type="expression" dxfId="123" priority="7" stopIfTrue="1">
      <formula>MOD(ROW(),2)=0</formula>
    </cfRule>
    <cfRule type="expression" dxfId="122" priority="8" stopIfTrue="1">
      <formula>MOD(ROW(),2)&lt;&gt;0</formula>
    </cfRule>
  </conditionalFormatting>
  <conditionalFormatting sqref="B17:B21">
    <cfRule type="expression" dxfId="121" priority="13" stopIfTrue="1">
      <formula>MOD(ROW(),2)=0</formula>
    </cfRule>
    <cfRule type="expression" dxfId="120" priority="14" stopIfTrue="1">
      <formula>MOD(ROW(),2)&lt;&gt;0</formula>
    </cfRule>
  </conditionalFormatting>
  <conditionalFormatting sqref="B6:K21 B26:K38">
    <cfRule type="expression" dxfId="119" priority="21" stopIfTrue="1">
      <formula>MOD(ROW(),2)=0</formula>
    </cfRule>
    <cfRule type="expression" dxfId="118" priority="2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DC6EB-2510-4CA6-A0C6-69C1344153E7}">
  <sheetPr codeName="Sheet96">
    <tabColor theme="4"/>
  </sheetPr>
  <dimension ref="A1:B793"/>
  <sheetViews>
    <sheetView showGridLines="0" topLeftCell="A17" zoomScale="63" zoomScaleNormal="85" workbookViewId="0">
      <selection activeCell="B6" sqref="B6:D21"/>
    </sheetView>
  </sheetViews>
  <sheetFormatPr defaultColWidth="8.88671875" defaultRowHeight="13.2" x14ac:dyDescent="0.25"/>
  <cols>
    <col min="1" max="1" width="56.109375" style="27" customWidth="1"/>
    <col min="2" max="2" width="84.5546875" style="27" customWidth="1"/>
    <col min="3" max="12" width="15.109375" style="27" customWidth="1"/>
    <col min="13" max="13" width="5.5546875" style="27" customWidth="1"/>
    <col min="14" max="24" width="19.109375" style="27" customWidth="1"/>
    <col min="25" max="25" width="6.44140625" style="27" customWidth="1"/>
    <col min="26" max="26" width="19.109375" style="27" customWidth="1"/>
    <col min="27" max="27" width="18.5546875" style="27" customWidth="1"/>
    <col min="28" max="28" width="25.109375" style="27" customWidth="1"/>
    <col min="29" max="29" width="27" style="27" customWidth="1"/>
    <col min="30" max="30" width="39.44140625" style="27" customWidth="1"/>
    <col min="31" max="31" width="15.44140625" style="27" customWidth="1"/>
    <col min="32" max="32" width="11.44140625" style="27" customWidth="1"/>
    <col min="33" max="33" width="15.44140625" style="27" customWidth="1"/>
    <col min="34" max="34" width="15.109375" style="27" customWidth="1"/>
    <col min="35" max="35" width="20" style="27" customWidth="1"/>
    <col min="36" max="36" width="15.109375" style="27" customWidth="1"/>
    <col min="37" max="37" width="16.88671875" style="27" customWidth="1"/>
    <col min="38" max="38" width="28.88671875" style="27" customWidth="1"/>
    <col min="39" max="39" width="20" style="27" customWidth="1"/>
    <col min="40" max="40" width="20.88671875" style="27" customWidth="1"/>
    <col min="41" max="41" width="48.88671875" style="27" customWidth="1"/>
    <col min="42" max="16384" width="8.88671875" style="27"/>
  </cols>
  <sheetData>
    <row r="1" spans="1:2" ht="21" x14ac:dyDescent="0.4">
      <c r="A1" s="39" t="s">
        <v>0</v>
      </c>
      <c r="B1" s="40"/>
    </row>
    <row r="2" spans="1:2" ht="15.6" x14ac:dyDescent="0.3">
      <c r="A2" s="41" t="str">
        <f>IF(new_title_3="&gt; Enter workbook title here","Enter workbook title in Cover sheet",new_title_3)</f>
        <v>Fire_S - Consolidated Factor Spreadsheet</v>
      </c>
      <c r="B2" s="42"/>
    </row>
    <row r="3" spans="1:2" ht="15.6" x14ac:dyDescent="0.3">
      <c r="A3" s="43" t="s">
        <v>13</v>
      </c>
      <c r="B3" s="42"/>
    </row>
    <row r="4" spans="1:2" x14ac:dyDescent="0.25">
      <c r="A4" s="44"/>
    </row>
    <row r="5" spans="1:2" x14ac:dyDescent="0.25">
      <c r="A5" s="129"/>
      <c r="B5" s="129"/>
    </row>
    <row r="6" spans="1:2" x14ac:dyDescent="0.25">
      <c r="A6" s="130"/>
      <c r="B6" s="129"/>
    </row>
    <row r="8" spans="1:2" ht="15.6" x14ac:dyDescent="0.3">
      <c r="A8" s="131" t="s">
        <v>505</v>
      </c>
      <c r="B8" s="132" t="s">
        <v>297</v>
      </c>
    </row>
    <row r="9" spans="1:2" ht="15.6" x14ac:dyDescent="0.3">
      <c r="A9" s="131"/>
      <c r="B9" s="132"/>
    </row>
    <row r="10" spans="1:2" ht="15.6" x14ac:dyDescent="0.3">
      <c r="A10" s="132" t="s">
        <v>506</v>
      </c>
      <c r="B10" s="133"/>
    </row>
    <row r="11" spans="1:2" ht="15" x14ac:dyDescent="0.25">
      <c r="A11" s="133" t="s">
        <v>507</v>
      </c>
      <c r="B11" s="133">
        <v>3.7339999999999998E-2</v>
      </c>
    </row>
    <row r="12" spans="1:2" ht="15" x14ac:dyDescent="0.25">
      <c r="A12" s="134" t="s">
        <v>508</v>
      </c>
      <c r="B12" s="134">
        <v>0.02</v>
      </c>
    </row>
    <row r="13" spans="1:2" ht="25.5" customHeight="1" x14ac:dyDescent="0.25">
      <c r="A13" s="135" t="s">
        <v>509</v>
      </c>
      <c r="B13" s="134" t="s">
        <v>510</v>
      </c>
    </row>
    <row r="14" spans="1:2" ht="15" x14ac:dyDescent="0.25">
      <c r="A14" s="134" t="s">
        <v>511</v>
      </c>
      <c r="B14" s="134" t="s">
        <v>510</v>
      </c>
    </row>
    <row r="15" spans="1:2" ht="15" x14ac:dyDescent="0.25">
      <c r="A15" s="133" t="s">
        <v>512</v>
      </c>
      <c r="B15" s="134">
        <v>1.4E-2</v>
      </c>
    </row>
    <row r="16" spans="1:2" ht="15" x14ac:dyDescent="0.25">
      <c r="A16" s="134" t="s">
        <v>513</v>
      </c>
      <c r="B16" s="134">
        <v>3.7999999999999999E-2</v>
      </c>
    </row>
    <row r="17" spans="1:2" ht="15" x14ac:dyDescent="0.25">
      <c r="A17" s="134" t="s">
        <v>514</v>
      </c>
      <c r="B17" s="134">
        <v>3.7999999999999999E-2</v>
      </c>
    </row>
    <row r="18" spans="1:2" ht="15" x14ac:dyDescent="0.25">
      <c r="A18" s="134" t="s">
        <v>515</v>
      </c>
      <c r="B18" s="134">
        <v>1.7000000000000001E-2</v>
      </c>
    </row>
    <row r="19" spans="1:2" ht="15" x14ac:dyDescent="0.25">
      <c r="A19" s="133" t="s">
        <v>516</v>
      </c>
      <c r="B19" s="133">
        <v>2.3019999999999999E-2</v>
      </c>
    </row>
    <row r="20" spans="1:2" ht="15" x14ac:dyDescent="0.25">
      <c r="A20" s="134" t="s">
        <v>517</v>
      </c>
      <c r="B20" s="134" t="s">
        <v>518</v>
      </c>
    </row>
    <row r="21" spans="1:2" ht="15" x14ac:dyDescent="0.25">
      <c r="A21" s="134" t="s">
        <v>519</v>
      </c>
      <c r="B21" s="136" t="s">
        <v>520</v>
      </c>
    </row>
    <row r="22" spans="1:2" ht="15" x14ac:dyDescent="0.25">
      <c r="A22" s="134"/>
      <c r="B22" s="136"/>
    </row>
    <row r="23" spans="1:2" ht="15.6" x14ac:dyDescent="0.3">
      <c r="A23" s="132" t="s">
        <v>521</v>
      </c>
      <c r="B23" s="133"/>
    </row>
    <row r="24" spans="1:2" ht="15" x14ac:dyDescent="0.25">
      <c r="A24" s="134" t="s">
        <v>522</v>
      </c>
      <c r="B24" s="134" t="s">
        <v>523</v>
      </c>
    </row>
    <row r="25" spans="1:2" ht="15" x14ac:dyDescent="0.25">
      <c r="A25" s="134" t="s">
        <v>524</v>
      </c>
      <c r="B25" s="134" t="s">
        <v>525</v>
      </c>
    </row>
    <row r="26" spans="1:2" ht="15" x14ac:dyDescent="0.25">
      <c r="A26" s="134" t="s">
        <v>526</v>
      </c>
      <c r="B26" s="134" t="s">
        <v>523</v>
      </c>
    </row>
    <row r="27" spans="1:2" ht="15" x14ac:dyDescent="0.25">
      <c r="A27" s="133" t="s">
        <v>527</v>
      </c>
      <c r="B27" s="134" t="s">
        <v>525</v>
      </c>
    </row>
    <row r="28" spans="1:2" ht="15" x14ac:dyDescent="0.25">
      <c r="A28" s="134" t="s">
        <v>528</v>
      </c>
      <c r="B28" s="134" t="s">
        <v>523</v>
      </c>
    </row>
    <row r="29" spans="1:2" ht="15" x14ac:dyDescent="0.25">
      <c r="A29" s="134" t="s">
        <v>529</v>
      </c>
      <c r="B29" s="134" t="s">
        <v>530</v>
      </c>
    </row>
    <row r="30" spans="1:2" ht="15" x14ac:dyDescent="0.25">
      <c r="A30" s="134" t="s">
        <v>531</v>
      </c>
      <c r="B30" s="134" t="s">
        <v>532</v>
      </c>
    </row>
    <row r="31" spans="1:2" ht="15" x14ac:dyDescent="0.25">
      <c r="A31" s="134" t="s">
        <v>533</v>
      </c>
      <c r="B31" s="149">
        <v>2024</v>
      </c>
    </row>
    <row r="32" spans="1:2" ht="15" x14ac:dyDescent="0.25">
      <c r="A32" s="134" t="s">
        <v>534</v>
      </c>
      <c r="B32" s="134" t="s">
        <v>518</v>
      </c>
    </row>
    <row r="33" spans="1:2" ht="15" x14ac:dyDescent="0.25">
      <c r="A33" s="134"/>
      <c r="B33" s="134"/>
    </row>
    <row r="34" spans="1:2" ht="15.6" x14ac:dyDescent="0.3">
      <c r="A34" s="137" t="s">
        <v>535</v>
      </c>
      <c r="B34" s="134"/>
    </row>
    <row r="35" spans="1:2" ht="15" x14ac:dyDescent="0.25">
      <c r="A35" s="138" t="s">
        <v>536</v>
      </c>
      <c r="B35" s="139">
        <v>0.95</v>
      </c>
    </row>
    <row r="36" spans="1:2" ht="15" x14ac:dyDescent="0.25">
      <c r="A36" s="138" t="s">
        <v>537</v>
      </c>
      <c r="B36" s="138">
        <v>0.05</v>
      </c>
    </row>
    <row r="37" spans="1:2" ht="30" x14ac:dyDescent="0.25">
      <c r="A37" s="133" t="s">
        <v>538</v>
      </c>
      <c r="B37" s="133" t="s">
        <v>539</v>
      </c>
    </row>
    <row r="38" spans="1:2" ht="30" x14ac:dyDescent="0.25">
      <c r="A38" s="134" t="s">
        <v>540</v>
      </c>
      <c r="B38" s="134" t="s">
        <v>541</v>
      </c>
    </row>
    <row r="39" spans="1:2" ht="45" x14ac:dyDescent="0.25">
      <c r="A39" s="136" t="s">
        <v>542</v>
      </c>
      <c r="B39" s="136" t="s">
        <v>543</v>
      </c>
    </row>
    <row r="40" spans="1:2" ht="15" x14ac:dyDescent="0.25">
      <c r="A40" s="136" t="s">
        <v>544</v>
      </c>
      <c r="B40" s="136" t="s">
        <v>518</v>
      </c>
    </row>
    <row r="41" spans="1:2" ht="15" x14ac:dyDescent="0.25">
      <c r="A41" s="140" t="s">
        <v>545</v>
      </c>
      <c r="B41" s="140" t="s">
        <v>518</v>
      </c>
    </row>
    <row r="42" spans="1:2" ht="15" x14ac:dyDescent="0.25">
      <c r="A42" s="136" t="s">
        <v>546</v>
      </c>
      <c r="B42" s="136" t="s">
        <v>518</v>
      </c>
    </row>
    <row r="43" spans="1:2" ht="15" x14ac:dyDescent="0.25">
      <c r="A43" s="136" t="s">
        <v>547</v>
      </c>
      <c r="B43" s="136" t="s">
        <v>548</v>
      </c>
    </row>
    <row r="44" spans="1:2" ht="15" x14ac:dyDescent="0.25">
      <c r="A44" s="136" t="s">
        <v>549</v>
      </c>
      <c r="B44" s="136" t="s">
        <v>550</v>
      </c>
    </row>
    <row r="45" spans="1:2" ht="15" x14ac:dyDescent="0.25">
      <c r="A45" s="140" t="s">
        <v>551</v>
      </c>
      <c r="B45" s="140" t="s">
        <v>518</v>
      </c>
    </row>
    <row r="46" spans="1:2" ht="15" x14ac:dyDescent="0.25">
      <c r="A46" s="136" t="s">
        <v>552</v>
      </c>
      <c r="B46" s="136" t="s">
        <v>550</v>
      </c>
    </row>
    <row r="47" spans="1:2" ht="15" x14ac:dyDescent="0.25">
      <c r="A47" s="136" t="s">
        <v>553</v>
      </c>
      <c r="B47" s="136" t="s">
        <v>518</v>
      </c>
    </row>
    <row r="48" spans="1:2" ht="30" x14ac:dyDescent="0.25">
      <c r="A48" s="136" t="s">
        <v>554</v>
      </c>
      <c r="B48" s="136" t="s">
        <v>555</v>
      </c>
    </row>
    <row r="49" spans="1:2" ht="15" x14ac:dyDescent="0.25">
      <c r="A49" s="140" t="s">
        <v>556</v>
      </c>
      <c r="B49" s="141" t="s">
        <v>557</v>
      </c>
    </row>
    <row r="50" spans="1:2" ht="75" x14ac:dyDescent="0.25">
      <c r="A50" s="134" t="s">
        <v>558</v>
      </c>
      <c r="B50" s="134" t="s">
        <v>559</v>
      </c>
    </row>
    <row r="51" spans="1:2" ht="15" x14ac:dyDescent="0.25">
      <c r="A51" s="134"/>
      <c r="B51" s="134"/>
    </row>
    <row r="52" spans="1:2" ht="15.6" x14ac:dyDescent="0.3">
      <c r="A52" s="137" t="s">
        <v>560</v>
      </c>
      <c r="B52" s="134"/>
    </row>
    <row r="53" spans="1:2" ht="15" x14ac:dyDescent="0.25">
      <c r="A53" s="133" t="s">
        <v>561</v>
      </c>
      <c r="B53" s="134" t="s">
        <v>562</v>
      </c>
    </row>
    <row r="54" spans="1:2" ht="15" x14ac:dyDescent="0.25">
      <c r="A54" s="133" t="s">
        <v>563</v>
      </c>
      <c r="B54" s="134" t="s">
        <v>564</v>
      </c>
    </row>
    <row r="55" spans="1:2" ht="15" x14ac:dyDescent="0.25">
      <c r="A55" s="133" t="s">
        <v>565</v>
      </c>
      <c r="B55" s="134" t="s">
        <v>566</v>
      </c>
    </row>
    <row r="56" spans="1:2" ht="15.6" x14ac:dyDescent="0.3">
      <c r="A56" s="142"/>
      <c r="B56" s="142"/>
    </row>
    <row r="57" spans="1:2" ht="15.6" x14ac:dyDescent="0.3">
      <c r="A57" s="142"/>
      <c r="B57" s="142"/>
    </row>
    <row r="58" spans="1:2" ht="15.6" x14ac:dyDescent="0.3">
      <c r="A58" s="142"/>
      <c r="B58" s="142"/>
    </row>
    <row r="59" spans="1:2" x14ac:dyDescent="0.25">
      <c r="A59" s="143"/>
      <c r="B59" s="143"/>
    </row>
    <row r="60" spans="1:2" x14ac:dyDescent="0.25">
      <c r="A60" s="143"/>
      <c r="B60" s="143"/>
    </row>
    <row r="61" spans="1:2" x14ac:dyDescent="0.25">
      <c r="A61" s="143"/>
      <c r="B61" s="143"/>
    </row>
    <row r="62" spans="1:2" x14ac:dyDescent="0.25">
      <c r="A62" s="143"/>
      <c r="B62" s="143"/>
    </row>
    <row r="63" spans="1:2" x14ac:dyDescent="0.25">
      <c r="A63" s="143"/>
      <c r="B63" s="143"/>
    </row>
    <row r="64" spans="1:2" x14ac:dyDescent="0.25">
      <c r="A64" s="143"/>
      <c r="B64" s="143"/>
    </row>
    <row r="65" spans="1:2" x14ac:dyDescent="0.25">
      <c r="A65" s="143"/>
      <c r="B65" s="143"/>
    </row>
    <row r="66" spans="1:2" x14ac:dyDescent="0.25">
      <c r="A66" s="129"/>
      <c r="B66" s="129"/>
    </row>
    <row r="67" spans="1:2" x14ac:dyDescent="0.25">
      <c r="A67" s="129"/>
      <c r="B67" s="129"/>
    </row>
    <row r="68" spans="1:2" x14ac:dyDescent="0.25">
      <c r="A68" s="129"/>
      <c r="B68" s="129"/>
    </row>
    <row r="69" spans="1:2" x14ac:dyDescent="0.25">
      <c r="A69" s="129"/>
      <c r="B69" s="129"/>
    </row>
    <row r="70" spans="1:2" x14ac:dyDescent="0.25">
      <c r="A70" s="129"/>
      <c r="B70" s="129"/>
    </row>
    <row r="71" spans="1:2" x14ac:dyDescent="0.25">
      <c r="A71" s="129"/>
      <c r="B71" s="129"/>
    </row>
    <row r="72" spans="1:2" x14ac:dyDescent="0.25">
      <c r="A72" s="129"/>
      <c r="B72" s="129"/>
    </row>
    <row r="73" spans="1:2" x14ac:dyDescent="0.25">
      <c r="A73" s="129"/>
      <c r="B73" s="129"/>
    </row>
    <row r="74" spans="1:2" x14ac:dyDescent="0.25">
      <c r="A74" s="129"/>
      <c r="B74" s="129"/>
    </row>
    <row r="75" spans="1:2" x14ac:dyDescent="0.25">
      <c r="A75" s="129"/>
      <c r="B75" s="129"/>
    </row>
    <row r="76" spans="1:2" x14ac:dyDescent="0.25">
      <c r="A76" s="129"/>
      <c r="B76" s="129"/>
    </row>
    <row r="77" spans="1:2" x14ac:dyDescent="0.25">
      <c r="A77" s="129"/>
      <c r="B77" s="129"/>
    </row>
    <row r="78" spans="1:2" x14ac:dyDescent="0.25">
      <c r="A78" s="129"/>
      <c r="B78" s="129"/>
    </row>
    <row r="79" spans="1:2" x14ac:dyDescent="0.25">
      <c r="A79" s="129"/>
      <c r="B79" s="129"/>
    </row>
    <row r="80" spans="1:2" x14ac:dyDescent="0.25">
      <c r="A80" s="129"/>
      <c r="B80" s="129"/>
    </row>
    <row r="81" spans="1:2" x14ac:dyDescent="0.25">
      <c r="A81" s="129"/>
      <c r="B81" s="129"/>
    </row>
    <row r="82" spans="1:2" x14ac:dyDescent="0.25">
      <c r="A82" s="129"/>
      <c r="B82" s="129"/>
    </row>
    <row r="83" spans="1:2" x14ac:dyDescent="0.25">
      <c r="A83" s="129"/>
      <c r="B83" s="129"/>
    </row>
    <row r="84" spans="1:2" x14ac:dyDescent="0.25">
      <c r="A84" s="129"/>
      <c r="B84" s="129"/>
    </row>
    <row r="85" spans="1:2" x14ac:dyDescent="0.25">
      <c r="A85" s="129"/>
      <c r="B85" s="129"/>
    </row>
    <row r="86" spans="1:2" x14ac:dyDescent="0.25">
      <c r="A86" s="129"/>
      <c r="B86" s="129"/>
    </row>
    <row r="87" spans="1:2" x14ac:dyDescent="0.25">
      <c r="A87" s="129"/>
      <c r="B87" s="129"/>
    </row>
    <row r="88" spans="1:2" x14ac:dyDescent="0.25">
      <c r="A88" s="129"/>
      <c r="B88" s="129"/>
    </row>
    <row r="89" spans="1:2" x14ac:dyDescent="0.25">
      <c r="A89" s="129"/>
      <c r="B89" s="129"/>
    </row>
    <row r="90" spans="1:2" x14ac:dyDescent="0.25">
      <c r="A90" s="129"/>
      <c r="B90" s="129"/>
    </row>
    <row r="91" spans="1:2" x14ac:dyDescent="0.25">
      <c r="A91" s="129"/>
      <c r="B91" s="129"/>
    </row>
    <row r="92" spans="1:2" x14ac:dyDescent="0.25">
      <c r="A92" s="129"/>
      <c r="B92" s="129"/>
    </row>
    <row r="93" spans="1:2" x14ac:dyDescent="0.25">
      <c r="A93" s="129"/>
      <c r="B93" s="129"/>
    </row>
    <row r="94" spans="1:2" x14ac:dyDescent="0.25">
      <c r="A94" s="129"/>
      <c r="B94" s="129"/>
    </row>
    <row r="95" spans="1:2" x14ac:dyDescent="0.25">
      <c r="A95" s="129"/>
      <c r="B95" s="129"/>
    </row>
    <row r="96" spans="1:2" x14ac:dyDescent="0.25">
      <c r="A96" s="129"/>
      <c r="B96" s="129"/>
    </row>
    <row r="97" spans="1:2" x14ac:dyDescent="0.25">
      <c r="A97" s="129"/>
      <c r="B97" s="129"/>
    </row>
    <row r="98" spans="1:2" x14ac:dyDescent="0.25">
      <c r="A98" s="129"/>
      <c r="B98" s="129"/>
    </row>
    <row r="99" spans="1:2" x14ac:dyDescent="0.25">
      <c r="A99" s="129"/>
      <c r="B99" s="129"/>
    </row>
    <row r="100" spans="1:2" x14ac:dyDescent="0.25">
      <c r="A100" s="129"/>
      <c r="B100" s="129"/>
    </row>
    <row r="101" spans="1:2" x14ac:dyDescent="0.25">
      <c r="A101" s="129"/>
      <c r="B101" s="129"/>
    </row>
    <row r="102" spans="1:2" x14ac:dyDescent="0.25">
      <c r="A102" s="129"/>
      <c r="B102" s="129"/>
    </row>
    <row r="103" spans="1:2" x14ac:dyDescent="0.25">
      <c r="A103" s="129"/>
      <c r="B103" s="129"/>
    </row>
    <row r="104" spans="1:2" x14ac:dyDescent="0.25">
      <c r="A104" s="129"/>
      <c r="B104" s="129"/>
    </row>
    <row r="105" spans="1:2" x14ac:dyDescent="0.25">
      <c r="A105" s="129"/>
      <c r="B105" s="129"/>
    </row>
    <row r="106" spans="1:2" x14ac:dyDescent="0.25">
      <c r="A106" s="129"/>
      <c r="B106" s="129"/>
    </row>
    <row r="107" spans="1:2" x14ac:dyDescent="0.25">
      <c r="A107" s="129"/>
      <c r="B107" s="129"/>
    </row>
    <row r="108" spans="1:2" x14ac:dyDescent="0.25">
      <c r="A108" s="129"/>
      <c r="B108" s="129"/>
    </row>
    <row r="109" spans="1:2" x14ac:dyDescent="0.25">
      <c r="A109" s="129"/>
      <c r="B109" s="129"/>
    </row>
    <row r="110" spans="1:2" x14ac:dyDescent="0.25">
      <c r="A110" s="129"/>
      <c r="B110" s="129"/>
    </row>
    <row r="111" spans="1:2" x14ac:dyDescent="0.25">
      <c r="A111" s="129"/>
      <c r="B111" s="129"/>
    </row>
    <row r="112" spans="1:2" x14ac:dyDescent="0.25">
      <c r="A112" s="129"/>
      <c r="B112" s="129"/>
    </row>
    <row r="113" spans="1:2" x14ac:dyDescent="0.25">
      <c r="A113" s="129"/>
      <c r="B113" s="129"/>
    </row>
    <row r="114" spans="1:2" x14ac:dyDescent="0.25">
      <c r="A114" s="129"/>
      <c r="B114" s="129"/>
    </row>
    <row r="115" spans="1:2" x14ac:dyDescent="0.25">
      <c r="A115" s="129"/>
      <c r="B115" s="129"/>
    </row>
    <row r="116" spans="1:2" x14ac:dyDescent="0.25">
      <c r="A116" s="129"/>
      <c r="B116" s="129"/>
    </row>
    <row r="117" spans="1:2" x14ac:dyDescent="0.25">
      <c r="A117" s="129"/>
      <c r="B117" s="129"/>
    </row>
    <row r="118" spans="1:2" x14ac:dyDescent="0.25">
      <c r="A118" s="129"/>
      <c r="B118" s="129"/>
    </row>
    <row r="119" spans="1:2" x14ac:dyDescent="0.25">
      <c r="A119" s="129"/>
      <c r="B119" s="129"/>
    </row>
    <row r="120" spans="1:2" x14ac:dyDescent="0.25">
      <c r="A120" s="129"/>
      <c r="B120" s="129"/>
    </row>
    <row r="121" spans="1:2" x14ac:dyDescent="0.25">
      <c r="A121" s="129"/>
      <c r="B121" s="129"/>
    </row>
    <row r="122" spans="1:2" x14ac:dyDescent="0.25">
      <c r="A122" s="129"/>
      <c r="B122" s="129"/>
    </row>
    <row r="123" spans="1:2" x14ac:dyDescent="0.25">
      <c r="A123" s="129"/>
      <c r="B123" s="129"/>
    </row>
    <row r="124" spans="1:2" x14ac:dyDescent="0.25">
      <c r="A124" s="129"/>
      <c r="B124" s="129"/>
    </row>
    <row r="125" spans="1:2" x14ac:dyDescent="0.25">
      <c r="A125" s="129"/>
      <c r="B125" s="129"/>
    </row>
    <row r="126" spans="1:2" x14ac:dyDescent="0.25">
      <c r="A126" s="129"/>
      <c r="B126" s="129"/>
    </row>
    <row r="127" spans="1:2" x14ac:dyDescent="0.25">
      <c r="A127" s="129"/>
      <c r="B127" s="129"/>
    </row>
    <row r="128" spans="1:2" x14ac:dyDescent="0.25">
      <c r="A128" s="129"/>
      <c r="B128" s="129"/>
    </row>
    <row r="129" spans="1:2" x14ac:dyDescent="0.25">
      <c r="A129" s="129"/>
      <c r="B129" s="129"/>
    </row>
    <row r="130" spans="1:2" x14ac:dyDescent="0.25">
      <c r="A130" s="129"/>
      <c r="B130" s="129"/>
    </row>
    <row r="131" spans="1:2" x14ac:dyDescent="0.25">
      <c r="A131" s="129"/>
      <c r="B131" s="129"/>
    </row>
    <row r="132" spans="1:2" x14ac:dyDescent="0.25">
      <c r="A132" s="129"/>
      <c r="B132" s="129"/>
    </row>
    <row r="133" spans="1:2" x14ac:dyDescent="0.25">
      <c r="A133" s="129"/>
      <c r="B133" s="129"/>
    </row>
    <row r="134" spans="1:2" x14ac:dyDescent="0.25">
      <c r="A134" s="129"/>
      <c r="B134" s="129"/>
    </row>
    <row r="135" spans="1:2" x14ac:dyDescent="0.25">
      <c r="A135" s="129"/>
      <c r="B135" s="129"/>
    </row>
    <row r="136" spans="1:2" x14ac:dyDescent="0.25">
      <c r="A136" s="129"/>
      <c r="B136" s="129"/>
    </row>
    <row r="137" spans="1:2" x14ac:dyDescent="0.25">
      <c r="A137" s="129"/>
      <c r="B137" s="129"/>
    </row>
    <row r="138" spans="1:2" x14ac:dyDescent="0.25">
      <c r="A138" s="129"/>
      <c r="B138" s="129"/>
    </row>
    <row r="139" spans="1:2" x14ac:dyDescent="0.25">
      <c r="A139" s="129"/>
      <c r="B139" s="129"/>
    </row>
    <row r="140" spans="1:2" x14ac:dyDescent="0.25">
      <c r="A140" s="129"/>
      <c r="B140" s="129"/>
    </row>
    <row r="141" spans="1:2" x14ac:dyDescent="0.25">
      <c r="A141" s="129"/>
      <c r="B141" s="129"/>
    </row>
    <row r="142" spans="1:2" x14ac:dyDescent="0.25">
      <c r="A142" s="129"/>
      <c r="B142" s="129"/>
    </row>
    <row r="143" spans="1:2" x14ac:dyDescent="0.25">
      <c r="A143" s="129"/>
      <c r="B143" s="129"/>
    </row>
    <row r="144" spans="1:2" x14ac:dyDescent="0.25">
      <c r="A144" s="129"/>
      <c r="B144" s="129"/>
    </row>
    <row r="145" spans="1:2" x14ac:dyDescent="0.25">
      <c r="A145" s="129"/>
      <c r="B145" s="129"/>
    </row>
    <row r="146" spans="1:2" x14ac:dyDescent="0.25">
      <c r="A146" s="129"/>
      <c r="B146" s="129"/>
    </row>
    <row r="147" spans="1:2" x14ac:dyDescent="0.25">
      <c r="A147" s="129"/>
      <c r="B147" s="129"/>
    </row>
    <row r="148" spans="1:2" x14ac:dyDescent="0.25">
      <c r="A148" s="129"/>
      <c r="B148" s="129"/>
    </row>
    <row r="149" spans="1:2" x14ac:dyDescent="0.25">
      <c r="A149" s="129"/>
      <c r="B149" s="129"/>
    </row>
    <row r="150" spans="1:2" x14ac:dyDescent="0.25">
      <c r="A150" s="129"/>
      <c r="B150" s="129"/>
    </row>
    <row r="151" spans="1:2" x14ac:dyDescent="0.25">
      <c r="A151" s="129"/>
      <c r="B151" s="129"/>
    </row>
    <row r="152" spans="1:2" x14ac:dyDescent="0.25">
      <c r="A152" s="129"/>
      <c r="B152" s="129"/>
    </row>
    <row r="153" spans="1:2" x14ac:dyDescent="0.25">
      <c r="A153" s="129"/>
      <c r="B153" s="129"/>
    </row>
    <row r="154" spans="1:2" x14ac:dyDescent="0.25">
      <c r="A154" s="129"/>
      <c r="B154" s="129"/>
    </row>
    <row r="155" spans="1:2" x14ac:dyDescent="0.25">
      <c r="A155" s="129"/>
      <c r="B155" s="129"/>
    </row>
    <row r="156" spans="1:2" x14ac:dyDescent="0.25">
      <c r="A156" s="129"/>
      <c r="B156" s="129"/>
    </row>
    <row r="157" spans="1:2" x14ac:dyDescent="0.25">
      <c r="A157" s="129"/>
      <c r="B157" s="129"/>
    </row>
    <row r="158" spans="1:2" x14ac:dyDescent="0.25">
      <c r="A158" s="129"/>
      <c r="B158" s="129"/>
    </row>
    <row r="159" spans="1:2" x14ac:dyDescent="0.25">
      <c r="A159" s="129"/>
      <c r="B159" s="129"/>
    </row>
    <row r="160" spans="1:2" x14ac:dyDescent="0.25">
      <c r="A160" s="129"/>
      <c r="B160" s="129"/>
    </row>
    <row r="161" spans="1:2" x14ac:dyDescent="0.25">
      <c r="A161" s="129"/>
      <c r="B161" s="129"/>
    </row>
    <row r="162" spans="1:2" x14ac:dyDescent="0.25">
      <c r="A162" s="129"/>
      <c r="B162" s="129"/>
    </row>
    <row r="163" spans="1:2" x14ac:dyDescent="0.25">
      <c r="A163" s="129"/>
      <c r="B163" s="129"/>
    </row>
    <row r="164" spans="1:2" x14ac:dyDescent="0.25">
      <c r="A164" s="129"/>
      <c r="B164" s="129"/>
    </row>
    <row r="165" spans="1:2" x14ac:dyDescent="0.25">
      <c r="A165" s="129"/>
      <c r="B165" s="129"/>
    </row>
    <row r="166" spans="1:2" x14ac:dyDescent="0.25">
      <c r="A166" s="129"/>
      <c r="B166" s="129"/>
    </row>
    <row r="167" spans="1:2" x14ac:dyDescent="0.25">
      <c r="A167" s="129"/>
      <c r="B167" s="129"/>
    </row>
    <row r="168" spans="1:2" x14ac:dyDescent="0.25">
      <c r="A168" s="129"/>
      <c r="B168" s="129"/>
    </row>
    <row r="169" spans="1:2" x14ac:dyDescent="0.25">
      <c r="A169" s="129"/>
      <c r="B169" s="129"/>
    </row>
    <row r="170" spans="1:2" x14ac:dyDescent="0.25">
      <c r="A170" s="129"/>
      <c r="B170" s="129"/>
    </row>
    <row r="171" spans="1:2" x14ac:dyDescent="0.25">
      <c r="A171" s="129"/>
      <c r="B171" s="129"/>
    </row>
    <row r="172" spans="1:2" x14ac:dyDescent="0.25">
      <c r="A172" s="129"/>
      <c r="B172" s="129"/>
    </row>
    <row r="173" spans="1:2" x14ac:dyDescent="0.25">
      <c r="A173" s="129"/>
      <c r="B173" s="129"/>
    </row>
    <row r="174" spans="1:2" x14ac:dyDescent="0.25">
      <c r="A174" s="129"/>
      <c r="B174" s="129"/>
    </row>
    <row r="175" spans="1:2" x14ac:dyDescent="0.25">
      <c r="A175" s="129"/>
      <c r="B175" s="129"/>
    </row>
    <row r="176" spans="1:2" x14ac:dyDescent="0.25">
      <c r="A176" s="129"/>
      <c r="B176" s="129"/>
    </row>
    <row r="177" spans="1:2" x14ac:dyDescent="0.25">
      <c r="A177" s="129"/>
      <c r="B177" s="129"/>
    </row>
    <row r="178" spans="1:2" x14ac:dyDescent="0.25">
      <c r="A178" s="129"/>
      <c r="B178" s="129"/>
    </row>
    <row r="179" spans="1:2" x14ac:dyDescent="0.25">
      <c r="A179" s="129"/>
      <c r="B179" s="129"/>
    </row>
    <row r="180" spans="1:2" x14ac:dyDescent="0.25">
      <c r="A180" s="129"/>
      <c r="B180" s="129"/>
    </row>
    <row r="181" spans="1:2" x14ac:dyDescent="0.25">
      <c r="A181" s="129"/>
      <c r="B181" s="129"/>
    </row>
    <row r="182" spans="1:2" x14ac:dyDescent="0.25">
      <c r="A182" s="129"/>
      <c r="B182" s="129"/>
    </row>
    <row r="183" spans="1:2" x14ac:dyDescent="0.25">
      <c r="A183" s="129"/>
      <c r="B183" s="129"/>
    </row>
    <row r="184" spans="1:2" x14ac:dyDescent="0.25">
      <c r="A184" s="129"/>
      <c r="B184" s="129"/>
    </row>
    <row r="185" spans="1:2" x14ac:dyDescent="0.25">
      <c r="A185" s="129"/>
      <c r="B185" s="129"/>
    </row>
    <row r="186" spans="1:2" x14ac:dyDescent="0.25">
      <c r="A186" s="129"/>
      <c r="B186" s="129"/>
    </row>
    <row r="187" spans="1:2" x14ac:dyDescent="0.25">
      <c r="A187" s="129"/>
      <c r="B187" s="129"/>
    </row>
    <row r="188" spans="1:2" x14ac:dyDescent="0.25">
      <c r="A188" s="129"/>
      <c r="B188" s="129"/>
    </row>
    <row r="189" spans="1:2" x14ac:dyDescent="0.25">
      <c r="A189" s="129"/>
      <c r="B189" s="129"/>
    </row>
    <row r="190" spans="1:2" x14ac:dyDescent="0.25">
      <c r="A190" s="129"/>
      <c r="B190" s="129"/>
    </row>
    <row r="191" spans="1:2" x14ac:dyDescent="0.25">
      <c r="A191" s="129"/>
      <c r="B191" s="129"/>
    </row>
    <row r="192" spans="1:2" x14ac:dyDescent="0.25">
      <c r="A192" s="129"/>
      <c r="B192" s="129"/>
    </row>
    <row r="193" spans="1:2" x14ac:dyDescent="0.25">
      <c r="A193" s="129"/>
      <c r="B193" s="129"/>
    </row>
    <row r="194" spans="1:2" x14ac:dyDescent="0.25">
      <c r="A194" s="129"/>
      <c r="B194" s="129"/>
    </row>
    <row r="195" spans="1:2" x14ac:dyDescent="0.25">
      <c r="A195" s="129"/>
      <c r="B195" s="129"/>
    </row>
    <row r="196" spans="1:2" x14ac:dyDescent="0.25">
      <c r="A196" s="129"/>
      <c r="B196" s="129"/>
    </row>
    <row r="197" spans="1:2" x14ac:dyDescent="0.25">
      <c r="A197" s="129"/>
      <c r="B197" s="129"/>
    </row>
    <row r="198" spans="1:2" x14ac:dyDescent="0.25">
      <c r="A198" s="129"/>
      <c r="B198" s="129"/>
    </row>
    <row r="199" spans="1:2" x14ac:dyDescent="0.25">
      <c r="A199" s="129"/>
      <c r="B199" s="129"/>
    </row>
    <row r="200" spans="1:2" x14ac:dyDescent="0.25">
      <c r="A200" s="129"/>
      <c r="B200" s="129"/>
    </row>
    <row r="201" spans="1:2" x14ac:dyDescent="0.25">
      <c r="A201" s="129"/>
      <c r="B201" s="129"/>
    </row>
    <row r="202" spans="1:2" x14ac:dyDescent="0.25">
      <c r="A202" s="129"/>
      <c r="B202" s="129"/>
    </row>
    <row r="203" spans="1:2" x14ac:dyDescent="0.25">
      <c r="A203" s="129"/>
      <c r="B203" s="129"/>
    </row>
    <row r="204" spans="1:2" x14ac:dyDescent="0.25">
      <c r="A204" s="129"/>
      <c r="B204" s="129"/>
    </row>
    <row r="205" spans="1:2" x14ac:dyDescent="0.25">
      <c r="A205" s="129"/>
      <c r="B205" s="129"/>
    </row>
    <row r="206" spans="1:2" x14ac:dyDescent="0.25">
      <c r="A206" s="129"/>
      <c r="B206" s="129"/>
    </row>
    <row r="207" spans="1:2" x14ac:dyDescent="0.25">
      <c r="A207" s="129"/>
      <c r="B207" s="129"/>
    </row>
    <row r="208" spans="1:2" x14ac:dyDescent="0.25">
      <c r="A208" s="129"/>
      <c r="B208" s="129"/>
    </row>
    <row r="209" spans="1:2" x14ac:dyDescent="0.25">
      <c r="A209" s="129"/>
      <c r="B209" s="129"/>
    </row>
    <row r="210" spans="1:2" x14ac:dyDescent="0.25">
      <c r="A210" s="129"/>
      <c r="B210" s="129"/>
    </row>
    <row r="211" spans="1:2" x14ac:dyDescent="0.25">
      <c r="A211" s="129"/>
      <c r="B211" s="129"/>
    </row>
    <row r="212" spans="1:2" x14ac:dyDescent="0.25">
      <c r="A212" s="129"/>
      <c r="B212" s="129"/>
    </row>
    <row r="213" spans="1:2" x14ac:dyDescent="0.25">
      <c r="A213" s="129"/>
      <c r="B213" s="129"/>
    </row>
    <row r="214" spans="1:2" x14ac:dyDescent="0.25">
      <c r="A214" s="129"/>
      <c r="B214" s="129"/>
    </row>
    <row r="215" spans="1:2" x14ac:dyDescent="0.25">
      <c r="A215" s="129"/>
      <c r="B215" s="129"/>
    </row>
    <row r="216" spans="1:2" x14ac:dyDescent="0.25">
      <c r="A216" s="129"/>
      <c r="B216" s="129"/>
    </row>
    <row r="217" spans="1:2" x14ac:dyDescent="0.25">
      <c r="A217" s="129"/>
      <c r="B217" s="129"/>
    </row>
    <row r="218" spans="1:2" x14ac:dyDescent="0.25">
      <c r="A218" s="129"/>
      <c r="B218" s="129"/>
    </row>
    <row r="219" spans="1:2" x14ac:dyDescent="0.25">
      <c r="A219" s="129"/>
      <c r="B219" s="129"/>
    </row>
    <row r="220" spans="1:2" x14ac:dyDescent="0.25">
      <c r="A220" s="129"/>
      <c r="B220" s="129"/>
    </row>
    <row r="221" spans="1:2" x14ac:dyDescent="0.25">
      <c r="A221" s="129"/>
      <c r="B221" s="129"/>
    </row>
    <row r="222" spans="1:2" x14ac:dyDescent="0.25">
      <c r="A222" s="129"/>
      <c r="B222" s="129"/>
    </row>
    <row r="223" spans="1:2" x14ac:dyDescent="0.25">
      <c r="A223" s="129"/>
      <c r="B223" s="129"/>
    </row>
    <row r="224" spans="1:2" x14ac:dyDescent="0.25">
      <c r="A224" s="129"/>
      <c r="B224" s="129"/>
    </row>
    <row r="225" spans="1:2" x14ac:dyDescent="0.25">
      <c r="A225" s="129"/>
      <c r="B225" s="129"/>
    </row>
    <row r="226" spans="1:2" x14ac:dyDescent="0.25">
      <c r="A226" s="129"/>
      <c r="B226" s="129"/>
    </row>
    <row r="227" spans="1:2" x14ac:dyDescent="0.25">
      <c r="A227" s="129"/>
      <c r="B227" s="129"/>
    </row>
    <row r="228" spans="1:2" x14ac:dyDescent="0.25">
      <c r="A228" s="129"/>
      <c r="B228" s="129"/>
    </row>
    <row r="229" spans="1:2" x14ac:dyDescent="0.25">
      <c r="A229" s="129"/>
      <c r="B229" s="129"/>
    </row>
    <row r="230" spans="1:2" x14ac:dyDescent="0.25">
      <c r="A230" s="129"/>
      <c r="B230" s="129"/>
    </row>
    <row r="231" spans="1:2" x14ac:dyDescent="0.25">
      <c r="A231" s="129"/>
      <c r="B231" s="129"/>
    </row>
    <row r="232" spans="1:2" x14ac:dyDescent="0.25">
      <c r="A232" s="129"/>
      <c r="B232" s="129"/>
    </row>
    <row r="233" spans="1:2" x14ac:dyDescent="0.25">
      <c r="A233" s="129"/>
      <c r="B233" s="129"/>
    </row>
    <row r="234" spans="1:2" x14ac:dyDescent="0.25">
      <c r="A234" s="129"/>
      <c r="B234" s="129"/>
    </row>
    <row r="235" spans="1:2" x14ac:dyDescent="0.25">
      <c r="A235" s="129"/>
      <c r="B235" s="129"/>
    </row>
    <row r="236" spans="1:2" x14ac:dyDescent="0.25">
      <c r="A236" s="129"/>
      <c r="B236" s="129"/>
    </row>
    <row r="237" spans="1:2" x14ac:dyDescent="0.25">
      <c r="A237" s="129"/>
      <c r="B237" s="129"/>
    </row>
    <row r="238" spans="1:2" x14ac:dyDescent="0.25">
      <c r="A238" s="129"/>
      <c r="B238" s="129"/>
    </row>
    <row r="239" spans="1:2" x14ac:dyDescent="0.25">
      <c r="A239" s="129"/>
      <c r="B239" s="129"/>
    </row>
    <row r="240" spans="1:2" x14ac:dyDescent="0.25">
      <c r="A240" s="129"/>
      <c r="B240" s="129"/>
    </row>
    <row r="241" spans="1:2" x14ac:dyDescent="0.25">
      <c r="A241" s="129"/>
      <c r="B241" s="129"/>
    </row>
    <row r="242" spans="1:2" x14ac:dyDescent="0.25">
      <c r="A242" s="129"/>
      <c r="B242" s="129"/>
    </row>
    <row r="243" spans="1:2" x14ac:dyDescent="0.25">
      <c r="A243" s="129"/>
      <c r="B243" s="129"/>
    </row>
    <row r="244" spans="1:2" x14ac:dyDescent="0.25">
      <c r="A244" s="129"/>
      <c r="B244" s="129"/>
    </row>
    <row r="245" spans="1:2" x14ac:dyDescent="0.25">
      <c r="A245" s="129"/>
      <c r="B245" s="129"/>
    </row>
    <row r="246" spans="1:2" x14ac:dyDescent="0.25">
      <c r="A246" s="129"/>
      <c r="B246" s="129"/>
    </row>
    <row r="247" spans="1:2" x14ac:dyDescent="0.25">
      <c r="A247" s="129"/>
      <c r="B247" s="129"/>
    </row>
    <row r="248" spans="1:2" x14ac:dyDescent="0.25">
      <c r="A248" s="129"/>
      <c r="B248" s="129"/>
    </row>
    <row r="249" spans="1:2" x14ac:dyDescent="0.25">
      <c r="A249" s="129"/>
      <c r="B249" s="129"/>
    </row>
    <row r="250" spans="1:2" x14ac:dyDescent="0.25">
      <c r="A250" s="129"/>
      <c r="B250" s="129"/>
    </row>
    <row r="251" spans="1:2" x14ac:dyDescent="0.25">
      <c r="A251" s="129"/>
      <c r="B251" s="129"/>
    </row>
    <row r="252" spans="1:2" x14ac:dyDescent="0.25">
      <c r="A252" s="129"/>
      <c r="B252" s="129"/>
    </row>
    <row r="253" spans="1:2" x14ac:dyDescent="0.25">
      <c r="A253" s="129"/>
      <c r="B253" s="129"/>
    </row>
    <row r="254" spans="1:2" x14ac:dyDescent="0.25">
      <c r="A254" s="129"/>
      <c r="B254" s="129"/>
    </row>
    <row r="255" spans="1:2" x14ac:dyDescent="0.25">
      <c r="A255" s="129"/>
      <c r="B255" s="129"/>
    </row>
    <row r="256" spans="1:2" x14ac:dyDescent="0.25">
      <c r="A256" s="129"/>
      <c r="B256" s="129"/>
    </row>
    <row r="257" spans="1:2" x14ac:dyDescent="0.25">
      <c r="A257" s="129"/>
      <c r="B257" s="129"/>
    </row>
    <row r="258" spans="1:2" x14ac:dyDescent="0.25">
      <c r="A258" s="129"/>
      <c r="B258" s="129"/>
    </row>
    <row r="259" spans="1:2" x14ac:dyDescent="0.25">
      <c r="A259" s="129"/>
      <c r="B259" s="129"/>
    </row>
    <row r="260" spans="1:2" x14ac:dyDescent="0.25">
      <c r="A260" s="129"/>
      <c r="B260" s="129"/>
    </row>
    <row r="261" spans="1:2" x14ac:dyDescent="0.25">
      <c r="A261" s="129"/>
      <c r="B261" s="129"/>
    </row>
    <row r="262" spans="1:2" x14ac:dyDescent="0.25">
      <c r="A262" s="129"/>
      <c r="B262" s="129"/>
    </row>
    <row r="263" spans="1:2" x14ac:dyDescent="0.25">
      <c r="A263" s="129"/>
      <c r="B263" s="129"/>
    </row>
    <row r="264" spans="1:2" x14ac:dyDescent="0.25">
      <c r="A264" s="129"/>
      <c r="B264" s="129"/>
    </row>
    <row r="265" spans="1:2" x14ac:dyDescent="0.25">
      <c r="A265" s="129"/>
      <c r="B265" s="129"/>
    </row>
    <row r="266" spans="1:2" x14ac:dyDescent="0.25">
      <c r="A266" s="129"/>
      <c r="B266" s="129"/>
    </row>
    <row r="267" spans="1:2" x14ac:dyDescent="0.25">
      <c r="A267" s="129"/>
      <c r="B267" s="129"/>
    </row>
    <row r="268" spans="1:2" x14ac:dyDescent="0.25">
      <c r="A268" s="129"/>
      <c r="B268" s="129"/>
    </row>
    <row r="269" spans="1:2" x14ac:dyDescent="0.25">
      <c r="A269" s="129"/>
      <c r="B269" s="129"/>
    </row>
    <row r="270" spans="1:2" x14ac:dyDescent="0.25">
      <c r="A270" s="129"/>
      <c r="B270" s="129"/>
    </row>
    <row r="271" spans="1:2" x14ac:dyDescent="0.25">
      <c r="A271" s="129"/>
      <c r="B271" s="129"/>
    </row>
    <row r="272" spans="1:2" x14ac:dyDescent="0.25">
      <c r="A272" s="129"/>
      <c r="B272" s="129"/>
    </row>
    <row r="273" spans="1:2" x14ac:dyDescent="0.25">
      <c r="A273" s="129"/>
      <c r="B273" s="129"/>
    </row>
    <row r="274" spans="1:2" x14ac:dyDescent="0.25">
      <c r="A274" s="129"/>
      <c r="B274" s="129"/>
    </row>
    <row r="275" spans="1:2" x14ac:dyDescent="0.25">
      <c r="A275" s="129"/>
      <c r="B275" s="129"/>
    </row>
    <row r="276" spans="1:2" x14ac:dyDescent="0.25">
      <c r="A276" s="129"/>
      <c r="B276" s="129"/>
    </row>
    <row r="277" spans="1:2" x14ac:dyDescent="0.25">
      <c r="A277" s="129"/>
      <c r="B277" s="129"/>
    </row>
    <row r="278" spans="1:2" x14ac:dyDescent="0.25">
      <c r="A278" s="129"/>
      <c r="B278" s="129"/>
    </row>
    <row r="279" spans="1:2" x14ac:dyDescent="0.25">
      <c r="A279" s="129"/>
      <c r="B279" s="129"/>
    </row>
    <row r="280" spans="1:2" x14ac:dyDescent="0.25">
      <c r="A280" s="129"/>
      <c r="B280" s="129"/>
    </row>
    <row r="281" spans="1:2" x14ac:dyDescent="0.25">
      <c r="A281" s="129"/>
      <c r="B281" s="129"/>
    </row>
    <row r="282" spans="1:2" x14ac:dyDescent="0.25">
      <c r="A282" s="129"/>
      <c r="B282" s="129"/>
    </row>
    <row r="283" spans="1:2" x14ac:dyDescent="0.25">
      <c r="A283" s="129"/>
      <c r="B283" s="129"/>
    </row>
    <row r="284" spans="1:2" x14ac:dyDescent="0.25">
      <c r="A284" s="129"/>
      <c r="B284" s="129"/>
    </row>
    <row r="285" spans="1:2" x14ac:dyDescent="0.25">
      <c r="A285" s="129"/>
      <c r="B285" s="129"/>
    </row>
    <row r="286" spans="1:2" x14ac:dyDescent="0.25">
      <c r="A286" s="129"/>
      <c r="B286" s="129"/>
    </row>
    <row r="287" spans="1:2" x14ac:dyDescent="0.25">
      <c r="A287" s="129"/>
      <c r="B287" s="129"/>
    </row>
    <row r="288" spans="1:2" x14ac:dyDescent="0.25">
      <c r="A288" s="129"/>
      <c r="B288" s="129"/>
    </row>
    <row r="289" spans="1:2" x14ac:dyDescent="0.25">
      <c r="A289" s="129"/>
      <c r="B289" s="129"/>
    </row>
    <row r="290" spans="1:2" x14ac:dyDescent="0.25">
      <c r="A290" s="129"/>
      <c r="B290" s="129"/>
    </row>
    <row r="291" spans="1:2" x14ac:dyDescent="0.25">
      <c r="A291" s="129"/>
      <c r="B291" s="129"/>
    </row>
    <row r="292" spans="1:2" x14ac:dyDescent="0.25">
      <c r="A292" s="129"/>
      <c r="B292" s="129"/>
    </row>
    <row r="293" spans="1:2" x14ac:dyDescent="0.25">
      <c r="A293" s="129"/>
      <c r="B293" s="129"/>
    </row>
    <row r="294" spans="1:2" x14ac:dyDescent="0.25">
      <c r="A294" s="129"/>
      <c r="B294" s="129"/>
    </row>
    <row r="295" spans="1:2" x14ac:dyDescent="0.25">
      <c r="A295" s="129"/>
      <c r="B295" s="129"/>
    </row>
    <row r="296" spans="1:2" x14ac:dyDescent="0.25">
      <c r="A296" s="129"/>
      <c r="B296" s="129"/>
    </row>
    <row r="297" spans="1:2" x14ac:dyDescent="0.25">
      <c r="A297" s="129"/>
      <c r="B297" s="129"/>
    </row>
    <row r="298" spans="1:2" x14ac:dyDescent="0.25">
      <c r="A298" s="129"/>
      <c r="B298" s="129"/>
    </row>
    <row r="299" spans="1:2" x14ac:dyDescent="0.25">
      <c r="A299" s="129"/>
      <c r="B299" s="129"/>
    </row>
    <row r="300" spans="1:2" x14ac:dyDescent="0.25">
      <c r="A300" s="129"/>
      <c r="B300" s="129"/>
    </row>
    <row r="301" spans="1:2" x14ac:dyDescent="0.25">
      <c r="A301" s="129"/>
      <c r="B301" s="129"/>
    </row>
    <row r="302" spans="1:2" x14ac:dyDescent="0.25">
      <c r="A302" s="129"/>
      <c r="B302" s="129"/>
    </row>
    <row r="303" spans="1:2" x14ac:dyDescent="0.25">
      <c r="A303" s="129"/>
      <c r="B303" s="129"/>
    </row>
    <row r="304" spans="1:2" x14ac:dyDescent="0.25">
      <c r="A304" s="129"/>
      <c r="B304" s="129"/>
    </row>
    <row r="305" spans="1:2" x14ac:dyDescent="0.25">
      <c r="A305" s="129"/>
      <c r="B305" s="129"/>
    </row>
    <row r="306" spans="1:2" x14ac:dyDescent="0.25">
      <c r="A306" s="129"/>
      <c r="B306" s="129"/>
    </row>
    <row r="307" spans="1:2" x14ac:dyDescent="0.25">
      <c r="A307" s="129"/>
      <c r="B307" s="129"/>
    </row>
    <row r="308" spans="1:2" x14ac:dyDescent="0.25">
      <c r="A308" s="129"/>
      <c r="B308" s="129"/>
    </row>
    <row r="309" spans="1:2" x14ac:dyDescent="0.25">
      <c r="A309" s="129"/>
      <c r="B309" s="129"/>
    </row>
    <row r="310" spans="1:2" x14ac:dyDescent="0.25">
      <c r="A310" s="129"/>
      <c r="B310" s="129"/>
    </row>
    <row r="311" spans="1:2" x14ac:dyDescent="0.25">
      <c r="A311" s="129"/>
      <c r="B311" s="129"/>
    </row>
    <row r="312" spans="1:2" x14ac:dyDescent="0.25">
      <c r="A312" s="129"/>
      <c r="B312" s="129"/>
    </row>
    <row r="313" spans="1:2" x14ac:dyDescent="0.25">
      <c r="A313" s="129"/>
      <c r="B313" s="129"/>
    </row>
    <row r="314" spans="1:2" x14ac:dyDescent="0.25">
      <c r="A314" s="129"/>
      <c r="B314" s="129"/>
    </row>
    <row r="315" spans="1:2" x14ac:dyDescent="0.25">
      <c r="A315" s="129"/>
      <c r="B315" s="129"/>
    </row>
    <row r="316" spans="1:2" x14ac:dyDescent="0.25">
      <c r="A316" s="129"/>
      <c r="B316" s="129"/>
    </row>
    <row r="317" spans="1:2" x14ac:dyDescent="0.25">
      <c r="A317" s="129"/>
      <c r="B317" s="129"/>
    </row>
    <row r="318" spans="1:2" x14ac:dyDescent="0.25">
      <c r="A318" s="129"/>
      <c r="B318" s="129"/>
    </row>
    <row r="319" spans="1:2" x14ac:dyDescent="0.25">
      <c r="A319" s="129"/>
      <c r="B319" s="129"/>
    </row>
    <row r="320" spans="1:2" x14ac:dyDescent="0.25">
      <c r="A320" s="129"/>
      <c r="B320" s="129"/>
    </row>
    <row r="321" spans="1:2" x14ac:dyDescent="0.25">
      <c r="A321" s="129"/>
      <c r="B321" s="129"/>
    </row>
    <row r="322" spans="1:2" x14ac:dyDescent="0.25">
      <c r="A322" s="129"/>
      <c r="B322" s="129"/>
    </row>
    <row r="323" spans="1:2" x14ac:dyDescent="0.25">
      <c r="A323" s="129"/>
      <c r="B323" s="129"/>
    </row>
    <row r="324" spans="1:2" x14ac:dyDescent="0.25">
      <c r="A324" s="129"/>
      <c r="B324" s="129"/>
    </row>
    <row r="325" spans="1:2" x14ac:dyDescent="0.25">
      <c r="A325" s="129"/>
      <c r="B325" s="129"/>
    </row>
    <row r="326" spans="1:2" x14ac:dyDescent="0.25">
      <c r="A326" s="129"/>
      <c r="B326" s="129"/>
    </row>
    <row r="327" spans="1:2" x14ac:dyDescent="0.25">
      <c r="A327" s="129"/>
      <c r="B327" s="129"/>
    </row>
    <row r="328" spans="1:2" x14ac:dyDescent="0.25">
      <c r="A328" s="129"/>
      <c r="B328" s="129"/>
    </row>
    <row r="329" spans="1:2" x14ac:dyDescent="0.25">
      <c r="A329" s="129"/>
      <c r="B329" s="129"/>
    </row>
    <row r="330" spans="1:2" x14ac:dyDescent="0.25">
      <c r="A330" s="129"/>
      <c r="B330" s="129"/>
    </row>
    <row r="331" spans="1:2" x14ac:dyDescent="0.25">
      <c r="A331" s="129"/>
      <c r="B331" s="129"/>
    </row>
    <row r="332" spans="1:2" x14ac:dyDescent="0.25">
      <c r="A332" s="129"/>
      <c r="B332" s="129"/>
    </row>
    <row r="333" spans="1:2" x14ac:dyDescent="0.25">
      <c r="A333" s="129"/>
      <c r="B333" s="129"/>
    </row>
    <row r="334" spans="1:2" x14ac:dyDescent="0.25">
      <c r="A334" s="129"/>
      <c r="B334" s="129"/>
    </row>
    <row r="335" spans="1:2" x14ac:dyDescent="0.25">
      <c r="A335" s="129"/>
      <c r="B335" s="129"/>
    </row>
    <row r="336" spans="1:2" x14ac:dyDescent="0.25">
      <c r="A336" s="129"/>
      <c r="B336" s="129"/>
    </row>
    <row r="337" spans="1:2" x14ac:dyDescent="0.25">
      <c r="A337" s="129"/>
      <c r="B337" s="129"/>
    </row>
    <row r="338" spans="1:2" x14ac:dyDescent="0.25">
      <c r="A338" s="129"/>
      <c r="B338" s="129"/>
    </row>
    <row r="339" spans="1:2" x14ac:dyDescent="0.25">
      <c r="A339" s="129"/>
      <c r="B339" s="129"/>
    </row>
    <row r="340" spans="1:2" x14ac:dyDescent="0.25">
      <c r="A340" s="129"/>
      <c r="B340" s="129"/>
    </row>
    <row r="341" spans="1:2" x14ac:dyDescent="0.25">
      <c r="A341" s="129"/>
      <c r="B341" s="129"/>
    </row>
    <row r="342" spans="1:2" x14ac:dyDescent="0.25">
      <c r="A342" s="129"/>
      <c r="B342" s="129"/>
    </row>
    <row r="343" spans="1:2" x14ac:dyDescent="0.25">
      <c r="A343" s="129"/>
      <c r="B343" s="129"/>
    </row>
    <row r="344" spans="1:2" x14ac:dyDescent="0.25">
      <c r="A344" s="129"/>
      <c r="B344" s="129"/>
    </row>
    <row r="345" spans="1:2" x14ac:dyDescent="0.25">
      <c r="A345" s="129"/>
      <c r="B345" s="129"/>
    </row>
    <row r="346" spans="1:2" x14ac:dyDescent="0.25">
      <c r="A346" s="129"/>
      <c r="B346" s="129"/>
    </row>
    <row r="347" spans="1:2" x14ac:dyDescent="0.25">
      <c r="A347" s="129"/>
      <c r="B347" s="129"/>
    </row>
    <row r="348" spans="1:2" x14ac:dyDescent="0.25">
      <c r="A348" s="129"/>
      <c r="B348" s="129"/>
    </row>
    <row r="349" spans="1:2" x14ac:dyDescent="0.25">
      <c r="A349" s="129"/>
      <c r="B349" s="129"/>
    </row>
    <row r="350" spans="1:2" x14ac:dyDescent="0.25">
      <c r="A350" s="129"/>
      <c r="B350" s="129"/>
    </row>
    <row r="351" spans="1:2" x14ac:dyDescent="0.25">
      <c r="A351" s="129"/>
      <c r="B351" s="129"/>
    </row>
    <row r="352" spans="1:2" x14ac:dyDescent="0.25">
      <c r="A352" s="129"/>
      <c r="B352" s="129"/>
    </row>
    <row r="353" spans="1:2" x14ac:dyDescent="0.25">
      <c r="A353" s="129"/>
      <c r="B353" s="129"/>
    </row>
    <row r="354" spans="1:2" x14ac:dyDescent="0.25">
      <c r="A354" s="129"/>
      <c r="B354" s="129"/>
    </row>
    <row r="355" spans="1:2" x14ac:dyDescent="0.25">
      <c r="A355" s="129"/>
      <c r="B355" s="129"/>
    </row>
    <row r="356" spans="1:2" x14ac:dyDescent="0.25">
      <c r="A356" s="129"/>
      <c r="B356" s="129"/>
    </row>
    <row r="357" spans="1:2" x14ac:dyDescent="0.25">
      <c r="A357" s="129"/>
      <c r="B357" s="129"/>
    </row>
    <row r="358" spans="1:2" x14ac:dyDescent="0.25">
      <c r="A358" s="129"/>
      <c r="B358" s="129"/>
    </row>
    <row r="359" spans="1:2" x14ac:dyDescent="0.25">
      <c r="A359" s="129"/>
      <c r="B359" s="129"/>
    </row>
    <row r="360" spans="1:2" x14ac:dyDescent="0.25">
      <c r="A360" s="129"/>
      <c r="B360" s="129"/>
    </row>
    <row r="361" spans="1:2" x14ac:dyDescent="0.25">
      <c r="A361" s="129"/>
      <c r="B361" s="129"/>
    </row>
    <row r="362" spans="1:2" x14ac:dyDescent="0.25">
      <c r="A362" s="129"/>
      <c r="B362" s="129"/>
    </row>
    <row r="363" spans="1:2" x14ac:dyDescent="0.25">
      <c r="A363" s="129"/>
      <c r="B363" s="129"/>
    </row>
    <row r="364" spans="1:2" x14ac:dyDescent="0.25">
      <c r="A364" s="129"/>
      <c r="B364" s="129"/>
    </row>
    <row r="365" spans="1:2" x14ac:dyDescent="0.25">
      <c r="A365" s="129"/>
      <c r="B365" s="129"/>
    </row>
    <row r="366" spans="1:2" x14ac:dyDescent="0.25">
      <c r="A366" s="129"/>
      <c r="B366" s="129"/>
    </row>
    <row r="367" spans="1:2" x14ac:dyDescent="0.25">
      <c r="A367" s="129"/>
      <c r="B367" s="129"/>
    </row>
    <row r="368" spans="1:2" x14ac:dyDescent="0.25">
      <c r="A368" s="129"/>
      <c r="B368" s="129"/>
    </row>
    <row r="369" spans="1:2" x14ac:dyDescent="0.25">
      <c r="A369" s="129"/>
      <c r="B369" s="129"/>
    </row>
    <row r="370" spans="1:2" x14ac:dyDescent="0.25">
      <c r="A370" s="129"/>
      <c r="B370" s="129"/>
    </row>
    <row r="371" spans="1:2" x14ac:dyDescent="0.25">
      <c r="A371" s="129"/>
      <c r="B371" s="129"/>
    </row>
    <row r="372" spans="1:2" x14ac:dyDescent="0.25">
      <c r="A372" s="129"/>
      <c r="B372" s="129"/>
    </row>
    <row r="373" spans="1:2" x14ac:dyDescent="0.25">
      <c r="A373" s="129"/>
      <c r="B373" s="129"/>
    </row>
    <row r="374" spans="1:2" x14ac:dyDescent="0.25">
      <c r="A374" s="129"/>
      <c r="B374" s="129"/>
    </row>
    <row r="375" spans="1:2" x14ac:dyDescent="0.25">
      <c r="A375" s="129"/>
      <c r="B375" s="129"/>
    </row>
    <row r="376" spans="1:2" x14ac:dyDescent="0.25">
      <c r="A376" s="129"/>
      <c r="B376" s="129"/>
    </row>
    <row r="377" spans="1:2" x14ac:dyDescent="0.25">
      <c r="A377" s="129"/>
      <c r="B377" s="129"/>
    </row>
    <row r="378" spans="1:2" x14ac:dyDescent="0.25">
      <c r="A378" s="129"/>
      <c r="B378" s="129"/>
    </row>
    <row r="379" spans="1:2" x14ac:dyDescent="0.25">
      <c r="A379" s="129"/>
      <c r="B379" s="129"/>
    </row>
    <row r="380" spans="1:2" x14ac:dyDescent="0.25">
      <c r="A380" s="129"/>
      <c r="B380" s="129"/>
    </row>
    <row r="381" spans="1:2" x14ac:dyDescent="0.25">
      <c r="A381" s="129"/>
      <c r="B381" s="129"/>
    </row>
    <row r="382" spans="1:2" x14ac:dyDescent="0.25">
      <c r="A382" s="129"/>
      <c r="B382" s="129"/>
    </row>
    <row r="383" spans="1:2" x14ac:dyDescent="0.25">
      <c r="A383" s="129"/>
      <c r="B383" s="129"/>
    </row>
    <row r="384" spans="1:2" x14ac:dyDescent="0.25">
      <c r="A384" s="129"/>
      <c r="B384" s="129"/>
    </row>
    <row r="385" spans="1:2" x14ac:dyDescent="0.25">
      <c r="A385" s="129"/>
      <c r="B385" s="129"/>
    </row>
    <row r="386" spans="1:2" x14ac:dyDescent="0.25">
      <c r="A386" s="129"/>
      <c r="B386" s="129"/>
    </row>
    <row r="387" spans="1:2" x14ac:dyDescent="0.25">
      <c r="A387" s="129"/>
      <c r="B387" s="129"/>
    </row>
    <row r="388" spans="1:2" x14ac:dyDescent="0.25">
      <c r="A388" s="129"/>
      <c r="B388" s="129"/>
    </row>
    <row r="389" spans="1:2" x14ac:dyDescent="0.25">
      <c r="A389" s="129"/>
      <c r="B389" s="129"/>
    </row>
    <row r="390" spans="1:2" x14ac:dyDescent="0.25">
      <c r="A390" s="129"/>
      <c r="B390" s="129"/>
    </row>
    <row r="391" spans="1:2" x14ac:dyDescent="0.25">
      <c r="A391" s="129"/>
      <c r="B391" s="129"/>
    </row>
    <row r="392" spans="1:2" x14ac:dyDescent="0.25">
      <c r="A392" s="129"/>
      <c r="B392" s="129"/>
    </row>
    <row r="393" spans="1:2" x14ac:dyDescent="0.25">
      <c r="A393" s="129"/>
      <c r="B393" s="129"/>
    </row>
    <row r="394" spans="1:2" x14ac:dyDescent="0.25">
      <c r="A394" s="129"/>
      <c r="B394" s="129"/>
    </row>
    <row r="395" spans="1:2" x14ac:dyDescent="0.25">
      <c r="A395" s="129"/>
      <c r="B395" s="129"/>
    </row>
    <row r="396" spans="1:2" x14ac:dyDescent="0.25">
      <c r="A396" s="129"/>
      <c r="B396" s="129"/>
    </row>
    <row r="397" spans="1:2" x14ac:dyDescent="0.25">
      <c r="A397" s="129"/>
      <c r="B397" s="129"/>
    </row>
    <row r="398" spans="1:2" x14ac:dyDescent="0.25">
      <c r="A398" s="129"/>
      <c r="B398" s="129"/>
    </row>
    <row r="399" spans="1:2" x14ac:dyDescent="0.25">
      <c r="A399" s="129"/>
      <c r="B399" s="129"/>
    </row>
    <row r="400" spans="1:2" x14ac:dyDescent="0.25">
      <c r="A400" s="129"/>
      <c r="B400" s="129"/>
    </row>
    <row r="401" spans="1:2" x14ac:dyDescent="0.25">
      <c r="A401" s="129"/>
      <c r="B401" s="129"/>
    </row>
    <row r="402" spans="1:2" x14ac:dyDescent="0.25">
      <c r="A402" s="129"/>
      <c r="B402" s="129"/>
    </row>
    <row r="403" spans="1:2" x14ac:dyDescent="0.25">
      <c r="A403" s="129"/>
      <c r="B403" s="129"/>
    </row>
    <row r="404" spans="1:2" x14ac:dyDescent="0.25">
      <c r="A404" s="129"/>
      <c r="B404" s="129"/>
    </row>
    <row r="405" spans="1:2" x14ac:dyDescent="0.25">
      <c r="A405" s="129"/>
      <c r="B405" s="129"/>
    </row>
    <row r="406" spans="1:2" x14ac:dyDescent="0.25">
      <c r="A406" s="129"/>
      <c r="B406" s="129"/>
    </row>
    <row r="407" spans="1:2" x14ac:dyDescent="0.25">
      <c r="A407" s="129"/>
      <c r="B407" s="129"/>
    </row>
    <row r="408" spans="1:2" x14ac:dyDescent="0.25">
      <c r="A408" s="129"/>
      <c r="B408" s="129"/>
    </row>
    <row r="409" spans="1:2" x14ac:dyDescent="0.25">
      <c r="A409" s="129"/>
      <c r="B409" s="129"/>
    </row>
    <row r="410" spans="1:2" x14ac:dyDescent="0.25">
      <c r="A410" s="129"/>
      <c r="B410" s="129"/>
    </row>
    <row r="411" spans="1:2" x14ac:dyDescent="0.25">
      <c r="A411" s="129"/>
      <c r="B411" s="129"/>
    </row>
    <row r="412" spans="1:2" x14ac:dyDescent="0.25">
      <c r="A412" s="129"/>
      <c r="B412" s="129"/>
    </row>
    <row r="413" spans="1:2" x14ac:dyDescent="0.25">
      <c r="A413" s="129"/>
      <c r="B413" s="129"/>
    </row>
    <row r="414" spans="1:2" x14ac:dyDescent="0.25">
      <c r="A414" s="129"/>
      <c r="B414" s="129"/>
    </row>
    <row r="415" spans="1:2" x14ac:dyDescent="0.25">
      <c r="A415" s="129"/>
      <c r="B415" s="129"/>
    </row>
    <row r="416" spans="1:2" x14ac:dyDescent="0.25">
      <c r="A416" s="129"/>
      <c r="B416" s="129"/>
    </row>
    <row r="417" spans="1:2" x14ac:dyDescent="0.25">
      <c r="A417" s="129"/>
      <c r="B417" s="129"/>
    </row>
    <row r="418" spans="1:2" x14ac:dyDescent="0.25">
      <c r="A418" s="129"/>
      <c r="B418" s="129"/>
    </row>
    <row r="419" spans="1:2" x14ac:dyDescent="0.25">
      <c r="A419" s="129"/>
      <c r="B419" s="129"/>
    </row>
    <row r="420" spans="1:2" x14ac:dyDescent="0.25">
      <c r="A420" s="129"/>
      <c r="B420" s="129"/>
    </row>
    <row r="421" spans="1:2" x14ac:dyDescent="0.25">
      <c r="A421" s="129"/>
      <c r="B421" s="129"/>
    </row>
    <row r="422" spans="1:2" x14ac:dyDescent="0.25">
      <c r="A422" s="129"/>
      <c r="B422" s="129"/>
    </row>
    <row r="423" spans="1:2" x14ac:dyDescent="0.25">
      <c r="A423" s="129"/>
      <c r="B423" s="129"/>
    </row>
    <row r="424" spans="1:2" x14ac:dyDescent="0.25">
      <c r="A424" s="129"/>
      <c r="B424" s="129"/>
    </row>
    <row r="425" spans="1:2" x14ac:dyDescent="0.25">
      <c r="A425" s="129"/>
      <c r="B425" s="129"/>
    </row>
    <row r="426" spans="1:2" x14ac:dyDescent="0.25">
      <c r="A426" s="129"/>
      <c r="B426" s="129"/>
    </row>
    <row r="427" spans="1:2" x14ac:dyDescent="0.25">
      <c r="A427" s="129"/>
      <c r="B427" s="129"/>
    </row>
    <row r="428" spans="1:2" x14ac:dyDescent="0.25">
      <c r="A428" s="129"/>
      <c r="B428" s="129"/>
    </row>
    <row r="429" spans="1:2" x14ac:dyDescent="0.25">
      <c r="A429" s="129"/>
      <c r="B429" s="129"/>
    </row>
    <row r="430" spans="1:2" x14ac:dyDescent="0.25">
      <c r="A430" s="129"/>
      <c r="B430" s="129"/>
    </row>
    <row r="431" spans="1:2" x14ac:dyDescent="0.25">
      <c r="A431" s="129"/>
      <c r="B431" s="129"/>
    </row>
    <row r="432" spans="1:2" x14ac:dyDescent="0.25">
      <c r="A432" s="129"/>
      <c r="B432" s="129"/>
    </row>
    <row r="433" spans="1:2" x14ac:dyDescent="0.25">
      <c r="A433" s="129"/>
      <c r="B433" s="129"/>
    </row>
    <row r="434" spans="1:2" x14ac:dyDescent="0.25">
      <c r="A434" s="129"/>
      <c r="B434" s="129"/>
    </row>
    <row r="435" spans="1:2" x14ac:dyDescent="0.25">
      <c r="A435" s="129"/>
      <c r="B435" s="129"/>
    </row>
    <row r="436" spans="1:2" x14ac:dyDescent="0.25">
      <c r="A436" s="129"/>
      <c r="B436" s="129"/>
    </row>
    <row r="437" spans="1:2" x14ac:dyDescent="0.25">
      <c r="A437" s="129"/>
      <c r="B437" s="129"/>
    </row>
    <row r="438" spans="1:2" x14ac:dyDescent="0.25">
      <c r="A438" s="129"/>
      <c r="B438" s="129"/>
    </row>
    <row r="439" spans="1:2" x14ac:dyDescent="0.25">
      <c r="A439" s="129"/>
      <c r="B439" s="129"/>
    </row>
    <row r="440" spans="1:2" x14ac:dyDescent="0.25">
      <c r="A440" s="129"/>
      <c r="B440" s="129"/>
    </row>
    <row r="441" spans="1:2" x14ac:dyDescent="0.25">
      <c r="A441" s="129"/>
      <c r="B441" s="129"/>
    </row>
    <row r="442" spans="1:2" x14ac:dyDescent="0.25">
      <c r="A442" s="129"/>
      <c r="B442" s="129"/>
    </row>
    <row r="443" spans="1:2" x14ac:dyDescent="0.25">
      <c r="A443" s="129"/>
      <c r="B443" s="129"/>
    </row>
    <row r="444" spans="1:2" x14ac:dyDescent="0.25">
      <c r="A444" s="129"/>
      <c r="B444" s="129"/>
    </row>
    <row r="445" spans="1:2" x14ac:dyDescent="0.25">
      <c r="A445" s="129"/>
      <c r="B445" s="129"/>
    </row>
    <row r="446" spans="1:2" x14ac:dyDescent="0.25">
      <c r="A446" s="129"/>
      <c r="B446" s="129"/>
    </row>
    <row r="447" spans="1:2" x14ac:dyDescent="0.25">
      <c r="A447" s="129"/>
      <c r="B447" s="129"/>
    </row>
    <row r="448" spans="1:2" x14ac:dyDescent="0.25">
      <c r="A448" s="129"/>
      <c r="B448" s="129"/>
    </row>
    <row r="449" spans="1:2" x14ac:dyDescent="0.25">
      <c r="A449" s="129"/>
      <c r="B449" s="129"/>
    </row>
    <row r="450" spans="1:2" x14ac:dyDescent="0.25">
      <c r="A450" s="129"/>
      <c r="B450" s="129"/>
    </row>
    <row r="451" spans="1:2" x14ac:dyDescent="0.25">
      <c r="A451" s="129"/>
      <c r="B451" s="129"/>
    </row>
    <row r="452" spans="1:2" x14ac:dyDescent="0.25">
      <c r="A452" s="129"/>
      <c r="B452" s="129"/>
    </row>
    <row r="453" spans="1:2" x14ac:dyDescent="0.25">
      <c r="A453" s="129"/>
      <c r="B453" s="129"/>
    </row>
    <row r="454" spans="1:2" x14ac:dyDescent="0.25">
      <c r="A454" s="129"/>
      <c r="B454" s="129"/>
    </row>
    <row r="455" spans="1:2" x14ac:dyDescent="0.25">
      <c r="A455" s="129"/>
      <c r="B455" s="129"/>
    </row>
    <row r="456" spans="1:2" x14ac:dyDescent="0.25">
      <c r="A456" s="129"/>
      <c r="B456" s="129"/>
    </row>
    <row r="457" spans="1:2" x14ac:dyDescent="0.25">
      <c r="A457" s="129"/>
      <c r="B457" s="129"/>
    </row>
    <row r="458" spans="1:2" x14ac:dyDescent="0.25">
      <c r="A458" s="129"/>
      <c r="B458" s="129"/>
    </row>
    <row r="459" spans="1:2" x14ac:dyDescent="0.25">
      <c r="A459" s="129"/>
      <c r="B459" s="129"/>
    </row>
    <row r="460" spans="1:2" x14ac:dyDescent="0.25">
      <c r="A460" s="129"/>
      <c r="B460" s="129"/>
    </row>
    <row r="461" spans="1:2" x14ac:dyDescent="0.25">
      <c r="A461" s="129"/>
      <c r="B461" s="129"/>
    </row>
    <row r="462" spans="1:2" x14ac:dyDescent="0.25">
      <c r="A462" s="129"/>
      <c r="B462" s="129"/>
    </row>
    <row r="463" spans="1:2" x14ac:dyDescent="0.25">
      <c r="A463" s="129"/>
      <c r="B463" s="129"/>
    </row>
    <row r="464" spans="1:2" x14ac:dyDescent="0.25">
      <c r="A464" s="129"/>
      <c r="B464" s="129"/>
    </row>
    <row r="465" spans="1:2" x14ac:dyDescent="0.25">
      <c r="A465" s="129"/>
      <c r="B465" s="129"/>
    </row>
    <row r="466" spans="1:2" x14ac:dyDescent="0.25">
      <c r="A466" s="129"/>
      <c r="B466" s="129"/>
    </row>
    <row r="467" spans="1:2" x14ac:dyDescent="0.25">
      <c r="A467" s="129"/>
      <c r="B467" s="129"/>
    </row>
    <row r="468" spans="1:2" x14ac:dyDescent="0.25">
      <c r="A468" s="129"/>
      <c r="B468" s="129"/>
    </row>
    <row r="469" spans="1:2" x14ac:dyDescent="0.25">
      <c r="A469" s="129"/>
      <c r="B469" s="129"/>
    </row>
    <row r="470" spans="1:2" x14ac:dyDescent="0.25">
      <c r="A470" s="129"/>
      <c r="B470" s="129"/>
    </row>
    <row r="471" spans="1:2" x14ac:dyDescent="0.25">
      <c r="A471" s="129"/>
      <c r="B471" s="129"/>
    </row>
    <row r="472" spans="1:2" x14ac:dyDescent="0.25">
      <c r="A472" s="129"/>
      <c r="B472" s="129"/>
    </row>
    <row r="473" spans="1:2" x14ac:dyDescent="0.25">
      <c r="A473" s="129"/>
      <c r="B473" s="129"/>
    </row>
    <row r="474" spans="1:2" x14ac:dyDescent="0.25">
      <c r="A474" s="129"/>
      <c r="B474" s="129"/>
    </row>
    <row r="475" spans="1:2" x14ac:dyDescent="0.25">
      <c r="A475" s="129"/>
      <c r="B475" s="129"/>
    </row>
    <row r="476" spans="1:2" x14ac:dyDescent="0.25">
      <c r="A476" s="129"/>
      <c r="B476" s="129"/>
    </row>
    <row r="477" spans="1:2" x14ac:dyDescent="0.25">
      <c r="A477" s="129"/>
      <c r="B477" s="129"/>
    </row>
    <row r="478" spans="1:2" x14ac:dyDescent="0.25">
      <c r="A478" s="129"/>
      <c r="B478" s="129"/>
    </row>
    <row r="479" spans="1:2" x14ac:dyDescent="0.25">
      <c r="A479" s="129"/>
      <c r="B479" s="129"/>
    </row>
    <row r="480" spans="1:2" x14ac:dyDescent="0.25">
      <c r="A480" s="129"/>
      <c r="B480" s="129"/>
    </row>
    <row r="481" spans="1:2" x14ac:dyDescent="0.25">
      <c r="A481" s="129"/>
      <c r="B481" s="129"/>
    </row>
    <row r="482" spans="1:2" x14ac:dyDescent="0.25">
      <c r="A482" s="129"/>
      <c r="B482" s="129"/>
    </row>
    <row r="483" spans="1:2" x14ac:dyDescent="0.25">
      <c r="A483" s="129"/>
      <c r="B483" s="129"/>
    </row>
    <row r="484" spans="1:2" x14ac:dyDescent="0.25">
      <c r="A484" s="129"/>
      <c r="B484" s="129"/>
    </row>
    <row r="485" spans="1:2" x14ac:dyDescent="0.25">
      <c r="A485" s="129"/>
      <c r="B485" s="129"/>
    </row>
    <row r="486" spans="1:2" x14ac:dyDescent="0.25">
      <c r="A486" s="129"/>
      <c r="B486" s="129"/>
    </row>
    <row r="487" spans="1:2" x14ac:dyDescent="0.25">
      <c r="A487" s="129"/>
      <c r="B487" s="129"/>
    </row>
    <row r="488" spans="1:2" x14ac:dyDescent="0.25">
      <c r="A488" s="129"/>
      <c r="B488" s="129"/>
    </row>
    <row r="489" spans="1:2" x14ac:dyDescent="0.25">
      <c r="A489" s="129"/>
      <c r="B489" s="129"/>
    </row>
    <row r="490" spans="1:2" x14ac:dyDescent="0.25">
      <c r="A490" s="129"/>
      <c r="B490" s="129"/>
    </row>
    <row r="491" spans="1:2" x14ac:dyDescent="0.25">
      <c r="A491" s="129"/>
      <c r="B491" s="129"/>
    </row>
    <row r="492" spans="1:2" x14ac:dyDescent="0.25">
      <c r="A492" s="129"/>
      <c r="B492" s="129"/>
    </row>
    <row r="493" spans="1:2" x14ac:dyDescent="0.25">
      <c r="A493" s="129"/>
      <c r="B493" s="129"/>
    </row>
    <row r="494" spans="1:2" x14ac:dyDescent="0.25">
      <c r="A494" s="129"/>
      <c r="B494" s="129"/>
    </row>
    <row r="495" spans="1:2" x14ac:dyDescent="0.25">
      <c r="A495" s="129"/>
      <c r="B495" s="129"/>
    </row>
    <row r="496" spans="1:2" x14ac:dyDescent="0.25">
      <c r="A496" s="129"/>
      <c r="B496" s="129"/>
    </row>
    <row r="497" spans="1:2" x14ac:dyDescent="0.25">
      <c r="A497" s="129"/>
      <c r="B497" s="129"/>
    </row>
    <row r="498" spans="1:2" x14ac:dyDescent="0.25">
      <c r="A498" s="129"/>
      <c r="B498" s="129"/>
    </row>
    <row r="499" spans="1:2" x14ac:dyDescent="0.25">
      <c r="A499" s="129"/>
      <c r="B499" s="129"/>
    </row>
    <row r="500" spans="1:2" x14ac:dyDescent="0.25">
      <c r="A500" s="129"/>
      <c r="B500" s="129"/>
    </row>
    <row r="501" spans="1:2" x14ac:dyDescent="0.25">
      <c r="A501" s="129"/>
      <c r="B501" s="129"/>
    </row>
    <row r="502" spans="1:2" x14ac:dyDescent="0.25">
      <c r="A502" s="129"/>
      <c r="B502" s="129"/>
    </row>
    <row r="503" spans="1:2" x14ac:dyDescent="0.25">
      <c r="A503" s="129"/>
      <c r="B503" s="129"/>
    </row>
    <row r="504" spans="1:2" x14ac:dyDescent="0.25">
      <c r="A504" s="129"/>
      <c r="B504" s="129"/>
    </row>
    <row r="505" spans="1:2" x14ac:dyDescent="0.25">
      <c r="A505" s="129"/>
      <c r="B505" s="129"/>
    </row>
    <row r="506" spans="1:2" x14ac:dyDescent="0.25">
      <c r="A506" s="129"/>
      <c r="B506" s="129"/>
    </row>
    <row r="507" spans="1:2" x14ac:dyDescent="0.25">
      <c r="A507" s="129"/>
      <c r="B507" s="129"/>
    </row>
    <row r="508" spans="1:2" x14ac:dyDescent="0.25">
      <c r="A508" s="129"/>
      <c r="B508" s="129"/>
    </row>
    <row r="509" spans="1:2" x14ac:dyDescent="0.25">
      <c r="A509" s="129"/>
      <c r="B509" s="129"/>
    </row>
    <row r="510" spans="1:2" x14ac:dyDescent="0.25">
      <c r="A510" s="129"/>
      <c r="B510" s="129"/>
    </row>
    <row r="511" spans="1:2" x14ac:dyDescent="0.25">
      <c r="A511" s="129"/>
      <c r="B511" s="129"/>
    </row>
    <row r="512" spans="1:2" x14ac:dyDescent="0.25">
      <c r="A512" s="129"/>
      <c r="B512" s="129"/>
    </row>
    <row r="513" spans="1:2" x14ac:dyDescent="0.25">
      <c r="A513" s="129"/>
      <c r="B513" s="129"/>
    </row>
    <row r="514" spans="1:2" x14ac:dyDescent="0.25">
      <c r="A514" s="129"/>
      <c r="B514" s="129"/>
    </row>
    <row r="515" spans="1:2" x14ac:dyDescent="0.25">
      <c r="A515" s="129"/>
      <c r="B515" s="129"/>
    </row>
    <row r="516" spans="1:2" x14ac:dyDescent="0.25">
      <c r="A516" s="129"/>
      <c r="B516" s="129"/>
    </row>
    <row r="517" spans="1:2" x14ac:dyDescent="0.25">
      <c r="A517" s="129"/>
      <c r="B517" s="129"/>
    </row>
    <row r="518" spans="1:2" x14ac:dyDescent="0.25">
      <c r="A518" s="129"/>
      <c r="B518" s="129"/>
    </row>
    <row r="519" spans="1:2" x14ac:dyDescent="0.25">
      <c r="A519" s="129"/>
      <c r="B519" s="129"/>
    </row>
    <row r="520" spans="1:2" x14ac:dyDescent="0.25">
      <c r="A520" s="129"/>
      <c r="B520" s="129"/>
    </row>
    <row r="521" spans="1:2" x14ac:dyDescent="0.25">
      <c r="A521" s="129"/>
      <c r="B521" s="129"/>
    </row>
    <row r="522" spans="1:2" x14ac:dyDescent="0.25">
      <c r="A522" s="129"/>
      <c r="B522" s="129"/>
    </row>
    <row r="523" spans="1:2" x14ac:dyDescent="0.25">
      <c r="A523" s="129"/>
      <c r="B523" s="129"/>
    </row>
    <row r="524" spans="1:2" x14ac:dyDescent="0.25">
      <c r="A524" s="129"/>
      <c r="B524" s="129"/>
    </row>
    <row r="525" spans="1:2" x14ac:dyDescent="0.25">
      <c r="A525" s="129"/>
      <c r="B525" s="129"/>
    </row>
    <row r="526" spans="1:2" x14ac:dyDescent="0.25">
      <c r="A526" s="129"/>
      <c r="B526" s="129"/>
    </row>
    <row r="527" spans="1:2" x14ac:dyDescent="0.25">
      <c r="A527" s="129"/>
      <c r="B527" s="129"/>
    </row>
    <row r="528" spans="1:2" x14ac:dyDescent="0.25">
      <c r="A528" s="129"/>
      <c r="B528" s="129"/>
    </row>
    <row r="529" spans="1:2" x14ac:dyDescent="0.25">
      <c r="A529" s="129"/>
      <c r="B529" s="129"/>
    </row>
    <row r="530" spans="1:2" x14ac:dyDescent="0.25">
      <c r="A530" s="129"/>
      <c r="B530" s="129"/>
    </row>
    <row r="531" spans="1:2" x14ac:dyDescent="0.25">
      <c r="A531" s="129"/>
      <c r="B531" s="129"/>
    </row>
    <row r="532" spans="1:2" x14ac:dyDescent="0.25">
      <c r="A532" s="129"/>
      <c r="B532" s="129"/>
    </row>
    <row r="533" spans="1:2" x14ac:dyDescent="0.25">
      <c r="A533" s="129"/>
      <c r="B533" s="129"/>
    </row>
    <row r="534" spans="1:2" x14ac:dyDescent="0.25">
      <c r="A534" s="129"/>
      <c r="B534" s="129"/>
    </row>
    <row r="535" spans="1:2" x14ac:dyDescent="0.25">
      <c r="A535" s="129"/>
      <c r="B535" s="129"/>
    </row>
    <row r="536" spans="1:2" x14ac:dyDescent="0.25">
      <c r="A536" s="129"/>
      <c r="B536" s="129"/>
    </row>
    <row r="537" spans="1:2" x14ac:dyDescent="0.25">
      <c r="A537" s="129"/>
      <c r="B537" s="129"/>
    </row>
    <row r="538" spans="1:2" x14ac:dyDescent="0.25">
      <c r="A538" s="129"/>
      <c r="B538" s="129"/>
    </row>
    <row r="539" spans="1:2" x14ac:dyDescent="0.25">
      <c r="A539" s="129"/>
      <c r="B539" s="129"/>
    </row>
    <row r="540" spans="1:2" x14ac:dyDescent="0.25">
      <c r="A540" s="129"/>
      <c r="B540" s="129"/>
    </row>
    <row r="541" spans="1:2" x14ac:dyDescent="0.25">
      <c r="A541" s="129"/>
      <c r="B541" s="129"/>
    </row>
    <row r="542" spans="1:2" x14ac:dyDescent="0.25">
      <c r="A542" s="129"/>
      <c r="B542" s="129"/>
    </row>
    <row r="543" spans="1:2" x14ac:dyDescent="0.25">
      <c r="A543" s="129"/>
      <c r="B543" s="129"/>
    </row>
    <row r="544" spans="1:2" x14ac:dyDescent="0.25">
      <c r="A544" s="129"/>
      <c r="B544" s="129"/>
    </row>
    <row r="545" spans="1:2" x14ac:dyDescent="0.25">
      <c r="A545" s="129"/>
      <c r="B545" s="129"/>
    </row>
    <row r="546" spans="1:2" x14ac:dyDescent="0.25">
      <c r="A546" s="129"/>
      <c r="B546" s="129"/>
    </row>
    <row r="547" spans="1:2" x14ac:dyDescent="0.25">
      <c r="A547" s="129"/>
      <c r="B547" s="129"/>
    </row>
    <row r="548" spans="1:2" x14ac:dyDescent="0.25">
      <c r="A548" s="129"/>
      <c r="B548" s="129"/>
    </row>
    <row r="549" spans="1:2" x14ac:dyDescent="0.25">
      <c r="A549" s="129"/>
      <c r="B549" s="129"/>
    </row>
    <row r="550" spans="1:2" x14ac:dyDescent="0.25">
      <c r="A550" s="129"/>
      <c r="B550" s="129"/>
    </row>
    <row r="551" spans="1:2" x14ac:dyDescent="0.25">
      <c r="A551" s="129"/>
      <c r="B551" s="129"/>
    </row>
    <row r="552" spans="1:2" x14ac:dyDescent="0.25">
      <c r="A552" s="129"/>
      <c r="B552" s="129"/>
    </row>
    <row r="553" spans="1:2" x14ac:dyDescent="0.25">
      <c r="A553" s="129"/>
      <c r="B553" s="129"/>
    </row>
    <row r="554" spans="1:2" x14ac:dyDescent="0.25">
      <c r="A554" s="129"/>
      <c r="B554" s="129"/>
    </row>
    <row r="555" spans="1:2" x14ac:dyDescent="0.25">
      <c r="A555" s="129"/>
      <c r="B555" s="129"/>
    </row>
    <row r="556" spans="1:2" x14ac:dyDescent="0.25">
      <c r="A556" s="129"/>
      <c r="B556" s="129"/>
    </row>
    <row r="557" spans="1:2" x14ac:dyDescent="0.25">
      <c r="A557" s="129"/>
      <c r="B557" s="129"/>
    </row>
    <row r="558" spans="1:2" x14ac:dyDescent="0.25">
      <c r="A558" s="129"/>
      <c r="B558" s="129"/>
    </row>
    <row r="559" spans="1:2" x14ac:dyDescent="0.25">
      <c r="A559" s="129"/>
      <c r="B559" s="129"/>
    </row>
    <row r="560" spans="1:2" x14ac:dyDescent="0.25">
      <c r="A560" s="129"/>
      <c r="B560" s="129"/>
    </row>
    <row r="561" spans="1:2" x14ac:dyDescent="0.25">
      <c r="A561" s="129"/>
      <c r="B561" s="129"/>
    </row>
    <row r="562" spans="1:2" x14ac:dyDescent="0.25">
      <c r="A562" s="129"/>
      <c r="B562" s="129"/>
    </row>
    <row r="563" spans="1:2" x14ac:dyDescent="0.25">
      <c r="A563" s="129"/>
      <c r="B563" s="129"/>
    </row>
    <row r="564" spans="1:2" x14ac:dyDescent="0.25">
      <c r="A564" s="129"/>
      <c r="B564" s="129"/>
    </row>
    <row r="565" spans="1:2" x14ac:dyDescent="0.25">
      <c r="A565" s="129"/>
      <c r="B565" s="129"/>
    </row>
    <row r="566" spans="1:2" x14ac:dyDescent="0.25">
      <c r="A566" s="129"/>
      <c r="B566" s="129"/>
    </row>
    <row r="567" spans="1:2" x14ac:dyDescent="0.25">
      <c r="A567" s="129"/>
      <c r="B567" s="129"/>
    </row>
    <row r="568" spans="1:2" x14ac:dyDescent="0.25">
      <c r="A568" s="129"/>
      <c r="B568" s="129"/>
    </row>
    <row r="569" spans="1:2" x14ac:dyDescent="0.25">
      <c r="A569" s="129"/>
      <c r="B569" s="129"/>
    </row>
    <row r="570" spans="1:2" x14ac:dyDescent="0.25">
      <c r="A570" s="129"/>
      <c r="B570" s="129"/>
    </row>
    <row r="571" spans="1:2" x14ac:dyDescent="0.25">
      <c r="A571" s="129"/>
      <c r="B571" s="129"/>
    </row>
    <row r="572" spans="1:2" x14ac:dyDescent="0.25">
      <c r="A572" s="129"/>
      <c r="B572" s="129"/>
    </row>
    <row r="573" spans="1:2" x14ac:dyDescent="0.25">
      <c r="A573" s="129"/>
      <c r="B573" s="129"/>
    </row>
    <row r="574" spans="1:2" x14ac:dyDescent="0.25">
      <c r="A574" s="129"/>
      <c r="B574" s="129"/>
    </row>
    <row r="575" spans="1:2" x14ac:dyDescent="0.25">
      <c r="A575" s="129"/>
      <c r="B575" s="129"/>
    </row>
    <row r="576" spans="1:2" x14ac:dyDescent="0.25">
      <c r="A576" s="129"/>
      <c r="B576" s="129"/>
    </row>
    <row r="577" spans="1:2" x14ac:dyDescent="0.25">
      <c r="A577" s="129"/>
      <c r="B577" s="129"/>
    </row>
    <row r="578" spans="1:2" x14ac:dyDescent="0.25">
      <c r="A578" s="129"/>
      <c r="B578" s="129"/>
    </row>
    <row r="579" spans="1:2" x14ac:dyDescent="0.25">
      <c r="A579" s="129"/>
      <c r="B579" s="129"/>
    </row>
    <row r="580" spans="1:2" x14ac:dyDescent="0.25">
      <c r="A580" s="129"/>
      <c r="B580" s="129"/>
    </row>
    <row r="581" spans="1:2" x14ac:dyDescent="0.25">
      <c r="A581" s="129"/>
      <c r="B581" s="129"/>
    </row>
    <row r="582" spans="1:2" x14ac:dyDescent="0.25">
      <c r="A582" s="129"/>
      <c r="B582" s="129"/>
    </row>
    <row r="583" spans="1:2" x14ac:dyDescent="0.25">
      <c r="A583" s="129"/>
      <c r="B583" s="129"/>
    </row>
    <row r="584" spans="1:2" x14ac:dyDescent="0.25">
      <c r="A584" s="129"/>
      <c r="B584" s="129"/>
    </row>
    <row r="585" spans="1:2" x14ac:dyDescent="0.25">
      <c r="A585" s="129"/>
      <c r="B585" s="129"/>
    </row>
    <row r="586" spans="1:2" x14ac:dyDescent="0.25">
      <c r="A586" s="129"/>
      <c r="B586" s="129"/>
    </row>
    <row r="587" spans="1:2" x14ac:dyDescent="0.25">
      <c r="A587" s="129"/>
      <c r="B587" s="129"/>
    </row>
    <row r="588" spans="1:2" x14ac:dyDescent="0.25">
      <c r="A588" s="129"/>
      <c r="B588" s="129"/>
    </row>
    <row r="589" spans="1:2" x14ac:dyDescent="0.25">
      <c r="A589" s="129"/>
      <c r="B589" s="129"/>
    </row>
    <row r="590" spans="1:2" x14ac:dyDescent="0.25">
      <c r="A590" s="129"/>
      <c r="B590" s="129"/>
    </row>
    <row r="591" spans="1:2" x14ac:dyDescent="0.25">
      <c r="A591" s="129"/>
      <c r="B591" s="129"/>
    </row>
    <row r="592" spans="1:2" x14ac:dyDescent="0.25">
      <c r="A592" s="129"/>
      <c r="B592" s="129"/>
    </row>
    <row r="593" spans="1:2" x14ac:dyDescent="0.25">
      <c r="A593" s="129"/>
      <c r="B593" s="129"/>
    </row>
    <row r="594" spans="1:2" x14ac:dyDescent="0.25">
      <c r="A594" s="129"/>
      <c r="B594" s="129"/>
    </row>
    <row r="595" spans="1:2" x14ac:dyDescent="0.25">
      <c r="A595" s="129"/>
      <c r="B595" s="129"/>
    </row>
    <row r="596" spans="1:2" x14ac:dyDescent="0.25">
      <c r="A596" s="129"/>
      <c r="B596" s="129"/>
    </row>
    <row r="597" spans="1:2" x14ac:dyDescent="0.25">
      <c r="A597" s="129"/>
      <c r="B597" s="129"/>
    </row>
    <row r="598" spans="1:2" x14ac:dyDescent="0.25">
      <c r="A598" s="129"/>
      <c r="B598" s="129"/>
    </row>
    <row r="599" spans="1:2" x14ac:dyDescent="0.25">
      <c r="A599" s="129"/>
      <c r="B599" s="129"/>
    </row>
    <row r="600" spans="1:2" x14ac:dyDescent="0.25">
      <c r="A600" s="129"/>
      <c r="B600" s="129"/>
    </row>
    <row r="601" spans="1:2" x14ac:dyDescent="0.25">
      <c r="A601" s="129"/>
      <c r="B601" s="129"/>
    </row>
    <row r="602" spans="1:2" x14ac:dyDescent="0.25">
      <c r="A602" s="129"/>
      <c r="B602" s="129"/>
    </row>
    <row r="603" spans="1:2" x14ac:dyDescent="0.25">
      <c r="A603" s="129"/>
      <c r="B603" s="129"/>
    </row>
    <row r="604" spans="1:2" x14ac:dyDescent="0.25">
      <c r="A604" s="129"/>
      <c r="B604" s="129"/>
    </row>
    <row r="605" spans="1:2" x14ac:dyDescent="0.25">
      <c r="A605" s="129"/>
      <c r="B605" s="129"/>
    </row>
    <row r="606" spans="1:2" x14ac:dyDescent="0.25">
      <c r="A606" s="129"/>
      <c r="B606" s="129"/>
    </row>
    <row r="607" spans="1:2" x14ac:dyDescent="0.25">
      <c r="A607" s="129"/>
      <c r="B607" s="129"/>
    </row>
    <row r="608" spans="1:2" x14ac:dyDescent="0.25">
      <c r="A608" s="129"/>
      <c r="B608" s="129"/>
    </row>
    <row r="609" spans="1:2" x14ac:dyDescent="0.25">
      <c r="A609" s="129"/>
      <c r="B609" s="129"/>
    </row>
    <row r="610" spans="1:2" x14ac:dyDescent="0.25">
      <c r="A610" s="129"/>
      <c r="B610" s="129"/>
    </row>
    <row r="611" spans="1:2" x14ac:dyDescent="0.25">
      <c r="A611" s="129"/>
      <c r="B611" s="129"/>
    </row>
    <row r="612" spans="1:2" x14ac:dyDescent="0.25">
      <c r="A612" s="129"/>
      <c r="B612" s="129"/>
    </row>
    <row r="613" spans="1:2" x14ac:dyDescent="0.25">
      <c r="A613" s="129"/>
      <c r="B613" s="129"/>
    </row>
    <row r="614" spans="1:2" x14ac:dyDescent="0.25">
      <c r="A614" s="129"/>
      <c r="B614" s="129"/>
    </row>
    <row r="615" spans="1:2" x14ac:dyDescent="0.25">
      <c r="A615" s="129"/>
      <c r="B615" s="129"/>
    </row>
    <row r="616" spans="1:2" x14ac:dyDescent="0.25">
      <c r="A616" s="129"/>
      <c r="B616" s="129"/>
    </row>
    <row r="617" spans="1:2" x14ac:dyDescent="0.25">
      <c r="A617" s="129"/>
      <c r="B617" s="129"/>
    </row>
    <row r="618" spans="1:2" x14ac:dyDescent="0.25">
      <c r="A618" s="129"/>
      <c r="B618" s="129"/>
    </row>
    <row r="619" spans="1:2" x14ac:dyDescent="0.25">
      <c r="A619" s="129"/>
      <c r="B619" s="129"/>
    </row>
    <row r="620" spans="1:2" x14ac:dyDescent="0.25">
      <c r="A620" s="129"/>
      <c r="B620" s="129"/>
    </row>
    <row r="621" spans="1:2" x14ac:dyDescent="0.25">
      <c r="A621" s="129"/>
      <c r="B621" s="129"/>
    </row>
    <row r="622" spans="1:2" x14ac:dyDescent="0.25">
      <c r="A622" s="129"/>
      <c r="B622" s="129"/>
    </row>
    <row r="623" spans="1:2" x14ac:dyDescent="0.25">
      <c r="A623" s="129"/>
      <c r="B623" s="129"/>
    </row>
    <row r="624" spans="1:2" x14ac:dyDescent="0.25">
      <c r="A624" s="129"/>
      <c r="B624" s="129"/>
    </row>
    <row r="625" spans="1:2" x14ac:dyDescent="0.25">
      <c r="A625" s="129"/>
      <c r="B625" s="129"/>
    </row>
    <row r="626" spans="1:2" x14ac:dyDescent="0.25">
      <c r="A626" s="129"/>
      <c r="B626" s="129"/>
    </row>
    <row r="627" spans="1:2" x14ac:dyDescent="0.25">
      <c r="A627" s="129"/>
      <c r="B627" s="129"/>
    </row>
    <row r="628" spans="1:2" x14ac:dyDescent="0.25">
      <c r="A628" s="129"/>
      <c r="B628" s="129"/>
    </row>
    <row r="629" spans="1:2" x14ac:dyDescent="0.25">
      <c r="A629" s="129"/>
      <c r="B629" s="129"/>
    </row>
    <row r="630" spans="1:2" x14ac:dyDescent="0.25">
      <c r="A630" s="129"/>
      <c r="B630" s="129"/>
    </row>
    <row r="631" spans="1:2" x14ac:dyDescent="0.25">
      <c r="A631" s="129"/>
      <c r="B631" s="129"/>
    </row>
    <row r="632" spans="1:2" x14ac:dyDescent="0.25">
      <c r="A632" s="129"/>
      <c r="B632" s="129"/>
    </row>
    <row r="633" spans="1:2" x14ac:dyDescent="0.25">
      <c r="A633" s="129"/>
      <c r="B633" s="129"/>
    </row>
    <row r="634" spans="1:2" x14ac:dyDescent="0.25">
      <c r="A634" s="129"/>
      <c r="B634" s="129"/>
    </row>
    <row r="635" spans="1:2" x14ac:dyDescent="0.25">
      <c r="A635" s="129"/>
      <c r="B635" s="129"/>
    </row>
    <row r="636" spans="1:2" x14ac:dyDescent="0.25">
      <c r="A636" s="129"/>
      <c r="B636" s="129"/>
    </row>
    <row r="637" spans="1:2" x14ac:dyDescent="0.25">
      <c r="A637" s="129"/>
      <c r="B637" s="129"/>
    </row>
    <row r="638" spans="1:2" x14ac:dyDescent="0.25">
      <c r="A638" s="129"/>
      <c r="B638" s="129"/>
    </row>
    <row r="639" spans="1:2" x14ac:dyDescent="0.25">
      <c r="A639" s="129"/>
      <c r="B639" s="129"/>
    </row>
    <row r="640" spans="1:2" x14ac:dyDescent="0.25">
      <c r="A640" s="129"/>
      <c r="B640" s="129"/>
    </row>
    <row r="641" spans="1:2" x14ac:dyDescent="0.25">
      <c r="A641" s="129"/>
      <c r="B641" s="129"/>
    </row>
    <row r="642" spans="1:2" x14ac:dyDescent="0.25">
      <c r="A642" s="129"/>
      <c r="B642" s="129"/>
    </row>
    <row r="643" spans="1:2" x14ac:dyDescent="0.25">
      <c r="A643" s="129"/>
      <c r="B643" s="129"/>
    </row>
    <row r="644" spans="1:2" x14ac:dyDescent="0.25">
      <c r="A644" s="129"/>
      <c r="B644" s="129"/>
    </row>
    <row r="645" spans="1:2" x14ac:dyDescent="0.25">
      <c r="A645" s="129"/>
      <c r="B645" s="129"/>
    </row>
    <row r="646" spans="1:2" x14ac:dyDescent="0.25">
      <c r="A646" s="129"/>
      <c r="B646" s="129"/>
    </row>
    <row r="647" spans="1:2" x14ac:dyDescent="0.25">
      <c r="A647" s="129"/>
      <c r="B647" s="129"/>
    </row>
    <row r="648" spans="1:2" x14ac:dyDescent="0.25">
      <c r="A648" s="129"/>
      <c r="B648" s="129"/>
    </row>
    <row r="649" spans="1:2" x14ac:dyDescent="0.25">
      <c r="A649" s="129"/>
      <c r="B649" s="129"/>
    </row>
    <row r="650" spans="1:2" x14ac:dyDescent="0.25">
      <c r="A650" s="129"/>
      <c r="B650" s="129"/>
    </row>
    <row r="651" spans="1:2" x14ac:dyDescent="0.25">
      <c r="A651" s="129"/>
      <c r="B651" s="129"/>
    </row>
    <row r="652" spans="1:2" x14ac:dyDescent="0.25">
      <c r="A652" s="129"/>
      <c r="B652" s="129"/>
    </row>
    <row r="653" spans="1:2" x14ac:dyDescent="0.25">
      <c r="A653" s="129"/>
      <c r="B653" s="129"/>
    </row>
    <row r="654" spans="1:2" x14ac:dyDescent="0.25">
      <c r="A654" s="129"/>
      <c r="B654" s="129"/>
    </row>
    <row r="655" spans="1:2" x14ac:dyDescent="0.25">
      <c r="A655" s="129"/>
      <c r="B655" s="129"/>
    </row>
    <row r="656" spans="1:2" x14ac:dyDescent="0.25">
      <c r="A656" s="129"/>
      <c r="B656" s="129"/>
    </row>
    <row r="657" spans="1:2" x14ac:dyDescent="0.25">
      <c r="A657" s="129"/>
      <c r="B657" s="129"/>
    </row>
    <row r="658" spans="1:2" x14ac:dyDescent="0.25">
      <c r="A658" s="129"/>
      <c r="B658" s="129"/>
    </row>
    <row r="659" spans="1:2" x14ac:dyDescent="0.25">
      <c r="A659" s="129"/>
      <c r="B659" s="129"/>
    </row>
    <row r="660" spans="1:2" x14ac:dyDescent="0.25">
      <c r="A660" s="129"/>
      <c r="B660" s="129"/>
    </row>
    <row r="661" spans="1:2" x14ac:dyDescent="0.25">
      <c r="A661" s="129"/>
      <c r="B661" s="129"/>
    </row>
    <row r="662" spans="1:2" x14ac:dyDescent="0.25">
      <c r="A662" s="129"/>
      <c r="B662" s="129"/>
    </row>
    <row r="663" spans="1:2" x14ac:dyDescent="0.25">
      <c r="A663" s="129"/>
      <c r="B663" s="129"/>
    </row>
    <row r="664" spans="1:2" x14ac:dyDescent="0.25">
      <c r="A664" s="129"/>
      <c r="B664" s="129"/>
    </row>
    <row r="665" spans="1:2" x14ac:dyDescent="0.25">
      <c r="A665" s="129"/>
      <c r="B665" s="129"/>
    </row>
    <row r="666" spans="1:2" x14ac:dyDescent="0.25">
      <c r="A666" s="129"/>
      <c r="B666" s="129"/>
    </row>
    <row r="667" spans="1:2" x14ac:dyDescent="0.25">
      <c r="A667" s="129"/>
      <c r="B667" s="129"/>
    </row>
    <row r="668" spans="1:2" x14ac:dyDescent="0.25">
      <c r="A668" s="129"/>
      <c r="B668" s="129"/>
    </row>
    <row r="669" spans="1:2" x14ac:dyDescent="0.25">
      <c r="A669" s="129"/>
      <c r="B669" s="129"/>
    </row>
    <row r="670" spans="1:2" x14ac:dyDescent="0.25">
      <c r="A670" s="129"/>
      <c r="B670" s="129"/>
    </row>
    <row r="671" spans="1:2" x14ac:dyDescent="0.25">
      <c r="A671" s="129"/>
      <c r="B671" s="129"/>
    </row>
    <row r="672" spans="1:2" x14ac:dyDescent="0.25">
      <c r="A672" s="129"/>
      <c r="B672" s="129"/>
    </row>
    <row r="673" spans="1:2" x14ac:dyDescent="0.25">
      <c r="A673" s="129"/>
      <c r="B673" s="129"/>
    </row>
    <row r="674" spans="1:2" x14ac:dyDescent="0.25">
      <c r="A674" s="129"/>
      <c r="B674" s="129"/>
    </row>
    <row r="675" spans="1:2" x14ac:dyDescent="0.25">
      <c r="A675" s="129"/>
      <c r="B675" s="129"/>
    </row>
    <row r="676" spans="1:2" x14ac:dyDescent="0.25">
      <c r="A676" s="129"/>
      <c r="B676" s="129"/>
    </row>
    <row r="677" spans="1:2" x14ac:dyDescent="0.25">
      <c r="A677" s="129"/>
      <c r="B677" s="129"/>
    </row>
    <row r="678" spans="1:2" x14ac:dyDescent="0.25">
      <c r="A678" s="129"/>
      <c r="B678" s="129"/>
    </row>
    <row r="679" spans="1:2" x14ac:dyDescent="0.25">
      <c r="A679" s="129"/>
      <c r="B679" s="129"/>
    </row>
    <row r="680" spans="1:2" x14ac:dyDescent="0.25">
      <c r="A680" s="129"/>
      <c r="B680" s="129"/>
    </row>
    <row r="681" spans="1:2" x14ac:dyDescent="0.25">
      <c r="A681" s="129"/>
      <c r="B681" s="129"/>
    </row>
    <row r="682" spans="1:2" x14ac:dyDescent="0.25">
      <c r="A682" s="129"/>
      <c r="B682" s="129"/>
    </row>
    <row r="683" spans="1:2" x14ac:dyDescent="0.25">
      <c r="A683" s="129"/>
      <c r="B683" s="129"/>
    </row>
    <row r="684" spans="1:2" x14ac:dyDescent="0.25">
      <c r="A684" s="129"/>
      <c r="B684" s="129"/>
    </row>
    <row r="685" spans="1:2" x14ac:dyDescent="0.25">
      <c r="A685" s="129"/>
      <c r="B685" s="129"/>
    </row>
    <row r="686" spans="1:2" x14ac:dyDescent="0.25">
      <c r="A686" s="129"/>
      <c r="B686" s="129"/>
    </row>
    <row r="687" spans="1:2" x14ac:dyDescent="0.25">
      <c r="A687" s="129"/>
      <c r="B687" s="129"/>
    </row>
    <row r="688" spans="1:2" x14ac:dyDescent="0.25">
      <c r="A688" s="129"/>
      <c r="B688" s="129"/>
    </row>
    <row r="689" spans="1:2" x14ac:dyDescent="0.25">
      <c r="A689" s="129"/>
      <c r="B689" s="129"/>
    </row>
    <row r="690" spans="1:2" x14ac:dyDescent="0.25">
      <c r="A690" s="129"/>
      <c r="B690" s="129"/>
    </row>
    <row r="691" spans="1:2" x14ac:dyDescent="0.25">
      <c r="A691" s="129"/>
      <c r="B691" s="129"/>
    </row>
    <row r="692" spans="1:2" x14ac:dyDescent="0.25">
      <c r="A692" s="129"/>
      <c r="B692" s="129"/>
    </row>
    <row r="693" spans="1:2" x14ac:dyDescent="0.25">
      <c r="A693" s="129"/>
      <c r="B693" s="129"/>
    </row>
    <row r="694" spans="1:2" x14ac:dyDescent="0.25">
      <c r="A694" s="129"/>
      <c r="B694" s="129"/>
    </row>
    <row r="695" spans="1:2" x14ac:dyDescent="0.25">
      <c r="A695" s="129"/>
      <c r="B695" s="129"/>
    </row>
    <row r="696" spans="1:2" x14ac:dyDescent="0.25">
      <c r="A696" s="129"/>
      <c r="B696" s="129"/>
    </row>
    <row r="697" spans="1:2" x14ac:dyDescent="0.25">
      <c r="A697" s="129"/>
      <c r="B697" s="129"/>
    </row>
    <row r="698" spans="1:2" x14ac:dyDescent="0.25">
      <c r="A698" s="129"/>
      <c r="B698" s="129"/>
    </row>
    <row r="699" spans="1:2" x14ac:dyDescent="0.25">
      <c r="A699" s="129"/>
      <c r="B699" s="129"/>
    </row>
    <row r="700" spans="1:2" x14ac:dyDescent="0.25">
      <c r="A700" s="129"/>
      <c r="B700" s="129"/>
    </row>
    <row r="701" spans="1:2" x14ac:dyDescent="0.25">
      <c r="A701" s="129"/>
      <c r="B701" s="129"/>
    </row>
    <row r="702" spans="1:2" x14ac:dyDescent="0.25">
      <c r="A702" s="129"/>
      <c r="B702" s="129"/>
    </row>
    <row r="703" spans="1:2" x14ac:dyDescent="0.25">
      <c r="A703" s="129"/>
      <c r="B703" s="129"/>
    </row>
    <row r="704" spans="1:2" x14ac:dyDescent="0.25">
      <c r="A704" s="129"/>
      <c r="B704" s="129"/>
    </row>
    <row r="705" spans="1:2" x14ac:dyDescent="0.25">
      <c r="A705" s="129"/>
      <c r="B705" s="129"/>
    </row>
    <row r="706" spans="1:2" x14ac:dyDescent="0.25">
      <c r="A706" s="129"/>
      <c r="B706" s="129"/>
    </row>
    <row r="707" spans="1:2" x14ac:dyDescent="0.25">
      <c r="A707" s="129"/>
      <c r="B707" s="129"/>
    </row>
    <row r="708" spans="1:2" x14ac:dyDescent="0.25">
      <c r="A708" s="129"/>
      <c r="B708" s="129"/>
    </row>
    <row r="709" spans="1:2" x14ac:dyDescent="0.25">
      <c r="A709" s="129"/>
      <c r="B709" s="129"/>
    </row>
    <row r="710" spans="1:2" x14ac:dyDescent="0.25">
      <c r="A710" s="129"/>
      <c r="B710" s="129"/>
    </row>
    <row r="711" spans="1:2" x14ac:dyDescent="0.25">
      <c r="A711" s="129"/>
      <c r="B711" s="129"/>
    </row>
    <row r="712" spans="1:2" x14ac:dyDescent="0.25">
      <c r="A712" s="129"/>
      <c r="B712" s="129"/>
    </row>
    <row r="713" spans="1:2" x14ac:dyDescent="0.25">
      <c r="A713" s="129"/>
      <c r="B713" s="129"/>
    </row>
    <row r="714" spans="1:2" x14ac:dyDescent="0.25">
      <c r="A714" s="129"/>
      <c r="B714" s="129"/>
    </row>
    <row r="715" spans="1:2" x14ac:dyDescent="0.25">
      <c r="A715" s="129"/>
      <c r="B715" s="129"/>
    </row>
    <row r="716" spans="1:2" x14ac:dyDescent="0.25">
      <c r="A716" s="129"/>
      <c r="B716" s="129"/>
    </row>
    <row r="717" spans="1:2" x14ac:dyDescent="0.25">
      <c r="A717" s="129"/>
      <c r="B717" s="129"/>
    </row>
    <row r="718" spans="1:2" x14ac:dyDescent="0.25">
      <c r="A718" s="129"/>
      <c r="B718" s="129"/>
    </row>
    <row r="719" spans="1:2" x14ac:dyDescent="0.25">
      <c r="A719" s="129"/>
      <c r="B719" s="129"/>
    </row>
    <row r="720" spans="1:2" x14ac:dyDescent="0.25">
      <c r="A720" s="129"/>
      <c r="B720" s="129"/>
    </row>
    <row r="721" spans="1:2" x14ac:dyDescent="0.25">
      <c r="A721" s="129"/>
      <c r="B721" s="129"/>
    </row>
    <row r="722" spans="1:2" x14ac:dyDescent="0.25">
      <c r="A722" s="129"/>
      <c r="B722" s="129"/>
    </row>
    <row r="723" spans="1:2" x14ac:dyDescent="0.25">
      <c r="A723" s="129"/>
      <c r="B723" s="129"/>
    </row>
    <row r="724" spans="1:2" x14ac:dyDescent="0.25">
      <c r="A724" s="129"/>
      <c r="B724" s="129"/>
    </row>
    <row r="725" spans="1:2" x14ac:dyDescent="0.25">
      <c r="A725" s="129"/>
      <c r="B725" s="129"/>
    </row>
    <row r="726" spans="1:2" x14ac:dyDescent="0.25">
      <c r="A726" s="129"/>
      <c r="B726" s="129"/>
    </row>
    <row r="727" spans="1:2" x14ac:dyDescent="0.25">
      <c r="A727" s="129"/>
      <c r="B727" s="129"/>
    </row>
    <row r="728" spans="1:2" x14ac:dyDescent="0.25">
      <c r="A728" s="129"/>
      <c r="B728" s="129"/>
    </row>
    <row r="729" spans="1:2" x14ac:dyDescent="0.25">
      <c r="A729" s="129"/>
      <c r="B729" s="129"/>
    </row>
    <row r="730" spans="1:2" x14ac:dyDescent="0.25">
      <c r="A730" s="129"/>
      <c r="B730" s="129"/>
    </row>
    <row r="731" spans="1:2" x14ac:dyDescent="0.25">
      <c r="A731" s="129"/>
      <c r="B731" s="129"/>
    </row>
    <row r="732" spans="1:2" x14ac:dyDescent="0.25">
      <c r="A732" s="129"/>
      <c r="B732" s="129"/>
    </row>
    <row r="733" spans="1:2" x14ac:dyDescent="0.25">
      <c r="A733" s="129"/>
      <c r="B733" s="129"/>
    </row>
    <row r="734" spans="1:2" x14ac:dyDescent="0.25">
      <c r="A734" s="129"/>
      <c r="B734" s="129"/>
    </row>
    <row r="735" spans="1:2" x14ac:dyDescent="0.25">
      <c r="A735" s="129"/>
      <c r="B735" s="129"/>
    </row>
    <row r="736" spans="1:2" x14ac:dyDescent="0.25">
      <c r="A736" s="129"/>
      <c r="B736" s="129"/>
    </row>
    <row r="737" spans="1:2" x14ac:dyDescent="0.25">
      <c r="A737" s="129"/>
      <c r="B737" s="129"/>
    </row>
    <row r="738" spans="1:2" x14ac:dyDescent="0.25">
      <c r="A738" s="129"/>
      <c r="B738" s="129"/>
    </row>
    <row r="739" spans="1:2" x14ac:dyDescent="0.25">
      <c r="A739" s="129"/>
      <c r="B739" s="129"/>
    </row>
    <row r="740" spans="1:2" x14ac:dyDescent="0.25">
      <c r="A740" s="129"/>
      <c r="B740" s="129"/>
    </row>
    <row r="741" spans="1:2" x14ac:dyDescent="0.25">
      <c r="A741" s="129"/>
      <c r="B741" s="129"/>
    </row>
    <row r="742" spans="1:2" x14ac:dyDescent="0.25">
      <c r="A742" s="129"/>
      <c r="B742" s="129"/>
    </row>
    <row r="743" spans="1:2" x14ac:dyDescent="0.25">
      <c r="A743" s="129"/>
      <c r="B743" s="129"/>
    </row>
    <row r="744" spans="1:2" x14ac:dyDescent="0.25">
      <c r="A744" s="129"/>
      <c r="B744" s="129"/>
    </row>
    <row r="745" spans="1:2" x14ac:dyDescent="0.25">
      <c r="A745" s="129"/>
      <c r="B745" s="129"/>
    </row>
    <row r="746" spans="1:2" x14ac:dyDescent="0.25">
      <c r="A746" s="129"/>
      <c r="B746" s="129"/>
    </row>
    <row r="747" spans="1:2" x14ac:dyDescent="0.25">
      <c r="A747" s="129"/>
      <c r="B747" s="129"/>
    </row>
    <row r="748" spans="1:2" x14ac:dyDescent="0.25">
      <c r="A748" s="129"/>
      <c r="B748" s="129"/>
    </row>
    <row r="749" spans="1:2" x14ac:dyDescent="0.25">
      <c r="A749" s="129"/>
      <c r="B749" s="129"/>
    </row>
    <row r="750" spans="1:2" x14ac:dyDescent="0.25">
      <c r="A750" s="129"/>
      <c r="B750" s="129"/>
    </row>
    <row r="751" spans="1:2" x14ac:dyDescent="0.25">
      <c r="A751" s="129"/>
      <c r="B751" s="129"/>
    </row>
    <row r="752" spans="1:2" x14ac:dyDescent="0.25">
      <c r="A752" s="129"/>
      <c r="B752" s="129"/>
    </row>
    <row r="753" spans="1:2" x14ac:dyDescent="0.25">
      <c r="A753" s="129"/>
      <c r="B753" s="129"/>
    </row>
    <row r="754" spans="1:2" x14ac:dyDescent="0.25">
      <c r="A754" s="129"/>
      <c r="B754" s="129"/>
    </row>
    <row r="755" spans="1:2" x14ac:dyDescent="0.25">
      <c r="A755" s="129"/>
      <c r="B755" s="129"/>
    </row>
    <row r="756" spans="1:2" x14ac:dyDescent="0.25">
      <c r="A756" s="129"/>
      <c r="B756" s="129"/>
    </row>
    <row r="757" spans="1:2" x14ac:dyDescent="0.25">
      <c r="A757" s="129"/>
      <c r="B757" s="129"/>
    </row>
    <row r="758" spans="1:2" x14ac:dyDescent="0.25">
      <c r="A758" s="129"/>
      <c r="B758" s="129"/>
    </row>
    <row r="759" spans="1:2" x14ac:dyDescent="0.25">
      <c r="A759" s="129"/>
      <c r="B759" s="129"/>
    </row>
    <row r="760" spans="1:2" x14ac:dyDescent="0.25">
      <c r="A760" s="129"/>
      <c r="B760" s="129"/>
    </row>
    <row r="761" spans="1:2" x14ac:dyDescent="0.25">
      <c r="A761" s="129"/>
      <c r="B761" s="129"/>
    </row>
    <row r="762" spans="1:2" x14ac:dyDescent="0.25">
      <c r="A762" s="129"/>
      <c r="B762" s="129"/>
    </row>
    <row r="763" spans="1:2" x14ac:dyDescent="0.25">
      <c r="A763" s="129"/>
      <c r="B763" s="129"/>
    </row>
    <row r="764" spans="1:2" x14ac:dyDescent="0.25">
      <c r="A764" s="129"/>
      <c r="B764" s="129"/>
    </row>
    <row r="765" spans="1:2" x14ac:dyDescent="0.25">
      <c r="A765" s="129"/>
      <c r="B765" s="129"/>
    </row>
    <row r="766" spans="1:2" x14ac:dyDescent="0.25">
      <c r="A766" s="129"/>
      <c r="B766" s="129"/>
    </row>
    <row r="767" spans="1:2" x14ac:dyDescent="0.25">
      <c r="A767" s="129"/>
      <c r="B767" s="129"/>
    </row>
    <row r="768" spans="1:2" x14ac:dyDescent="0.25">
      <c r="A768" s="129"/>
      <c r="B768" s="129"/>
    </row>
    <row r="769" spans="1:2" x14ac:dyDescent="0.25">
      <c r="A769" s="129"/>
      <c r="B769" s="129"/>
    </row>
    <row r="770" spans="1:2" x14ac:dyDescent="0.25">
      <c r="A770" s="129"/>
      <c r="B770" s="129"/>
    </row>
    <row r="771" spans="1:2" x14ac:dyDescent="0.25">
      <c r="A771" s="129"/>
      <c r="B771" s="129"/>
    </row>
    <row r="772" spans="1:2" x14ac:dyDescent="0.25">
      <c r="A772" s="129"/>
      <c r="B772" s="129"/>
    </row>
    <row r="773" spans="1:2" x14ac:dyDescent="0.25">
      <c r="A773" s="129"/>
      <c r="B773" s="129"/>
    </row>
    <row r="774" spans="1:2" x14ac:dyDescent="0.25">
      <c r="A774" s="129"/>
      <c r="B774" s="129"/>
    </row>
    <row r="775" spans="1:2" x14ac:dyDescent="0.25">
      <c r="A775" s="129"/>
      <c r="B775" s="129"/>
    </row>
    <row r="776" spans="1:2" x14ac:dyDescent="0.25">
      <c r="A776" s="129"/>
      <c r="B776" s="129"/>
    </row>
    <row r="777" spans="1:2" x14ac:dyDescent="0.25">
      <c r="A777" s="129"/>
      <c r="B777" s="129"/>
    </row>
    <row r="778" spans="1:2" x14ac:dyDescent="0.25">
      <c r="A778" s="129"/>
      <c r="B778" s="129"/>
    </row>
    <row r="779" spans="1:2" x14ac:dyDescent="0.25">
      <c r="A779" s="129"/>
      <c r="B779" s="129"/>
    </row>
    <row r="780" spans="1:2" x14ac:dyDescent="0.25">
      <c r="A780" s="129"/>
      <c r="B780" s="129"/>
    </row>
    <row r="781" spans="1:2" x14ac:dyDescent="0.25">
      <c r="A781" s="129"/>
      <c r="B781" s="129"/>
    </row>
    <row r="782" spans="1:2" x14ac:dyDescent="0.25">
      <c r="A782" s="129"/>
      <c r="B782" s="129"/>
    </row>
    <row r="783" spans="1:2" x14ac:dyDescent="0.25">
      <c r="A783" s="129"/>
      <c r="B783" s="129"/>
    </row>
    <row r="784" spans="1:2" x14ac:dyDescent="0.25">
      <c r="A784" s="129"/>
      <c r="B784" s="129"/>
    </row>
    <row r="785" spans="1:2" x14ac:dyDescent="0.25">
      <c r="A785" s="129"/>
      <c r="B785" s="129"/>
    </row>
    <row r="786" spans="1:2" x14ac:dyDescent="0.25">
      <c r="A786" s="129"/>
      <c r="B786" s="129"/>
    </row>
    <row r="787" spans="1:2" x14ac:dyDescent="0.25">
      <c r="A787" s="129"/>
      <c r="B787" s="129"/>
    </row>
    <row r="788" spans="1:2" x14ac:dyDescent="0.25">
      <c r="A788" s="129"/>
      <c r="B788" s="129"/>
    </row>
    <row r="789" spans="1:2" x14ac:dyDescent="0.25">
      <c r="A789" s="129"/>
      <c r="B789" s="129"/>
    </row>
    <row r="790" spans="1:2" x14ac:dyDescent="0.25">
      <c r="A790" s="129"/>
      <c r="B790" s="129"/>
    </row>
    <row r="791" spans="1:2" x14ac:dyDescent="0.25">
      <c r="A791" s="129"/>
      <c r="B791" s="129"/>
    </row>
    <row r="792" spans="1:2" x14ac:dyDescent="0.25">
      <c r="A792" s="129"/>
      <c r="B792" s="129"/>
    </row>
    <row r="793" spans="1:2" x14ac:dyDescent="0.25">
      <c r="A793" s="129"/>
      <c r="B793" s="129"/>
    </row>
  </sheetData>
  <sheetProtection algorithmName="SHA-512" hashValue="Q6l1RYcve6JT+wQPQ8p457NyAlKvqEgZaYPXiiPTe1dK7mvCAJ9ov82oyYZPnq26rQ3AxkUxtNOQzZtQlmWmLw==" saltValue="EHSmAB58BtgsOA4/ja3g4A==" spinCount="100000" sheet="1" objects="1" scenarios="1"/>
  <conditionalFormatting sqref="A6">
    <cfRule type="expression" priority="9" stopIfTrue="1">
      <formula>MOD(ROW(),2)=0</formula>
    </cfRule>
    <cfRule type="expression" priority="10" stopIfTrue="1">
      <formula>MOD(ROW(),2)&lt;&gt;0</formula>
    </cfRule>
  </conditionalFormatting>
  <conditionalFormatting sqref="A8:B55">
    <cfRule type="expression" dxfId="817" priority="1" stopIfTrue="1">
      <formula>MOD(ROW(),2)=0</formula>
    </cfRule>
    <cfRule type="expression" dxfId="816"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9"/>
  <dimension ref="A1:AV65"/>
  <sheetViews>
    <sheetView showGridLines="0" topLeftCell="H1" zoomScale="85" zoomScaleNormal="85" workbookViewId="0">
      <selection activeCell="A4" sqref="A4"/>
    </sheetView>
  </sheetViews>
  <sheetFormatPr defaultColWidth="10" defaultRowHeight="13.2" x14ac:dyDescent="0.25"/>
  <cols>
    <col min="1" max="1" width="31.88671875" style="27" customWidth="1"/>
    <col min="2" max="48" width="22.88671875" style="27" customWidth="1"/>
    <col min="49" max="16384" width="10" style="27"/>
  </cols>
  <sheetData>
    <row r="1" spans="1:48" ht="21" x14ac:dyDescent="0.4">
      <c r="A1" s="39" t="s">
        <v>0</v>
      </c>
      <c r="B1" s="40"/>
      <c r="C1" s="40"/>
      <c r="D1" s="40"/>
      <c r="E1" s="40"/>
      <c r="F1" s="40"/>
      <c r="G1" s="40"/>
      <c r="H1" s="40"/>
      <c r="I1" s="40"/>
    </row>
    <row r="2" spans="1:48" ht="15.6" x14ac:dyDescent="0.3">
      <c r="A2" s="41" t="str">
        <f>IF(title="&gt; Enter workbook title here","Enter workbook title in Cover sheet",title)</f>
        <v>Fire_S - Consolidated Factor Spreadsheet</v>
      </c>
      <c r="B2" s="42"/>
      <c r="C2" s="42"/>
      <c r="D2" s="42"/>
      <c r="E2" s="42"/>
      <c r="F2" s="42"/>
      <c r="G2" s="42"/>
      <c r="H2" s="42"/>
      <c r="I2" s="42"/>
    </row>
    <row r="3" spans="1:48" ht="15.6" x14ac:dyDescent="0.3">
      <c r="A3" s="43" t="str">
        <f>TABLE_FACTOR_TYPE_1&amp;" - x-"&amp;TABLE_SERIES_NUMBER_1</f>
        <v>Scheme Pays AA - x-613</v>
      </c>
      <c r="B3" s="42"/>
      <c r="C3" s="42"/>
      <c r="D3" s="42"/>
      <c r="E3" s="42"/>
      <c r="F3" s="42"/>
      <c r="G3" s="42"/>
      <c r="H3" s="42"/>
      <c r="I3" s="42"/>
    </row>
    <row r="4" spans="1:48" x14ac:dyDescent="0.25">
      <c r="A4" s="44"/>
    </row>
    <row r="6" spans="1:48" x14ac:dyDescent="0.25">
      <c r="A6" s="75" t="s">
        <v>484</v>
      </c>
      <c r="B6" s="162" t="s">
        <v>485</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row>
    <row r="7" spans="1:48" x14ac:dyDescent="0.25">
      <c r="A7" s="76" t="s">
        <v>486</v>
      </c>
      <c r="B7" s="162" t="s">
        <v>81</v>
      </c>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row>
    <row r="8" spans="1:48" x14ac:dyDescent="0.25">
      <c r="A8" s="76" t="s">
        <v>282</v>
      </c>
      <c r="B8" s="162">
        <v>2006</v>
      </c>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row>
    <row r="9" spans="1:48" x14ac:dyDescent="0.25">
      <c r="A9" s="76" t="s">
        <v>283</v>
      </c>
      <c r="B9" s="162" t="s">
        <v>419</v>
      </c>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row>
    <row r="10" spans="1:48" x14ac:dyDescent="0.25">
      <c r="A10" s="76" t="s">
        <v>6</v>
      </c>
      <c r="B10" s="162" t="s">
        <v>450</v>
      </c>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row>
    <row r="11" spans="1:48" x14ac:dyDescent="0.25">
      <c r="A11" s="76" t="s">
        <v>284</v>
      </c>
      <c r="B11" s="162" t="s">
        <v>349</v>
      </c>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row>
    <row r="12" spans="1:48" x14ac:dyDescent="0.25">
      <c r="A12" s="76" t="s">
        <v>285</v>
      </c>
      <c r="B12" s="162" t="s">
        <v>360</v>
      </c>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row>
    <row r="13" spans="1:48" hidden="1" x14ac:dyDescent="0.25">
      <c r="A13" s="76" t="s">
        <v>493</v>
      </c>
      <c r="B13" s="162">
        <v>1</v>
      </c>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row>
    <row r="14" spans="1:48" hidden="1" x14ac:dyDescent="0.25">
      <c r="A14" s="76" t="s">
        <v>287</v>
      </c>
      <c r="B14" s="162">
        <v>613</v>
      </c>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row>
    <row r="15" spans="1:48" x14ac:dyDescent="0.25">
      <c r="A15" s="76" t="s">
        <v>496</v>
      </c>
      <c r="B15" s="162" t="s">
        <v>451</v>
      </c>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row>
    <row r="16" spans="1:48" x14ac:dyDescent="0.25">
      <c r="A16" s="76" t="s">
        <v>288</v>
      </c>
      <c r="B16" s="162" t="s">
        <v>395</v>
      </c>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row>
    <row r="17" spans="1:48" x14ac:dyDescent="0.25">
      <c r="A17" s="76" t="s">
        <v>568</v>
      </c>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row>
    <row r="18" spans="1:48" x14ac:dyDescent="0.25">
      <c r="A18" s="76" t="s">
        <v>500</v>
      </c>
      <c r="B18" s="164">
        <v>45135</v>
      </c>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row>
    <row r="19" spans="1:48" x14ac:dyDescent="0.25">
      <c r="A19" s="76" t="s">
        <v>290</v>
      </c>
      <c r="B19" s="164">
        <v>45135</v>
      </c>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row>
    <row r="20" spans="1:48" x14ac:dyDescent="0.25">
      <c r="A20" s="76" t="s">
        <v>291</v>
      </c>
      <c r="B20" s="162" t="s">
        <v>298</v>
      </c>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row>
    <row r="21" spans="1:48" x14ac:dyDescent="0.25">
      <c r="A21" s="150" t="s">
        <v>569</v>
      </c>
      <c r="B21" s="162" t="s">
        <v>297</v>
      </c>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row>
    <row r="23" spans="1:48" x14ac:dyDescent="0.25">
      <c r="B23" s="91" t="str">
        <f>HYPERLINK("#'Factor List'!A1","Back to Factor List")</f>
        <v>Back to Factor List</v>
      </c>
    </row>
    <row r="24" spans="1:48" x14ac:dyDescent="0.25">
      <c r="B24" s="91" t="str">
        <f>HYPERLINK("#'Assumptions'!A1","Assumptions")</f>
        <v>Assumptions</v>
      </c>
    </row>
    <row r="26" spans="1:48" x14ac:dyDescent="0.25">
      <c r="A26" s="87" t="s">
        <v>611</v>
      </c>
      <c r="B26" s="87">
        <v>18</v>
      </c>
      <c r="C26" s="87">
        <v>19</v>
      </c>
      <c r="D26" s="87">
        <v>20</v>
      </c>
      <c r="E26" s="87">
        <v>21</v>
      </c>
      <c r="F26" s="87">
        <v>22</v>
      </c>
      <c r="G26" s="87">
        <v>23</v>
      </c>
      <c r="H26" s="87">
        <v>24</v>
      </c>
      <c r="I26" s="87">
        <v>25</v>
      </c>
      <c r="J26" s="87">
        <v>26</v>
      </c>
      <c r="K26" s="87">
        <v>27</v>
      </c>
      <c r="L26" s="87">
        <v>28</v>
      </c>
      <c r="M26" s="87">
        <v>29</v>
      </c>
      <c r="N26" s="87">
        <v>30</v>
      </c>
      <c r="O26" s="87">
        <v>31</v>
      </c>
      <c r="P26" s="87">
        <v>32</v>
      </c>
      <c r="Q26" s="87">
        <v>33</v>
      </c>
      <c r="R26" s="87">
        <v>34</v>
      </c>
      <c r="S26" s="87">
        <v>35</v>
      </c>
      <c r="T26" s="87">
        <v>36</v>
      </c>
      <c r="U26" s="87">
        <v>37</v>
      </c>
      <c r="V26" s="87">
        <v>38</v>
      </c>
      <c r="W26" s="87">
        <v>39</v>
      </c>
      <c r="X26" s="87">
        <v>40</v>
      </c>
      <c r="Y26" s="87">
        <v>41</v>
      </c>
      <c r="Z26" s="87">
        <v>42</v>
      </c>
      <c r="AA26" s="87">
        <v>43</v>
      </c>
      <c r="AB26" s="87">
        <v>44</v>
      </c>
      <c r="AC26" s="87">
        <v>45</v>
      </c>
      <c r="AD26" s="87">
        <v>46</v>
      </c>
      <c r="AE26" s="87">
        <v>47</v>
      </c>
      <c r="AF26" s="87">
        <v>48</v>
      </c>
      <c r="AG26" s="87">
        <v>49</v>
      </c>
      <c r="AH26" s="87">
        <v>50</v>
      </c>
      <c r="AI26" s="87">
        <v>51</v>
      </c>
      <c r="AJ26" s="87">
        <v>52</v>
      </c>
      <c r="AK26" s="87">
        <v>53</v>
      </c>
      <c r="AL26" s="87">
        <v>54</v>
      </c>
      <c r="AM26" s="87">
        <v>55</v>
      </c>
      <c r="AN26" s="87">
        <v>56</v>
      </c>
      <c r="AO26" s="87">
        <v>57</v>
      </c>
      <c r="AP26" s="87">
        <v>58</v>
      </c>
      <c r="AQ26" s="87">
        <v>59</v>
      </c>
      <c r="AR26" s="87">
        <v>60</v>
      </c>
      <c r="AS26" s="87">
        <v>61</v>
      </c>
      <c r="AT26" s="87">
        <v>62</v>
      </c>
      <c r="AU26" s="87">
        <v>63</v>
      </c>
      <c r="AV26" s="87">
        <v>64</v>
      </c>
    </row>
    <row r="27" spans="1:48" x14ac:dyDescent="0.25">
      <c r="A27" s="88">
        <v>0</v>
      </c>
      <c r="B27" s="90">
        <v>0.20499999999999999</v>
      </c>
      <c r="C27" s="90">
        <v>0.20899999999999999</v>
      </c>
      <c r="D27" s="90">
        <v>0.214</v>
      </c>
      <c r="E27" s="90">
        <v>0.219</v>
      </c>
      <c r="F27" s="90">
        <v>0.224</v>
      </c>
      <c r="G27" s="90">
        <v>0.22900000000000001</v>
      </c>
      <c r="H27" s="90">
        <v>0.23499999999999999</v>
      </c>
      <c r="I27" s="90">
        <v>0.24099999999999999</v>
      </c>
      <c r="J27" s="90">
        <v>0.246</v>
      </c>
      <c r="K27" s="90">
        <v>0.253</v>
      </c>
      <c r="L27" s="90">
        <v>0.25900000000000001</v>
      </c>
      <c r="M27" s="90">
        <v>0.26500000000000001</v>
      </c>
      <c r="N27" s="90">
        <v>0.27200000000000002</v>
      </c>
      <c r="O27" s="90">
        <v>0.27900000000000003</v>
      </c>
      <c r="P27" s="90">
        <v>0.28699999999999998</v>
      </c>
      <c r="Q27" s="90">
        <v>0.29499999999999998</v>
      </c>
      <c r="R27" s="90">
        <v>0.30299999999999999</v>
      </c>
      <c r="S27" s="90">
        <v>0.311</v>
      </c>
      <c r="T27" s="90">
        <v>0.32</v>
      </c>
      <c r="U27" s="90">
        <v>0.32900000000000001</v>
      </c>
      <c r="V27" s="90">
        <v>0.33800000000000002</v>
      </c>
      <c r="W27" s="90">
        <v>0.34899999999999998</v>
      </c>
      <c r="X27" s="90">
        <v>0.35899999999999999</v>
      </c>
      <c r="Y27" s="90">
        <v>0.37</v>
      </c>
      <c r="Z27" s="90">
        <v>0.38200000000000001</v>
      </c>
      <c r="AA27" s="90">
        <v>0.39400000000000002</v>
      </c>
      <c r="AB27" s="90">
        <v>0.40699999999999997</v>
      </c>
      <c r="AC27" s="90">
        <v>0.42</v>
      </c>
      <c r="AD27" s="90">
        <v>0.434</v>
      </c>
      <c r="AE27" s="90">
        <v>0.45</v>
      </c>
      <c r="AF27" s="90">
        <v>0.46500000000000002</v>
      </c>
      <c r="AG27" s="90">
        <v>0.48199999999999998</v>
      </c>
      <c r="AH27" s="90">
        <v>0.5</v>
      </c>
      <c r="AI27" s="90">
        <v>0.51900000000000002</v>
      </c>
      <c r="AJ27" s="90">
        <v>0.54</v>
      </c>
      <c r="AK27" s="90">
        <v>0.56100000000000005</v>
      </c>
      <c r="AL27" s="90">
        <v>0.58499999999999996</v>
      </c>
      <c r="AM27" s="90">
        <v>0.60899999999999999</v>
      </c>
      <c r="AN27" s="90">
        <v>0.63600000000000001</v>
      </c>
      <c r="AO27" s="90">
        <v>0.66500000000000004</v>
      </c>
      <c r="AP27" s="90">
        <v>0.69499999999999995</v>
      </c>
      <c r="AQ27" s="90">
        <v>0.72899999999999998</v>
      </c>
      <c r="AR27" s="90">
        <v>0.76500000000000001</v>
      </c>
      <c r="AS27" s="90">
        <v>0.80400000000000005</v>
      </c>
      <c r="AT27" s="90">
        <v>0.84599999999999997</v>
      </c>
      <c r="AU27" s="90">
        <v>0.89300000000000002</v>
      </c>
      <c r="AV27" s="90">
        <v>0.94399999999999995</v>
      </c>
    </row>
    <row r="28" spans="1:48" x14ac:dyDescent="0.25">
      <c r="A28" s="88">
        <v>1</v>
      </c>
      <c r="B28" s="90">
        <v>0.20499999999999999</v>
      </c>
      <c r="C28" s="90">
        <v>0.21</v>
      </c>
      <c r="D28" s="90">
        <v>0.215</v>
      </c>
      <c r="E28" s="90">
        <v>0.219</v>
      </c>
      <c r="F28" s="90">
        <v>0.22500000000000001</v>
      </c>
      <c r="G28" s="90">
        <v>0.23</v>
      </c>
      <c r="H28" s="90">
        <v>0.23499999999999999</v>
      </c>
      <c r="I28" s="90">
        <v>0.24099999999999999</v>
      </c>
      <c r="J28" s="90">
        <v>0.247</v>
      </c>
      <c r="K28" s="90">
        <v>0.253</v>
      </c>
      <c r="L28" s="90">
        <v>0.25900000000000001</v>
      </c>
      <c r="M28" s="90">
        <v>0.26600000000000001</v>
      </c>
      <c r="N28" s="90">
        <v>0.27300000000000002</v>
      </c>
      <c r="O28" s="90">
        <v>0.28000000000000003</v>
      </c>
      <c r="P28" s="90">
        <v>0.28699999999999998</v>
      </c>
      <c r="Q28" s="90">
        <v>0.29499999999999998</v>
      </c>
      <c r="R28" s="90">
        <v>0.30299999999999999</v>
      </c>
      <c r="S28" s="90">
        <v>0.312</v>
      </c>
      <c r="T28" s="90">
        <v>0.32100000000000001</v>
      </c>
      <c r="U28" s="90">
        <v>0.33</v>
      </c>
      <c r="V28" s="90">
        <v>0.33900000000000002</v>
      </c>
      <c r="W28" s="90">
        <v>0.34899999999999998</v>
      </c>
      <c r="X28" s="90">
        <v>0.36</v>
      </c>
      <c r="Y28" s="90">
        <v>0.371</v>
      </c>
      <c r="Z28" s="90">
        <v>0.38300000000000001</v>
      </c>
      <c r="AA28" s="90">
        <v>0.39500000000000002</v>
      </c>
      <c r="AB28" s="90">
        <v>0.40799999999999997</v>
      </c>
      <c r="AC28" s="90">
        <v>0.42099999999999999</v>
      </c>
      <c r="AD28" s="90">
        <v>0.436</v>
      </c>
      <c r="AE28" s="90">
        <v>0.45100000000000001</v>
      </c>
      <c r="AF28" s="90">
        <v>0.46700000000000003</v>
      </c>
      <c r="AG28" s="90">
        <v>0.48399999999999999</v>
      </c>
      <c r="AH28" s="90">
        <v>0.502</v>
      </c>
      <c r="AI28" s="90">
        <v>0.52100000000000002</v>
      </c>
      <c r="AJ28" s="90">
        <v>0.54100000000000004</v>
      </c>
      <c r="AK28" s="90">
        <v>0.56299999999999994</v>
      </c>
      <c r="AL28" s="90">
        <v>0.58699999999999997</v>
      </c>
      <c r="AM28" s="90">
        <v>0.61199999999999999</v>
      </c>
      <c r="AN28" s="90">
        <v>0.63800000000000001</v>
      </c>
      <c r="AO28" s="90">
        <v>0.66700000000000004</v>
      </c>
      <c r="AP28" s="90">
        <v>0.69799999999999995</v>
      </c>
      <c r="AQ28" s="90">
        <v>0.73199999999999998</v>
      </c>
      <c r="AR28" s="90">
        <v>0.76800000000000002</v>
      </c>
      <c r="AS28" s="90">
        <v>0.80700000000000005</v>
      </c>
      <c r="AT28" s="90">
        <v>0.85</v>
      </c>
      <c r="AU28" s="90">
        <v>0.89700000000000002</v>
      </c>
      <c r="AV28" s="90">
        <v>0.94899999999999995</v>
      </c>
    </row>
    <row r="29" spans="1:48" x14ac:dyDescent="0.25">
      <c r="A29" s="88">
        <v>2</v>
      </c>
      <c r="B29" s="90">
        <v>0.20499999999999999</v>
      </c>
      <c r="C29" s="90">
        <v>0.21</v>
      </c>
      <c r="D29" s="90">
        <v>0.215</v>
      </c>
      <c r="E29" s="90">
        <v>0.22</v>
      </c>
      <c r="F29" s="90">
        <v>0.22500000000000001</v>
      </c>
      <c r="G29" s="90">
        <v>0.23</v>
      </c>
      <c r="H29" s="90">
        <v>0.23599999999999999</v>
      </c>
      <c r="I29" s="90">
        <v>0.24199999999999999</v>
      </c>
      <c r="J29" s="90">
        <v>0.247</v>
      </c>
      <c r="K29" s="90">
        <v>0.254</v>
      </c>
      <c r="L29" s="90">
        <v>0.26</v>
      </c>
      <c r="M29" s="90">
        <v>0.26700000000000002</v>
      </c>
      <c r="N29" s="90">
        <v>0.27400000000000002</v>
      </c>
      <c r="O29" s="90">
        <v>0.28100000000000003</v>
      </c>
      <c r="P29" s="90">
        <v>0.28799999999999998</v>
      </c>
      <c r="Q29" s="90">
        <v>0.29599999999999999</v>
      </c>
      <c r="R29" s="90">
        <v>0.30399999999999999</v>
      </c>
      <c r="S29" s="90">
        <v>0.312</v>
      </c>
      <c r="T29" s="90">
        <v>0.32100000000000001</v>
      </c>
      <c r="U29" s="90">
        <v>0.33100000000000002</v>
      </c>
      <c r="V29" s="90">
        <v>0.34</v>
      </c>
      <c r="W29" s="90">
        <v>0.35</v>
      </c>
      <c r="X29" s="90">
        <v>0.36099999999999999</v>
      </c>
      <c r="Y29" s="90">
        <v>0.372</v>
      </c>
      <c r="Z29" s="90">
        <v>0.38400000000000001</v>
      </c>
      <c r="AA29" s="90">
        <v>0.39600000000000002</v>
      </c>
      <c r="AB29" s="90">
        <v>0.40899999999999997</v>
      </c>
      <c r="AC29" s="90">
        <v>0.42299999999999999</v>
      </c>
      <c r="AD29" s="90">
        <v>0.437</v>
      </c>
      <c r="AE29" s="90">
        <v>0.45200000000000001</v>
      </c>
      <c r="AF29" s="90">
        <v>0.46800000000000003</v>
      </c>
      <c r="AG29" s="90">
        <v>0.48499999999999999</v>
      </c>
      <c r="AH29" s="90">
        <v>0.503</v>
      </c>
      <c r="AI29" s="90">
        <v>0.52300000000000002</v>
      </c>
      <c r="AJ29" s="90">
        <v>0.54300000000000004</v>
      </c>
      <c r="AK29" s="90">
        <v>0.56499999999999995</v>
      </c>
      <c r="AL29" s="90">
        <v>0.58899999999999997</v>
      </c>
      <c r="AM29" s="90">
        <v>0.61399999999999999</v>
      </c>
      <c r="AN29" s="90">
        <v>0.64100000000000001</v>
      </c>
      <c r="AO29" s="90">
        <v>0.67</v>
      </c>
      <c r="AP29" s="90">
        <v>0.70099999999999996</v>
      </c>
      <c r="AQ29" s="90">
        <v>0.73499999999999999</v>
      </c>
      <c r="AR29" s="90">
        <v>0.77100000000000002</v>
      </c>
      <c r="AS29" s="90">
        <v>0.81100000000000005</v>
      </c>
      <c r="AT29" s="90">
        <v>0.85399999999999998</v>
      </c>
      <c r="AU29" s="90">
        <v>0.90200000000000002</v>
      </c>
      <c r="AV29" s="90">
        <v>0.95299999999999996</v>
      </c>
    </row>
    <row r="30" spans="1:48" x14ac:dyDescent="0.25">
      <c r="A30" s="88">
        <v>3</v>
      </c>
      <c r="B30" s="90">
        <v>0.20599999999999999</v>
      </c>
      <c r="C30" s="90">
        <v>0.21099999999999999</v>
      </c>
      <c r="D30" s="90">
        <v>0.215</v>
      </c>
      <c r="E30" s="90">
        <v>0.22</v>
      </c>
      <c r="F30" s="90">
        <v>0.22500000000000001</v>
      </c>
      <c r="G30" s="90">
        <v>0.23100000000000001</v>
      </c>
      <c r="H30" s="90">
        <v>0.23599999999999999</v>
      </c>
      <c r="I30" s="90">
        <v>0.24199999999999999</v>
      </c>
      <c r="J30" s="90">
        <v>0.248</v>
      </c>
      <c r="K30" s="90">
        <v>0.254</v>
      </c>
      <c r="L30" s="90">
        <v>0.26100000000000001</v>
      </c>
      <c r="M30" s="90">
        <v>0.26700000000000002</v>
      </c>
      <c r="N30" s="90">
        <v>0.27400000000000002</v>
      </c>
      <c r="O30" s="90">
        <v>0.28100000000000003</v>
      </c>
      <c r="P30" s="90">
        <v>0.28899999999999998</v>
      </c>
      <c r="Q30" s="90">
        <v>0.29699999999999999</v>
      </c>
      <c r="R30" s="90">
        <v>0.30499999999999999</v>
      </c>
      <c r="S30" s="90">
        <v>0.313</v>
      </c>
      <c r="T30" s="90">
        <v>0.32200000000000001</v>
      </c>
      <c r="U30" s="90">
        <v>0.33100000000000002</v>
      </c>
      <c r="V30" s="90">
        <v>0.34100000000000003</v>
      </c>
      <c r="W30" s="90">
        <v>0.35099999999999998</v>
      </c>
      <c r="X30" s="90">
        <v>0.36199999999999999</v>
      </c>
      <c r="Y30" s="90">
        <v>0.373</v>
      </c>
      <c r="Z30" s="90">
        <v>0.38500000000000001</v>
      </c>
      <c r="AA30" s="90">
        <v>0.39700000000000002</v>
      </c>
      <c r="AB30" s="90">
        <v>0.41</v>
      </c>
      <c r="AC30" s="90">
        <v>0.42399999999999999</v>
      </c>
      <c r="AD30" s="90">
        <v>0.438</v>
      </c>
      <c r="AE30" s="90">
        <v>0.45300000000000001</v>
      </c>
      <c r="AF30" s="90">
        <v>0.47</v>
      </c>
      <c r="AG30" s="90">
        <v>0.48699999999999999</v>
      </c>
      <c r="AH30" s="90">
        <v>0.505</v>
      </c>
      <c r="AI30" s="90">
        <v>0.52400000000000002</v>
      </c>
      <c r="AJ30" s="90">
        <v>0.54500000000000004</v>
      </c>
      <c r="AK30" s="90">
        <v>0.56699999999999995</v>
      </c>
      <c r="AL30" s="90">
        <v>0.59099999999999997</v>
      </c>
      <c r="AM30" s="90">
        <v>0.61599999999999999</v>
      </c>
      <c r="AN30" s="90">
        <v>0.64300000000000002</v>
      </c>
      <c r="AO30" s="90">
        <v>0.67200000000000004</v>
      </c>
      <c r="AP30" s="90">
        <v>0.70399999999999996</v>
      </c>
      <c r="AQ30" s="90">
        <v>0.73799999999999999</v>
      </c>
      <c r="AR30" s="90">
        <v>0.77400000000000002</v>
      </c>
      <c r="AS30" s="90">
        <v>0.81499999999999995</v>
      </c>
      <c r="AT30" s="90">
        <v>0.85799999999999998</v>
      </c>
      <c r="AU30" s="90">
        <v>0.90600000000000003</v>
      </c>
      <c r="AV30" s="90">
        <v>0.95799999999999996</v>
      </c>
    </row>
    <row r="31" spans="1:48" x14ac:dyDescent="0.25">
      <c r="A31" s="88">
        <v>4</v>
      </c>
      <c r="B31" s="90">
        <v>0.20599999999999999</v>
      </c>
      <c r="C31" s="90">
        <v>0.21099999999999999</v>
      </c>
      <c r="D31" s="90">
        <v>0.216</v>
      </c>
      <c r="E31" s="90">
        <v>0.221</v>
      </c>
      <c r="F31" s="90">
        <v>0.22600000000000001</v>
      </c>
      <c r="G31" s="90">
        <v>0.23100000000000001</v>
      </c>
      <c r="H31" s="90">
        <v>0.23699999999999999</v>
      </c>
      <c r="I31" s="90">
        <v>0.24299999999999999</v>
      </c>
      <c r="J31" s="90">
        <v>0.249</v>
      </c>
      <c r="K31" s="90">
        <v>0.255</v>
      </c>
      <c r="L31" s="90">
        <v>0.26100000000000001</v>
      </c>
      <c r="M31" s="90">
        <v>0.26800000000000002</v>
      </c>
      <c r="N31" s="90">
        <v>0.27500000000000002</v>
      </c>
      <c r="O31" s="90">
        <v>0.28199999999999997</v>
      </c>
      <c r="P31" s="90">
        <v>0.28899999999999998</v>
      </c>
      <c r="Q31" s="90">
        <v>0.29699999999999999</v>
      </c>
      <c r="R31" s="90">
        <v>0.30499999999999999</v>
      </c>
      <c r="S31" s="90">
        <v>0.314</v>
      </c>
      <c r="T31" s="90">
        <v>0.32300000000000001</v>
      </c>
      <c r="U31" s="90">
        <v>0.33200000000000002</v>
      </c>
      <c r="V31" s="90">
        <v>0.34200000000000003</v>
      </c>
      <c r="W31" s="90">
        <v>0.35199999999999998</v>
      </c>
      <c r="X31" s="90">
        <v>0.36299999999999999</v>
      </c>
      <c r="Y31" s="90">
        <v>0.374</v>
      </c>
      <c r="Z31" s="90">
        <v>0.38600000000000001</v>
      </c>
      <c r="AA31" s="90">
        <v>0.39800000000000002</v>
      </c>
      <c r="AB31" s="90">
        <v>0.41099999999999998</v>
      </c>
      <c r="AC31" s="90">
        <v>0.42499999999999999</v>
      </c>
      <c r="AD31" s="90">
        <v>0.439</v>
      </c>
      <c r="AE31" s="90">
        <v>0.45500000000000002</v>
      </c>
      <c r="AF31" s="90">
        <v>0.47099999999999997</v>
      </c>
      <c r="AG31" s="90">
        <v>0.48799999999999999</v>
      </c>
      <c r="AH31" s="90">
        <v>0.50700000000000001</v>
      </c>
      <c r="AI31" s="90">
        <v>0.52600000000000002</v>
      </c>
      <c r="AJ31" s="90">
        <v>0.54700000000000004</v>
      </c>
      <c r="AK31" s="90">
        <v>0.56899999999999995</v>
      </c>
      <c r="AL31" s="90">
        <v>0.59299999999999997</v>
      </c>
      <c r="AM31" s="90">
        <v>0.61799999999999999</v>
      </c>
      <c r="AN31" s="90">
        <v>0.64500000000000002</v>
      </c>
      <c r="AO31" s="90">
        <v>0.67500000000000004</v>
      </c>
      <c r="AP31" s="90">
        <v>0.70599999999999996</v>
      </c>
      <c r="AQ31" s="90">
        <v>0.74099999999999999</v>
      </c>
      <c r="AR31" s="90">
        <v>0.77800000000000002</v>
      </c>
      <c r="AS31" s="90">
        <v>0.81799999999999995</v>
      </c>
      <c r="AT31" s="90">
        <v>0.86199999999999999</v>
      </c>
      <c r="AU31" s="90">
        <v>0.91</v>
      </c>
      <c r="AV31" s="90">
        <v>0.96299999999999997</v>
      </c>
    </row>
    <row r="32" spans="1:48" x14ac:dyDescent="0.25">
      <c r="A32" s="88">
        <v>5</v>
      </c>
      <c r="B32" s="90">
        <v>0.20699999999999999</v>
      </c>
      <c r="C32" s="90">
        <v>0.21099999999999999</v>
      </c>
      <c r="D32" s="90">
        <v>0.216</v>
      </c>
      <c r="E32" s="90">
        <v>0.221</v>
      </c>
      <c r="F32" s="90">
        <v>0.22600000000000001</v>
      </c>
      <c r="G32" s="90">
        <v>0.23200000000000001</v>
      </c>
      <c r="H32" s="90">
        <v>0.23699999999999999</v>
      </c>
      <c r="I32" s="90">
        <v>0.24299999999999999</v>
      </c>
      <c r="J32" s="90">
        <v>0.249</v>
      </c>
      <c r="K32" s="90">
        <v>0.255</v>
      </c>
      <c r="L32" s="90">
        <v>0.26200000000000001</v>
      </c>
      <c r="M32" s="90">
        <v>0.26800000000000002</v>
      </c>
      <c r="N32" s="90">
        <v>0.27500000000000002</v>
      </c>
      <c r="O32" s="90">
        <v>0.28299999999999997</v>
      </c>
      <c r="P32" s="90">
        <v>0.28999999999999998</v>
      </c>
      <c r="Q32" s="90">
        <v>0.29799999999999999</v>
      </c>
      <c r="R32" s="90">
        <v>0.30599999999999999</v>
      </c>
      <c r="S32" s="90">
        <v>0.315</v>
      </c>
      <c r="T32" s="90">
        <v>0.32400000000000001</v>
      </c>
      <c r="U32" s="90">
        <v>0.33300000000000002</v>
      </c>
      <c r="V32" s="90">
        <v>0.34300000000000003</v>
      </c>
      <c r="W32" s="90">
        <v>0.35299999999999998</v>
      </c>
      <c r="X32" s="90">
        <v>0.36399999999999999</v>
      </c>
      <c r="Y32" s="90">
        <v>0.375</v>
      </c>
      <c r="Z32" s="90">
        <v>0.38700000000000001</v>
      </c>
      <c r="AA32" s="90">
        <v>0.39900000000000002</v>
      </c>
      <c r="AB32" s="90">
        <v>0.41199999999999998</v>
      </c>
      <c r="AC32" s="90">
        <v>0.42599999999999999</v>
      </c>
      <c r="AD32" s="90">
        <v>0.441</v>
      </c>
      <c r="AE32" s="90">
        <v>0.45600000000000002</v>
      </c>
      <c r="AF32" s="90">
        <v>0.47199999999999998</v>
      </c>
      <c r="AG32" s="90">
        <v>0.49</v>
      </c>
      <c r="AH32" s="90">
        <v>0.50800000000000001</v>
      </c>
      <c r="AI32" s="90">
        <v>0.52800000000000002</v>
      </c>
      <c r="AJ32" s="90">
        <v>0.54900000000000004</v>
      </c>
      <c r="AK32" s="90">
        <v>0.57099999999999995</v>
      </c>
      <c r="AL32" s="90">
        <v>0.59499999999999997</v>
      </c>
      <c r="AM32" s="90">
        <v>0.62</v>
      </c>
      <c r="AN32" s="90">
        <v>0.64800000000000002</v>
      </c>
      <c r="AO32" s="90">
        <v>0.67700000000000005</v>
      </c>
      <c r="AP32" s="90">
        <v>0.70899999999999996</v>
      </c>
      <c r="AQ32" s="90">
        <v>0.74399999999999999</v>
      </c>
      <c r="AR32" s="90">
        <v>0.78100000000000003</v>
      </c>
      <c r="AS32" s="90">
        <v>0.82199999999999995</v>
      </c>
      <c r="AT32" s="90">
        <v>0.86599999999999999</v>
      </c>
      <c r="AU32" s="90">
        <v>0.91400000000000003</v>
      </c>
      <c r="AV32" s="90">
        <v>0.96699999999999997</v>
      </c>
    </row>
    <row r="33" spans="1:48" x14ac:dyDescent="0.25">
      <c r="A33" s="88">
        <v>6</v>
      </c>
      <c r="B33" s="90">
        <v>0.20699999999999999</v>
      </c>
      <c r="C33" s="90">
        <v>0.21199999999999999</v>
      </c>
      <c r="D33" s="90">
        <v>0.217</v>
      </c>
      <c r="E33" s="90">
        <v>0.222</v>
      </c>
      <c r="F33" s="90">
        <v>0.22700000000000001</v>
      </c>
      <c r="G33" s="90">
        <v>0.23200000000000001</v>
      </c>
      <c r="H33" s="90">
        <v>0.23799999999999999</v>
      </c>
      <c r="I33" s="90">
        <v>0.24399999999999999</v>
      </c>
      <c r="J33" s="90">
        <v>0.25</v>
      </c>
      <c r="K33" s="90">
        <v>0.25600000000000001</v>
      </c>
      <c r="L33" s="90">
        <v>0.26200000000000001</v>
      </c>
      <c r="M33" s="90">
        <v>0.26900000000000002</v>
      </c>
      <c r="N33" s="90">
        <v>0.27600000000000002</v>
      </c>
      <c r="O33" s="90">
        <v>0.28299999999999997</v>
      </c>
      <c r="P33" s="90">
        <v>0.29099999999999998</v>
      </c>
      <c r="Q33" s="90">
        <v>0.29899999999999999</v>
      </c>
      <c r="R33" s="90">
        <v>0.307</v>
      </c>
      <c r="S33" s="90">
        <v>0.315</v>
      </c>
      <c r="T33" s="90">
        <v>0.32400000000000001</v>
      </c>
      <c r="U33" s="90">
        <v>0.33400000000000002</v>
      </c>
      <c r="V33" s="90">
        <v>0.34399999999999997</v>
      </c>
      <c r="W33" s="90">
        <v>0.35399999999999998</v>
      </c>
      <c r="X33" s="90">
        <v>0.36499999999999999</v>
      </c>
      <c r="Y33" s="90">
        <v>0.376</v>
      </c>
      <c r="Z33" s="90">
        <v>0.38800000000000001</v>
      </c>
      <c r="AA33" s="90">
        <v>0.4</v>
      </c>
      <c r="AB33" s="90">
        <v>0.41299999999999998</v>
      </c>
      <c r="AC33" s="90">
        <v>0.42699999999999999</v>
      </c>
      <c r="AD33" s="90">
        <v>0.442</v>
      </c>
      <c r="AE33" s="90">
        <v>0.45700000000000002</v>
      </c>
      <c r="AF33" s="90">
        <v>0.47399999999999998</v>
      </c>
      <c r="AG33" s="90">
        <v>0.49099999999999999</v>
      </c>
      <c r="AH33" s="90">
        <v>0.51</v>
      </c>
      <c r="AI33" s="90">
        <v>0.53</v>
      </c>
      <c r="AJ33" s="90">
        <v>0.55100000000000005</v>
      </c>
      <c r="AK33" s="90">
        <v>0.57299999999999995</v>
      </c>
      <c r="AL33" s="90">
        <v>0.59699999999999998</v>
      </c>
      <c r="AM33" s="90">
        <v>0.623</v>
      </c>
      <c r="AN33" s="90">
        <v>0.65</v>
      </c>
      <c r="AO33" s="90">
        <v>0.68</v>
      </c>
      <c r="AP33" s="90">
        <v>0.71199999999999997</v>
      </c>
      <c r="AQ33" s="90">
        <v>0.747</v>
      </c>
      <c r="AR33" s="90">
        <v>0.78400000000000003</v>
      </c>
      <c r="AS33" s="90">
        <v>0.82499999999999996</v>
      </c>
      <c r="AT33" s="90">
        <v>0.87</v>
      </c>
      <c r="AU33" s="90">
        <v>0.91800000000000004</v>
      </c>
      <c r="AV33" s="90">
        <v>0.97199999999999998</v>
      </c>
    </row>
    <row r="34" spans="1:48" x14ac:dyDescent="0.25">
      <c r="A34" s="88">
        <v>7</v>
      </c>
      <c r="B34" s="90">
        <v>0.20699999999999999</v>
      </c>
      <c r="C34" s="90">
        <v>0.21199999999999999</v>
      </c>
      <c r="D34" s="90">
        <v>0.217</v>
      </c>
      <c r="E34" s="90">
        <v>0.222</v>
      </c>
      <c r="F34" s="90">
        <v>0.22700000000000001</v>
      </c>
      <c r="G34" s="90">
        <v>0.23300000000000001</v>
      </c>
      <c r="H34" s="90">
        <v>0.23799999999999999</v>
      </c>
      <c r="I34" s="90">
        <v>0.24399999999999999</v>
      </c>
      <c r="J34" s="90">
        <v>0.25</v>
      </c>
      <c r="K34" s="90">
        <v>0.25600000000000001</v>
      </c>
      <c r="L34" s="90">
        <v>0.26300000000000001</v>
      </c>
      <c r="M34" s="90">
        <v>0.26900000000000002</v>
      </c>
      <c r="N34" s="90">
        <v>0.27600000000000002</v>
      </c>
      <c r="O34" s="90">
        <v>0.28399999999999997</v>
      </c>
      <c r="P34" s="90">
        <v>0.29099999999999998</v>
      </c>
      <c r="Q34" s="90">
        <v>0.29899999999999999</v>
      </c>
      <c r="R34" s="90">
        <v>0.307</v>
      </c>
      <c r="S34" s="90">
        <v>0.316</v>
      </c>
      <c r="T34" s="90">
        <v>0.32500000000000001</v>
      </c>
      <c r="U34" s="90">
        <v>0.33400000000000002</v>
      </c>
      <c r="V34" s="90">
        <v>0.34399999999999997</v>
      </c>
      <c r="W34" s="90">
        <v>0.35499999999999998</v>
      </c>
      <c r="X34" s="90">
        <v>0.36499999999999999</v>
      </c>
      <c r="Y34" s="90">
        <v>0.377</v>
      </c>
      <c r="Z34" s="90">
        <v>0.38900000000000001</v>
      </c>
      <c r="AA34" s="90">
        <v>0.40100000000000002</v>
      </c>
      <c r="AB34" s="90">
        <v>0.41499999999999998</v>
      </c>
      <c r="AC34" s="90">
        <v>0.42799999999999999</v>
      </c>
      <c r="AD34" s="90">
        <v>0.443</v>
      </c>
      <c r="AE34" s="90">
        <v>0.45900000000000002</v>
      </c>
      <c r="AF34" s="90">
        <v>0.47499999999999998</v>
      </c>
      <c r="AG34" s="90">
        <v>0.49299999999999999</v>
      </c>
      <c r="AH34" s="90">
        <v>0.51100000000000001</v>
      </c>
      <c r="AI34" s="90">
        <v>0.53100000000000003</v>
      </c>
      <c r="AJ34" s="90">
        <v>0.55200000000000005</v>
      </c>
      <c r="AK34" s="90">
        <v>0.57499999999999996</v>
      </c>
      <c r="AL34" s="90">
        <v>0.59899999999999998</v>
      </c>
      <c r="AM34" s="90">
        <v>0.625</v>
      </c>
      <c r="AN34" s="90">
        <v>0.65300000000000002</v>
      </c>
      <c r="AO34" s="90">
        <v>0.68200000000000005</v>
      </c>
      <c r="AP34" s="90">
        <v>0.71499999999999997</v>
      </c>
      <c r="AQ34" s="90">
        <v>0.75</v>
      </c>
      <c r="AR34" s="90">
        <v>0.78800000000000003</v>
      </c>
      <c r="AS34" s="90">
        <v>0.82899999999999996</v>
      </c>
      <c r="AT34" s="90">
        <v>0.874</v>
      </c>
      <c r="AU34" s="90">
        <v>0.92300000000000004</v>
      </c>
      <c r="AV34" s="90">
        <v>0.97699999999999998</v>
      </c>
    </row>
    <row r="35" spans="1:48" x14ac:dyDescent="0.25">
      <c r="A35" s="88">
        <v>8</v>
      </c>
      <c r="B35" s="90">
        <v>0.20799999999999999</v>
      </c>
      <c r="C35" s="90">
        <v>0.21299999999999999</v>
      </c>
      <c r="D35" s="90">
        <v>0.217</v>
      </c>
      <c r="E35" s="90">
        <v>0.222</v>
      </c>
      <c r="F35" s="90">
        <v>0.22800000000000001</v>
      </c>
      <c r="G35" s="90">
        <v>0.23300000000000001</v>
      </c>
      <c r="H35" s="90">
        <v>0.23899999999999999</v>
      </c>
      <c r="I35" s="90">
        <v>0.245</v>
      </c>
      <c r="J35" s="90">
        <v>0.251</v>
      </c>
      <c r="K35" s="90">
        <v>0.25700000000000001</v>
      </c>
      <c r="L35" s="90">
        <v>0.26300000000000001</v>
      </c>
      <c r="M35" s="90">
        <v>0.27</v>
      </c>
      <c r="N35" s="90">
        <v>0.27700000000000002</v>
      </c>
      <c r="O35" s="90">
        <v>0.28399999999999997</v>
      </c>
      <c r="P35" s="90">
        <v>0.29199999999999998</v>
      </c>
      <c r="Q35" s="90">
        <v>0.3</v>
      </c>
      <c r="R35" s="90">
        <v>0.308</v>
      </c>
      <c r="S35" s="90">
        <v>0.317</v>
      </c>
      <c r="T35" s="90">
        <v>0.32600000000000001</v>
      </c>
      <c r="U35" s="90">
        <v>0.33500000000000002</v>
      </c>
      <c r="V35" s="90">
        <v>0.34499999999999997</v>
      </c>
      <c r="W35" s="90">
        <v>0.35599999999999998</v>
      </c>
      <c r="X35" s="90">
        <v>0.36599999999999999</v>
      </c>
      <c r="Y35" s="90">
        <v>0.378</v>
      </c>
      <c r="Z35" s="90">
        <v>0.39</v>
      </c>
      <c r="AA35" s="90">
        <v>0.40200000000000002</v>
      </c>
      <c r="AB35" s="90">
        <v>0.41599999999999998</v>
      </c>
      <c r="AC35" s="90">
        <v>0.43</v>
      </c>
      <c r="AD35" s="90">
        <v>0.44400000000000001</v>
      </c>
      <c r="AE35" s="90">
        <v>0.46</v>
      </c>
      <c r="AF35" s="90">
        <v>0.47699999999999998</v>
      </c>
      <c r="AG35" s="90">
        <v>0.49399999999999999</v>
      </c>
      <c r="AH35" s="90">
        <v>0.51300000000000001</v>
      </c>
      <c r="AI35" s="90">
        <v>0.53300000000000003</v>
      </c>
      <c r="AJ35" s="90">
        <v>0.55400000000000005</v>
      </c>
      <c r="AK35" s="90">
        <v>0.57699999999999996</v>
      </c>
      <c r="AL35" s="90">
        <v>0.60099999999999998</v>
      </c>
      <c r="AM35" s="90">
        <v>0.627</v>
      </c>
      <c r="AN35" s="90">
        <v>0.65500000000000003</v>
      </c>
      <c r="AO35" s="90">
        <v>0.68500000000000005</v>
      </c>
      <c r="AP35" s="90">
        <v>0.71799999999999997</v>
      </c>
      <c r="AQ35" s="90">
        <v>0.753</v>
      </c>
      <c r="AR35" s="90">
        <v>0.79100000000000004</v>
      </c>
      <c r="AS35" s="90">
        <v>0.83199999999999996</v>
      </c>
      <c r="AT35" s="90">
        <v>0.877</v>
      </c>
      <c r="AU35" s="90">
        <v>0.92700000000000005</v>
      </c>
      <c r="AV35" s="90">
        <v>0.98099999999999998</v>
      </c>
    </row>
    <row r="36" spans="1:48" x14ac:dyDescent="0.25">
      <c r="A36" s="88">
        <v>9</v>
      </c>
      <c r="B36" s="90">
        <v>0.20799999999999999</v>
      </c>
      <c r="C36" s="90">
        <v>0.21299999999999999</v>
      </c>
      <c r="D36" s="90">
        <v>0.218</v>
      </c>
      <c r="E36" s="90">
        <v>0.223</v>
      </c>
      <c r="F36" s="90">
        <v>0.22800000000000001</v>
      </c>
      <c r="G36" s="90">
        <v>0.23400000000000001</v>
      </c>
      <c r="H36" s="90">
        <v>0.23899999999999999</v>
      </c>
      <c r="I36" s="90">
        <v>0.245</v>
      </c>
      <c r="J36" s="90">
        <v>0.251</v>
      </c>
      <c r="K36" s="90">
        <v>0.25700000000000001</v>
      </c>
      <c r="L36" s="90">
        <v>0.26400000000000001</v>
      </c>
      <c r="M36" s="90">
        <v>0.27100000000000002</v>
      </c>
      <c r="N36" s="90">
        <v>0.27800000000000002</v>
      </c>
      <c r="O36" s="90">
        <v>0.28499999999999998</v>
      </c>
      <c r="P36" s="90">
        <v>0.29299999999999998</v>
      </c>
      <c r="Q36" s="90">
        <v>0.30099999999999999</v>
      </c>
      <c r="R36" s="90">
        <v>0.309</v>
      </c>
      <c r="S36" s="90">
        <v>0.318</v>
      </c>
      <c r="T36" s="90">
        <v>0.32700000000000001</v>
      </c>
      <c r="U36" s="90">
        <v>0.33600000000000002</v>
      </c>
      <c r="V36" s="90">
        <v>0.34599999999999997</v>
      </c>
      <c r="W36" s="90">
        <v>0.35599999999999998</v>
      </c>
      <c r="X36" s="90">
        <v>0.36699999999999999</v>
      </c>
      <c r="Y36" s="90">
        <v>0.379</v>
      </c>
      <c r="Z36" s="90">
        <v>0.39100000000000001</v>
      </c>
      <c r="AA36" s="90">
        <v>0.40300000000000002</v>
      </c>
      <c r="AB36" s="90">
        <v>0.41699999999999998</v>
      </c>
      <c r="AC36" s="90">
        <v>0.43099999999999999</v>
      </c>
      <c r="AD36" s="90">
        <v>0.44600000000000001</v>
      </c>
      <c r="AE36" s="90">
        <v>0.46100000000000002</v>
      </c>
      <c r="AF36" s="90">
        <v>0.47799999999999998</v>
      </c>
      <c r="AG36" s="90">
        <v>0.496</v>
      </c>
      <c r="AH36" s="90">
        <v>0.51500000000000001</v>
      </c>
      <c r="AI36" s="90">
        <v>0.53500000000000003</v>
      </c>
      <c r="AJ36" s="90">
        <v>0.55600000000000005</v>
      </c>
      <c r="AK36" s="90">
        <v>0.57899999999999996</v>
      </c>
      <c r="AL36" s="90">
        <v>0.60299999999999998</v>
      </c>
      <c r="AM36" s="90">
        <v>0.629</v>
      </c>
      <c r="AN36" s="90">
        <v>0.65700000000000003</v>
      </c>
      <c r="AO36" s="90">
        <v>0.68799999999999994</v>
      </c>
      <c r="AP36" s="90">
        <v>0.72</v>
      </c>
      <c r="AQ36" s="90">
        <v>0.75600000000000001</v>
      </c>
      <c r="AR36" s="90">
        <v>0.79400000000000004</v>
      </c>
      <c r="AS36" s="90">
        <v>0.83599999999999997</v>
      </c>
      <c r="AT36" s="90">
        <v>0.88100000000000001</v>
      </c>
      <c r="AU36" s="90">
        <v>0.93100000000000005</v>
      </c>
      <c r="AV36" s="90">
        <v>0.98599999999999999</v>
      </c>
    </row>
    <row r="37" spans="1:48" x14ac:dyDescent="0.25">
      <c r="A37" s="88">
        <v>10</v>
      </c>
      <c r="B37" s="90">
        <v>0.20899999999999999</v>
      </c>
      <c r="C37" s="90">
        <v>0.21299999999999999</v>
      </c>
      <c r="D37" s="90">
        <v>0.218</v>
      </c>
      <c r="E37" s="90">
        <v>0.223</v>
      </c>
      <c r="F37" s="90">
        <v>0.22900000000000001</v>
      </c>
      <c r="G37" s="90">
        <v>0.23400000000000001</v>
      </c>
      <c r="H37" s="90">
        <v>0.24</v>
      </c>
      <c r="I37" s="90">
        <v>0.245</v>
      </c>
      <c r="J37" s="90">
        <v>0.252</v>
      </c>
      <c r="K37" s="90">
        <v>0.25800000000000001</v>
      </c>
      <c r="L37" s="90">
        <v>0.26400000000000001</v>
      </c>
      <c r="M37" s="90">
        <v>0.27100000000000002</v>
      </c>
      <c r="N37" s="90">
        <v>0.27800000000000002</v>
      </c>
      <c r="O37" s="90">
        <v>0.28599999999999998</v>
      </c>
      <c r="P37" s="90">
        <v>0.29299999999999998</v>
      </c>
      <c r="Q37" s="90">
        <v>0.30099999999999999</v>
      </c>
      <c r="R37" s="90">
        <v>0.31</v>
      </c>
      <c r="S37" s="90">
        <v>0.318</v>
      </c>
      <c r="T37" s="90">
        <v>0.32700000000000001</v>
      </c>
      <c r="U37" s="90">
        <v>0.33700000000000002</v>
      </c>
      <c r="V37" s="90">
        <v>0.34699999999999998</v>
      </c>
      <c r="W37" s="90">
        <v>0.35699999999999998</v>
      </c>
      <c r="X37" s="90">
        <v>0.36799999999999999</v>
      </c>
      <c r="Y37" s="90">
        <v>0.38</v>
      </c>
      <c r="Z37" s="90">
        <v>0.39200000000000002</v>
      </c>
      <c r="AA37" s="90">
        <v>0.40500000000000003</v>
      </c>
      <c r="AB37" s="90">
        <v>0.41799999999999998</v>
      </c>
      <c r="AC37" s="90">
        <v>0.432</v>
      </c>
      <c r="AD37" s="90">
        <v>0.44700000000000001</v>
      </c>
      <c r="AE37" s="90">
        <v>0.46300000000000002</v>
      </c>
      <c r="AF37" s="90">
        <v>0.48</v>
      </c>
      <c r="AG37" s="90">
        <v>0.497</v>
      </c>
      <c r="AH37" s="90">
        <v>0.51600000000000001</v>
      </c>
      <c r="AI37" s="90">
        <v>0.53600000000000003</v>
      </c>
      <c r="AJ37" s="90">
        <v>0.55800000000000005</v>
      </c>
      <c r="AK37" s="90">
        <v>0.58099999999999996</v>
      </c>
      <c r="AL37" s="90">
        <v>0.60499999999999998</v>
      </c>
      <c r="AM37" s="90">
        <v>0.63100000000000001</v>
      </c>
      <c r="AN37" s="90">
        <v>0.66</v>
      </c>
      <c r="AO37" s="90">
        <v>0.69</v>
      </c>
      <c r="AP37" s="90">
        <v>0.72299999999999998</v>
      </c>
      <c r="AQ37" s="90">
        <v>0.75900000000000001</v>
      </c>
      <c r="AR37" s="90">
        <v>0.79700000000000004</v>
      </c>
      <c r="AS37" s="90">
        <v>0.83899999999999997</v>
      </c>
      <c r="AT37" s="90">
        <v>0.88500000000000001</v>
      </c>
      <c r="AU37" s="90">
        <v>0.93500000000000005</v>
      </c>
      <c r="AV37" s="90">
        <v>0.99099999999999999</v>
      </c>
    </row>
    <row r="38" spans="1:48" x14ac:dyDescent="0.25">
      <c r="A38" s="88">
        <v>11</v>
      </c>
      <c r="B38" s="90">
        <v>0.20899999999999999</v>
      </c>
      <c r="C38" s="90">
        <v>0.214</v>
      </c>
      <c r="D38" s="90">
        <v>0.219</v>
      </c>
      <c r="E38" s="90">
        <v>0.224</v>
      </c>
      <c r="F38" s="90">
        <v>0.22900000000000001</v>
      </c>
      <c r="G38" s="90">
        <v>0.23400000000000001</v>
      </c>
      <c r="H38" s="90">
        <v>0.24</v>
      </c>
      <c r="I38" s="90">
        <v>0.246</v>
      </c>
      <c r="J38" s="90">
        <v>0.252</v>
      </c>
      <c r="K38" s="90">
        <v>0.25800000000000001</v>
      </c>
      <c r="L38" s="90">
        <v>0.26500000000000001</v>
      </c>
      <c r="M38" s="90">
        <v>0.27200000000000002</v>
      </c>
      <c r="N38" s="90">
        <v>0.27900000000000003</v>
      </c>
      <c r="O38" s="90">
        <v>0.28599999999999998</v>
      </c>
      <c r="P38" s="90">
        <v>0.29399999999999998</v>
      </c>
      <c r="Q38" s="90">
        <v>0.30199999999999999</v>
      </c>
      <c r="R38" s="90">
        <v>0.31</v>
      </c>
      <c r="S38" s="90">
        <v>0.31900000000000001</v>
      </c>
      <c r="T38" s="90">
        <v>0.32800000000000001</v>
      </c>
      <c r="U38" s="90">
        <v>0.33800000000000002</v>
      </c>
      <c r="V38" s="90">
        <v>0.34799999999999998</v>
      </c>
      <c r="W38" s="90">
        <v>0.35799999999999998</v>
      </c>
      <c r="X38" s="90">
        <v>0.36899999999999999</v>
      </c>
      <c r="Y38" s="90">
        <v>0.38100000000000001</v>
      </c>
      <c r="Z38" s="90">
        <v>0.39300000000000002</v>
      </c>
      <c r="AA38" s="90">
        <v>0.40600000000000003</v>
      </c>
      <c r="AB38" s="90">
        <v>0.41899999999999998</v>
      </c>
      <c r="AC38" s="90">
        <v>0.433</v>
      </c>
      <c r="AD38" s="90">
        <v>0.44800000000000001</v>
      </c>
      <c r="AE38" s="90">
        <v>0.46400000000000002</v>
      </c>
      <c r="AF38" s="90">
        <v>0.48099999999999998</v>
      </c>
      <c r="AG38" s="90">
        <v>0.499</v>
      </c>
      <c r="AH38" s="90">
        <v>0.51800000000000002</v>
      </c>
      <c r="AI38" s="90">
        <v>0.53800000000000003</v>
      </c>
      <c r="AJ38" s="90">
        <v>0.56000000000000005</v>
      </c>
      <c r="AK38" s="90">
        <v>0.58299999999999996</v>
      </c>
      <c r="AL38" s="90">
        <v>0.60699999999999998</v>
      </c>
      <c r="AM38" s="90">
        <v>0.63400000000000001</v>
      </c>
      <c r="AN38" s="90">
        <v>0.66200000000000003</v>
      </c>
      <c r="AO38" s="90">
        <v>0.69299999999999995</v>
      </c>
      <c r="AP38" s="90">
        <v>0.72599999999999998</v>
      </c>
      <c r="AQ38" s="90">
        <v>0.76200000000000001</v>
      </c>
      <c r="AR38" s="90">
        <v>0.80100000000000005</v>
      </c>
      <c r="AS38" s="90">
        <v>0.84299999999999997</v>
      </c>
      <c r="AT38" s="90">
        <v>0.88900000000000001</v>
      </c>
      <c r="AU38" s="90">
        <v>0.94</v>
      </c>
      <c r="AV38" s="90">
        <v>0.995</v>
      </c>
    </row>
    <row r="39" spans="1:48" x14ac:dyDescent="0.25">
      <c r="A39"/>
      <c r="B39"/>
    </row>
    <row r="40" spans="1:48" x14ac:dyDescent="0.25">
      <c r="A40"/>
      <c r="B40"/>
    </row>
    <row r="41" spans="1:48" x14ac:dyDescent="0.25">
      <c r="A41"/>
      <c r="B41"/>
    </row>
    <row r="42" spans="1:48" x14ac:dyDescent="0.25">
      <c r="A42"/>
      <c r="B42"/>
    </row>
    <row r="43" spans="1:48" x14ac:dyDescent="0.25">
      <c r="A43"/>
      <c r="B43"/>
    </row>
    <row r="44" spans="1:48" ht="39.6" customHeight="1" x14ac:dyDescent="0.25">
      <c r="A44"/>
      <c r="B44"/>
    </row>
    <row r="45" spans="1:48" x14ac:dyDescent="0.25">
      <c r="A45"/>
      <c r="B45"/>
    </row>
    <row r="46" spans="1:48" ht="27.6" customHeight="1" x14ac:dyDescent="0.25">
      <c r="A46"/>
      <c r="B46"/>
    </row>
    <row r="47" spans="1:48" x14ac:dyDescent="0.25">
      <c r="A47"/>
      <c r="B47"/>
    </row>
    <row r="48" spans="1:48"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T4nNouCS1SuV0pGlIRGvNpPn4wloh6RpzYpmSie1GLXFzW7R7IEb0dLk/TUflZFykowzKkyy4ghyFZ1XkRwGJQ==" saltValue="lqef3dOhfKbJdSBiMDxYpw==" spinCount="100000" sheet="1" objects="1" scenarios="1"/>
  <conditionalFormatting sqref="A6:A21">
    <cfRule type="expression" dxfId="117" priority="3" stopIfTrue="1">
      <formula>MOD(ROW(),2)=0</formula>
    </cfRule>
    <cfRule type="expression" dxfId="116" priority="4" stopIfTrue="1">
      <formula>MOD(ROW(),2)&lt;&gt;0</formula>
    </cfRule>
  </conditionalFormatting>
  <conditionalFormatting sqref="A26:A38">
    <cfRule type="expression" dxfId="115" priority="7" stopIfTrue="1">
      <formula>MOD(ROW(),2)=0</formula>
    </cfRule>
    <cfRule type="expression" dxfId="114" priority="8" stopIfTrue="1">
      <formula>MOD(ROW(),2)&lt;&gt;0</formula>
    </cfRule>
  </conditionalFormatting>
  <conditionalFormatting sqref="B17:B21">
    <cfRule type="expression" dxfId="113" priority="13" stopIfTrue="1">
      <formula>MOD(ROW(),2)=0</formula>
    </cfRule>
    <cfRule type="expression" dxfId="112" priority="14" stopIfTrue="1">
      <formula>MOD(ROW(),2)&lt;&gt;0</formula>
    </cfRule>
  </conditionalFormatting>
  <conditionalFormatting sqref="B6:AV21 B26:AV38">
    <cfRule type="expression" dxfId="111" priority="21" stopIfTrue="1">
      <formula>MOD(ROW(),2)=0</formula>
    </cfRule>
    <cfRule type="expression" dxfId="110" priority="2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0"/>
  <dimension ref="A1:AQ65"/>
  <sheetViews>
    <sheetView showGridLines="0" zoomScale="50" zoomScaleNormal="50" workbookViewId="0">
      <selection activeCell="A4" sqref="A4"/>
    </sheetView>
  </sheetViews>
  <sheetFormatPr defaultColWidth="10" defaultRowHeight="13.2" x14ac:dyDescent="0.25"/>
  <cols>
    <col min="1" max="1" width="31.88671875" style="27" customWidth="1"/>
    <col min="2" max="43" width="22.88671875" style="27" customWidth="1"/>
    <col min="44" max="16384" width="10" style="27"/>
  </cols>
  <sheetData>
    <row r="1" spans="1:43" ht="21" x14ac:dyDescent="0.4">
      <c r="A1" s="39" t="s">
        <v>0</v>
      </c>
      <c r="B1" s="40"/>
      <c r="C1" s="40"/>
      <c r="D1" s="40"/>
      <c r="E1" s="40"/>
      <c r="F1" s="40"/>
      <c r="G1" s="40"/>
      <c r="H1" s="40"/>
      <c r="I1" s="40"/>
    </row>
    <row r="2" spans="1:43" ht="15.6" x14ac:dyDescent="0.3">
      <c r="A2" s="41" t="str">
        <f>IF(title="&gt; Enter workbook title here","Enter workbook title in Cover sheet",title)</f>
        <v>Fire_S - Consolidated Factor Spreadsheet</v>
      </c>
      <c r="B2" s="42"/>
      <c r="C2" s="42"/>
      <c r="D2" s="42"/>
      <c r="E2" s="42"/>
      <c r="F2" s="42"/>
      <c r="G2" s="42"/>
      <c r="H2" s="42"/>
      <c r="I2" s="42"/>
    </row>
    <row r="3" spans="1:43" ht="15.6" x14ac:dyDescent="0.3">
      <c r="A3" s="43" t="str">
        <f>TABLE_FACTOR_TYPE_1&amp;" - x-"&amp;TABLE_SERIES_NUMBER_1</f>
        <v>Scheme Pays AA - x-614</v>
      </c>
      <c r="B3" s="42"/>
      <c r="C3" s="42"/>
      <c r="D3" s="42"/>
      <c r="E3" s="42"/>
      <c r="F3" s="42"/>
      <c r="G3" s="42"/>
      <c r="H3" s="42"/>
      <c r="I3" s="42"/>
    </row>
    <row r="4" spans="1:43" x14ac:dyDescent="0.25">
      <c r="A4" s="44"/>
    </row>
    <row r="6" spans="1:43" x14ac:dyDescent="0.25">
      <c r="A6" s="75" t="s">
        <v>484</v>
      </c>
      <c r="B6" s="162" t="s">
        <v>485</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row>
    <row r="7" spans="1:43" x14ac:dyDescent="0.25">
      <c r="A7" s="76" t="s">
        <v>486</v>
      </c>
      <c r="B7" s="162" t="s">
        <v>81</v>
      </c>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row>
    <row r="8" spans="1:43" x14ac:dyDescent="0.25">
      <c r="A8" s="76" t="s">
        <v>282</v>
      </c>
      <c r="B8" s="162">
        <v>2006</v>
      </c>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row>
    <row r="9" spans="1:43" x14ac:dyDescent="0.25">
      <c r="A9" s="76" t="s">
        <v>283</v>
      </c>
      <c r="B9" s="162" t="s">
        <v>419</v>
      </c>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row>
    <row r="10" spans="1:43" x14ac:dyDescent="0.25">
      <c r="A10" s="76" t="s">
        <v>6</v>
      </c>
      <c r="B10" s="162" t="s">
        <v>452</v>
      </c>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row>
    <row r="11" spans="1:43" x14ac:dyDescent="0.25">
      <c r="A11" s="76" t="s">
        <v>284</v>
      </c>
      <c r="B11" s="162" t="s">
        <v>349</v>
      </c>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row>
    <row r="12" spans="1:43" x14ac:dyDescent="0.25">
      <c r="A12" s="76" t="s">
        <v>285</v>
      </c>
      <c r="B12" s="162" t="s">
        <v>360</v>
      </c>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row>
    <row r="13" spans="1:43" hidden="1" x14ac:dyDescent="0.25">
      <c r="A13" s="76" t="s">
        <v>493</v>
      </c>
      <c r="B13" s="162">
        <v>1</v>
      </c>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row>
    <row r="14" spans="1:43" hidden="1" x14ac:dyDescent="0.25">
      <c r="A14" s="76" t="s">
        <v>287</v>
      </c>
      <c r="B14" s="162">
        <v>614</v>
      </c>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row>
    <row r="15" spans="1:43" x14ac:dyDescent="0.25">
      <c r="A15" s="76" t="s">
        <v>496</v>
      </c>
      <c r="B15" s="162" t="s">
        <v>453</v>
      </c>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row>
    <row r="16" spans="1:43" x14ac:dyDescent="0.25">
      <c r="A16" s="76" t="s">
        <v>288</v>
      </c>
      <c r="B16" s="162" t="s">
        <v>454</v>
      </c>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row>
    <row r="17" spans="1:43" x14ac:dyDescent="0.25">
      <c r="A17" s="76" t="s">
        <v>568</v>
      </c>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row>
    <row r="18" spans="1:43" x14ac:dyDescent="0.25">
      <c r="A18" s="76" t="s">
        <v>500</v>
      </c>
      <c r="B18" s="164">
        <v>45135</v>
      </c>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row>
    <row r="19" spans="1:43" x14ac:dyDescent="0.25">
      <c r="A19" s="76" t="s">
        <v>290</v>
      </c>
      <c r="B19" s="164">
        <v>45135</v>
      </c>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row>
    <row r="20" spans="1:43" x14ac:dyDescent="0.25">
      <c r="A20" s="76" t="s">
        <v>291</v>
      </c>
      <c r="B20" s="162" t="s">
        <v>298</v>
      </c>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row>
    <row r="21" spans="1:43" x14ac:dyDescent="0.25">
      <c r="A21" s="150" t="s">
        <v>569</v>
      </c>
      <c r="B21" s="162" t="s">
        <v>297</v>
      </c>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row>
    <row r="23" spans="1:43" x14ac:dyDescent="0.25">
      <c r="B23" s="91" t="str">
        <f>HYPERLINK("#'Factor List'!A1","Back to Factor List")</f>
        <v>Back to Factor List</v>
      </c>
    </row>
    <row r="24" spans="1:43" x14ac:dyDescent="0.25">
      <c r="B24" s="91" t="str">
        <f>HYPERLINK("#'Assumptions'!A1","Assumptions")</f>
        <v>Assumptions</v>
      </c>
    </row>
    <row r="26" spans="1:43" x14ac:dyDescent="0.25">
      <c r="A26" s="87" t="s">
        <v>611</v>
      </c>
      <c r="B26" s="87">
        <v>18</v>
      </c>
      <c r="C26" s="87">
        <v>19</v>
      </c>
      <c r="D26" s="87">
        <v>20</v>
      </c>
      <c r="E26" s="87">
        <v>21</v>
      </c>
      <c r="F26" s="87">
        <v>22</v>
      </c>
      <c r="G26" s="87">
        <v>23</v>
      </c>
      <c r="H26" s="87">
        <v>24</v>
      </c>
      <c r="I26" s="87">
        <v>25</v>
      </c>
      <c r="J26" s="87">
        <v>26</v>
      </c>
      <c r="K26" s="87">
        <v>27</v>
      </c>
      <c r="L26" s="87">
        <v>28</v>
      </c>
      <c r="M26" s="87">
        <v>29</v>
      </c>
      <c r="N26" s="87">
        <v>30</v>
      </c>
      <c r="O26" s="87">
        <v>31</v>
      </c>
      <c r="P26" s="87">
        <v>32</v>
      </c>
      <c r="Q26" s="87">
        <v>33</v>
      </c>
      <c r="R26" s="87">
        <v>34</v>
      </c>
      <c r="S26" s="87">
        <v>35</v>
      </c>
      <c r="T26" s="87">
        <v>36</v>
      </c>
      <c r="U26" s="87">
        <v>37</v>
      </c>
      <c r="V26" s="87">
        <v>38</v>
      </c>
      <c r="W26" s="87">
        <v>39</v>
      </c>
      <c r="X26" s="87">
        <v>40</v>
      </c>
      <c r="Y26" s="87">
        <v>41</v>
      </c>
      <c r="Z26" s="87">
        <v>42</v>
      </c>
      <c r="AA26" s="87">
        <v>43</v>
      </c>
      <c r="AB26" s="87">
        <v>44</v>
      </c>
      <c r="AC26" s="87">
        <v>45</v>
      </c>
      <c r="AD26" s="87">
        <v>46</v>
      </c>
      <c r="AE26" s="87">
        <v>47</v>
      </c>
      <c r="AF26" s="87">
        <v>48</v>
      </c>
      <c r="AG26" s="87">
        <v>49</v>
      </c>
      <c r="AH26" s="87">
        <v>50</v>
      </c>
      <c r="AI26" s="87">
        <v>51</v>
      </c>
      <c r="AJ26" s="87">
        <v>52</v>
      </c>
      <c r="AK26" s="87">
        <v>53</v>
      </c>
      <c r="AL26" s="87">
        <v>54</v>
      </c>
      <c r="AM26" s="87">
        <v>55</v>
      </c>
      <c r="AN26" s="87">
        <v>56</v>
      </c>
      <c r="AO26" s="87">
        <v>57</v>
      </c>
      <c r="AP26" s="87">
        <v>58</v>
      </c>
      <c r="AQ26" s="87">
        <v>59</v>
      </c>
    </row>
    <row r="27" spans="1:43" x14ac:dyDescent="0.25">
      <c r="A27" s="88">
        <v>0</v>
      </c>
      <c r="B27" s="90">
        <v>0.26</v>
      </c>
      <c r="C27" s="90">
        <v>0.26600000000000001</v>
      </c>
      <c r="D27" s="90">
        <v>0.27200000000000002</v>
      </c>
      <c r="E27" s="90">
        <v>0.27900000000000003</v>
      </c>
      <c r="F27" s="90">
        <v>0.28499999999999998</v>
      </c>
      <c r="G27" s="90">
        <v>0.29199999999999998</v>
      </c>
      <c r="H27" s="90">
        <v>0.29899999999999999</v>
      </c>
      <c r="I27" s="90">
        <v>0.307</v>
      </c>
      <c r="J27" s="90">
        <v>0.314</v>
      </c>
      <c r="K27" s="90">
        <v>0.32200000000000001</v>
      </c>
      <c r="L27" s="90">
        <v>0.33100000000000002</v>
      </c>
      <c r="M27" s="90">
        <v>0.33900000000000002</v>
      </c>
      <c r="N27" s="90">
        <v>0.34799999999999998</v>
      </c>
      <c r="O27" s="90">
        <v>0.35799999999999998</v>
      </c>
      <c r="P27" s="90">
        <v>0.36699999999999999</v>
      </c>
      <c r="Q27" s="90">
        <v>0.378</v>
      </c>
      <c r="R27" s="90">
        <v>0.38800000000000001</v>
      </c>
      <c r="S27" s="90">
        <v>0.39900000000000002</v>
      </c>
      <c r="T27" s="90">
        <v>0.41099999999999998</v>
      </c>
      <c r="U27" s="90">
        <v>0.42299999999999999</v>
      </c>
      <c r="V27" s="90">
        <v>0.435</v>
      </c>
      <c r="W27" s="90">
        <v>0.44900000000000001</v>
      </c>
      <c r="X27" s="90">
        <v>0.46200000000000002</v>
      </c>
      <c r="Y27" s="90">
        <v>0.47699999999999998</v>
      </c>
      <c r="Z27" s="90">
        <v>0.49199999999999999</v>
      </c>
      <c r="AA27" s="90">
        <v>0.50800000000000001</v>
      </c>
      <c r="AB27" s="90">
        <v>0.52500000000000002</v>
      </c>
      <c r="AC27" s="90">
        <v>0.54300000000000004</v>
      </c>
      <c r="AD27" s="90">
        <v>0.56200000000000006</v>
      </c>
      <c r="AE27" s="90">
        <v>0.58199999999999996</v>
      </c>
      <c r="AF27" s="90">
        <v>0.60299999999999998</v>
      </c>
      <c r="AG27" s="90">
        <v>0.625</v>
      </c>
      <c r="AH27" s="90">
        <v>0.64900000000000002</v>
      </c>
      <c r="AI27" s="90">
        <v>0.67400000000000004</v>
      </c>
      <c r="AJ27" s="90">
        <v>0.70099999999999996</v>
      </c>
      <c r="AK27" s="90">
        <v>0.73</v>
      </c>
      <c r="AL27" s="90">
        <v>0.76100000000000001</v>
      </c>
      <c r="AM27" s="90">
        <v>0.79400000000000004</v>
      </c>
      <c r="AN27" s="90">
        <v>0.82899999999999996</v>
      </c>
      <c r="AO27" s="90">
        <v>0.86699999999999999</v>
      </c>
      <c r="AP27" s="90">
        <v>0.90800000000000003</v>
      </c>
      <c r="AQ27" s="90">
        <v>0.95199999999999996</v>
      </c>
    </row>
    <row r="28" spans="1:43" x14ac:dyDescent="0.25">
      <c r="A28" s="88">
        <v>1</v>
      </c>
      <c r="B28" s="90">
        <v>0.26</v>
      </c>
      <c r="C28" s="90">
        <v>0.26600000000000001</v>
      </c>
      <c r="D28" s="90">
        <v>0.27300000000000002</v>
      </c>
      <c r="E28" s="90">
        <v>0.27900000000000003</v>
      </c>
      <c r="F28" s="90">
        <v>0.28599999999999998</v>
      </c>
      <c r="G28" s="90">
        <v>0.29299999999999998</v>
      </c>
      <c r="H28" s="90">
        <v>0.3</v>
      </c>
      <c r="I28" s="90">
        <v>0.307</v>
      </c>
      <c r="J28" s="90">
        <v>0.315</v>
      </c>
      <c r="K28" s="90">
        <v>0.32300000000000001</v>
      </c>
      <c r="L28" s="90">
        <v>0.33100000000000002</v>
      </c>
      <c r="M28" s="90">
        <v>0.34</v>
      </c>
      <c r="N28" s="90">
        <v>0.34899999999999998</v>
      </c>
      <c r="O28" s="90">
        <v>0.35799999999999998</v>
      </c>
      <c r="P28" s="90">
        <v>0.36799999999999999</v>
      </c>
      <c r="Q28" s="90">
        <v>0.378</v>
      </c>
      <c r="R28" s="90">
        <v>0.38900000000000001</v>
      </c>
      <c r="S28" s="90">
        <v>0.4</v>
      </c>
      <c r="T28" s="90">
        <v>0.41199999999999998</v>
      </c>
      <c r="U28" s="90">
        <v>0.42399999999999999</v>
      </c>
      <c r="V28" s="90">
        <v>0.436</v>
      </c>
      <c r="W28" s="90">
        <v>0.45</v>
      </c>
      <c r="X28" s="90">
        <v>0.46400000000000002</v>
      </c>
      <c r="Y28" s="90">
        <v>0.47799999999999998</v>
      </c>
      <c r="Z28" s="90">
        <v>0.49399999999999999</v>
      </c>
      <c r="AA28" s="90">
        <v>0.51</v>
      </c>
      <c r="AB28" s="90">
        <v>0.52700000000000002</v>
      </c>
      <c r="AC28" s="90">
        <v>0.54500000000000004</v>
      </c>
      <c r="AD28" s="90">
        <v>0.56399999999999995</v>
      </c>
      <c r="AE28" s="90">
        <v>0.58399999999999996</v>
      </c>
      <c r="AF28" s="90">
        <v>0.60499999999999998</v>
      </c>
      <c r="AG28" s="90">
        <v>0.627</v>
      </c>
      <c r="AH28" s="90">
        <v>0.65100000000000002</v>
      </c>
      <c r="AI28" s="90">
        <v>0.67700000000000005</v>
      </c>
      <c r="AJ28" s="90">
        <v>0.70399999999999996</v>
      </c>
      <c r="AK28" s="90">
        <v>0.73299999999999998</v>
      </c>
      <c r="AL28" s="90">
        <v>0.76300000000000001</v>
      </c>
      <c r="AM28" s="90">
        <v>0.79700000000000004</v>
      </c>
      <c r="AN28" s="90">
        <v>0.83199999999999996</v>
      </c>
      <c r="AO28" s="90">
        <v>0.87</v>
      </c>
      <c r="AP28" s="90">
        <v>0.91200000000000003</v>
      </c>
      <c r="AQ28" s="90">
        <v>0.95599999999999996</v>
      </c>
    </row>
    <row r="29" spans="1:43" x14ac:dyDescent="0.25">
      <c r="A29" s="88">
        <v>2</v>
      </c>
      <c r="B29" s="90">
        <v>0.26100000000000001</v>
      </c>
      <c r="C29" s="90">
        <v>0.26700000000000002</v>
      </c>
      <c r="D29" s="90">
        <v>0.27300000000000002</v>
      </c>
      <c r="E29" s="90">
        <v>0.28000000000000003</v>
      </c>
      <c r="F29" s="90">
        <v>0.28599999999999998</v>
      </c>
      <c r="G29" s="90">
        <v>0.29299999999999998</v>
      </c>
      <c r="H29" s="90">
        <v>0.30099999999999999</v>
      </c>
      <c r="I29" s="90">
        <v>0.308</v>
      </c>
      <c r="J29" s="90">
        <v>0.316</v>
      </c>
      <c r="K29" s="90">
        <v>0.32400000000000001</v>
      </c>
      <c r="L29" s="90">
        <v>0.33200000000000002</v>
      </c>
      <c r="M29" s="90">
        <v>0.34100000000000003</v>
      </c>
      <c r="N29" s="90">
        <v>0.35</v>
      </c>
      <c r="O29" s="90">
        <v>0.35899999999999999</v>
      </c>
      <c r="P29" s="90">
        <v>0.36899999999999999</v>
      </c>
      <c r="Q29" s="90">
        <v>0.379</v>
      </c>
      <c r="R29" s="90">
        <v>0.39</v>
      </c>
      <c r="S29" s="90">
        <v>0.40100000000000002</v>
      </c>
      <c r="T29" s="90">
        <v>0.41299999999999998</v>
      </c>
      <c r="U29" s="90">
        <v>0.42499999999999999</v>
      </c>
      <c r="V29" s="90">
        <v>0.438</v>
      </c>
      <c r="W29" s="90">
        <v>0.45100000000000001</v>
      </c>
      <c r="X29" s="90">
        <v>0.46500000000000002</v>
      </c>
      <c r="Y29" s="90">
        <v>0.48</v>
      </c>
      <c r="Z29" s="90">
        <v>0.495</v>
      </c>
      <c r="AA29" s="90">
        <v>0.51100000000000001</v>
      </c>
      <c r="AB29" s="90">
        <v>0.52800000000000002</v>
      </c>
      <c r="AC29" s="90">
        <v>0.54600000000000004</v>
      </c>
      <c r="AD29" s="90">
        <v>0.56499999999999995</v>
      </c>
      <c r="AE29" s="90">
        <v>0.58499999999999996</v>
      </c>
      <c r="AF29" s="90">
        <v>0.60699999999999998</v>
      </c>
      <c r="AG29" s="90">
        <v>0.629</v>
      </c>
      <c r="AH29" s="90">
        <v>0.65300000000000002</v>
      </c>
      <c r="AI29" s="90">
        <v>0.67900000000000005</v>
      </c>
      <c r="AJ29" s="90">
        <v>0.70599999999999996</v>
      </c>
      <c r="AK29" s="90">
        <v>0.73499999999999999</v>
      </c>
      <c r="AL29" s="90">
        <v>0.76600000000000001</v>
      </c>
      <c r="AM29" s="90">
        <v>0.8</v>
      </c>
      <c r="AN29" s="90">
        <v>0.83499999999999996</v>
      </c>
      <c r="AO29" s="90">
        <v>0.874</v>
      </c>
      <c r="AP29" s="90">
        <v>0.91500000000000004</v>
      </c>
      <c r="AQ29" s="90">
        <v>0.96</v>
      </c>
    </row>
    <row r="30" spans="1:43" x14ac:dyDescent="0.25">
      <c r="A30" s="88">
        <v>3</v>
      </c>
      <c r="B30" s="90">
        <v>0.26100000000000001</v>
      </c>
      <c r="C30" s="90">
        <v>0.26700000000000002</v>
      </c>
      <c r="D30" s="90">
        <v>0.27400000000000002</v>
      </c>
      <c r="E30" s="90">
        <v>0.28000000000000003</v>
      </c>
      <c r="F30" s="90">
        <v>0.28699999999999998</v>
      </c>
      <c r="G30" s="90">
        <v>0.29399999999999998</v>
      </c>
      <c r="H30" s="90">
        <v>0.30099999999999999</v>
      </c>
      <c r="I30" s="90">
        <v>0.309</v>
      </c>
      <c r="J30" s="90">
        <v>0.316</v>
      </c>
      <c r="K30" s="90">
        <v>0.32500000000000001</v>
      </c>
      <c r="L30" s="90">
        <v>0.33300000000000002</v>
      </c>
      <c r="M30" s="90">
        <v>0.34200000000000003</v>
      </c>
      <c r="N30" s="90">
        <v>0.35099999999999998</v>
      </c>
      <c r="O30" s="90">
        <v>0.36</v>
      </c>
      <c r="P30" s="90">
        <v>0.37</v>
      </c>
      <c r="Q30" s="90">
        <v>0.38</v>
      </c>
      <c r="R30" s="90">
        <v>0.39100000000000001</v>
      </c>
      <c r="S30" s="90">
        <v>0.40200000000000002</v>
      </c>
      <c r="T30" s="90">
        <v>0.41399999999999998</v>
      </c>
      <c r="U30" s="90">
        <v>0.42599999999999999</v>
      </c>
      <c r="V30" s="90">
        <v>0.439</v>
      </c>
      <c r="W30" s="90">
        <v>0.45200000000000001</v>
      </c>
      <c r="X30" s="90">
        <v>0.46600000000000003</v>
      </c>
      <c r="Y30" s="90">
        <v>0.48099999999999998</v>
      </c>
      <c r="Z30" s="90">
        <v>0.496</v>
      </c>
      <c r="AA30" s="90">
        <v>0.51300000000000001</v>
      </c>
      <c r="AB30" s="90">
        <v>0.53</v>
      </c>
      <c r="AC30" s="90">
        <v>0.54800000000000004</v>
      </c>
      <c r="AD30" s="90">
        <v>0.56699999999999995</v>
      </c>
      <c r="AE30" s="90">
        <v>0.58699999999999997</v>
      </c>
      <c r="AF30" s="90">
        <v>0.60899999999999999</v>
      </c>
      <c r="AG30" s="90">
        <v>0.63100000000000001</v>
      </c>
      <c r="AH30" s="90">
        <v>0.65500000000000003</v>
      </c>
      <c r="AI30" s="90">
        <v>0.68100000000000005</v>
      </c>
      <c r="AJ30" s="90">
        <v>0.70899999999999996</v>
      </c>
      <c r="AK30" s="90">
        <v>0.73799999999999999</v>
      </c>
      <c r="AL30" s="90">
        <v>0.76900000000000002</v>
      </c>
      <c r="AM30" s="90">
        <v>0.80200000000000005</v>
      </c>
      <c r="AN30" s="90">
        <v>0.83799999999999997</v>
      </c>
      <c r="AO30" s="90">
        <v>0.877</v>
      </c>
      <c r="AP30" s="90">
        <v>0.91900000000000004</v>
      </c>
      <c r="AQ30" s="90">
        <v>0.96399999999999997</v>
      </c>
    </row>
    <row r="31" spans="1:43" x14ac:dyDescent="0.25">
      <c r="A31" s="88">
        <v>4</v>
      </c>
      <c r="B31" s="90">
        <v>0.26200000000000001</v>
      </c>
      <c r="C31" s="90">
        <v>0.26800000000000002</v>
      </c>
      <c r="D31" s="90">
        <v>0.27400000000000002</v>
      </c>
      <c r="E31" s="90">
        <v>0.28100000000000003</v>
      </c>
      <c r="F31" s="90">
        <v>0.28799999999999998</v>
      </c>
      <c r="G31" s="90">
        <v>0.29499999999999998</v>
      </c>
      <c r="H31" s="90">
        <v>0.30199999999999999</v>
      </c>
      <c r="I31" s="90">
        <v>0.309</v>
      </c>
      <c r="J31" s="90">
        <v>0.317</v>
      </c>
      <c r="K31" s="90">
        <v>0.32500000000000001</v>
      </c>
      <c r="L31" s="90">
        <v>0.33400000000000002</v>
      </c>
      <c r="M31" s="90">
        <v>0.34200000000000003</v>
      </c>
      <c r="N31" s="90">
        <v>0.35099999999999998</v>
      </c>
      <c r="O31" s="90">
        <v>0.36099999999999999</v>
      </c>
      <c r="P31" s="90">
        <v>0.371</v>
      </c>
      <c r="Q31" s="90">
        <v>0.38100000000000001</v>
      </c>
      <c r="R31" s="90">
        <v>0.39200000000000002</v>
      </c>
      <c r="S31" s="90">
        <v>0.40300000000000002</v>
      </c>
      <c r="T31" s="90">
        <v>0.41499999999999998</v>
      </c>
      <c r="U31" s="90">
        <v>0.42699999999999999</v>
      </c>
      <c r="V31" s="90">
        <v>0.44</v>
      </c>
      <c r="W31" s="90">
        <v>0.45300000000000001</v>
      </c>
      <c r="X31" s="90">
        <v>0.46700000000000003</v>
      </c>
      <c r="Y31" s="90">
        <v>0.48199999999999998</v>
      </c>
      <c r="Z31" s="90">
        <v>0.498</v>
      </c>
      <c r="AA31" s="90">
        <v>0.51400000000000001</v>
      </c>
      <c r="AB31" s="90">
        <v>0.53100000000000003</v>
      </c>
      <c r="AC31" s="90">
        <v>0.54900000000000004</v>
      </c>
      <c r="AD31" s="90">
        <v>0.56899999999999995</v>
      </c>
      <c r="AE31" s="90">
        <v>0.58899999999999997</v>
      </c>
      <c r="AF31" s="90">
        <v>0.61</v>
      </c>
      <c r="AG31" s="90">
        <v>0.63300000000000001</v>
      </c>
      <c r="AH31" s="90">
        <v>0.65800000000000003</v>
      </c>
      <c r="AI31" s="90">
        <v>0.68300000000000005</v>
      </c>
      <c r="AJ31" s="90">
        <v>0.71099999999999997</v>
      </c>
      <c r="AK31" s="90">
        <v>0.74</v>
      </c>
      <c r="AL31" s="90">
        <v>0.77200000000000002</v>
      </c>
      <c r="AM31" s="90">
        <v>0.80500000000000005</v>
      </c>
      <c r="AN31" s="90">
        <v>0.84199999999999997</v>
      </c>
      <c r="AO31" s="90">
        <v>0.88100000000000001</v>
      </c>
      <c r="AP31" s="90">
        <v>0.92300000000000004</v>
      </c>
      <c r="AQ31" s="90">
        <v>0.96799999999999997</v>
      </c>
    </row>
    <row r="32" spans="1:43" x14ac:dyDescent="0.25">
      <c r="A32" s="88">
        <v>5</v>
      </c>
      <c r="B32" s="90">
        <v>0.26200000000000001</v>
      </c>
      <c r="C32" s="90">
        <v>0.26800000000000002</v>
      </c>
      <c r="D32" s="90">
        <v>0.27500000000000002</v>
      </c>
      <c r="E32" s="90">
        <v>0.28100000000000003</v>
      </c>
      <c r="F32" s="90">
        <v>0.28799999999999998</v>
      </c>
      <c r="G32" s="90">
        <v>0.29499999999999998</v>
      </c>
      <c r="H32" s="90">
        <v>0.30199999999999999</v>
      </c>
      <c r="I32" s="90">
        <v>0.31</v>
      </c>
      <c r="J32" s="90">
        <v>0.318</v>
      </c>
      <c r="K32" s="90">
        <v>0.32600000000000001</v>
      </c>
      <c r="L32" s="90">
        <v>0.33400000000000002</v>
      </c>
      <c r="M32" s="90">
        <v>0.34300000000000003</v>
      </c>
      <c r="N32" s="90">
        <v>0.35199999999999998</v>
      </c>
      <c r="O32" s="90">
        <v>0.36199999999999999</v>
      </c>
      <c r="P32" s="90">
        <v>0.372</v>
      </c>
      <c r="Q32" s="90">
        <v>0.38200000000000001</v>
      </c>
      <c r="R32" s="90">
        <v>0.39300000000000002</v>
      </c>
      <c r="S32" s="90">
        <v>0.40400000000000003</v>
      </c>
      <c r="T32" s="90">
        <v>0.41599999999999998</v>
      </c>
      <c r="U32" s="90">
        <v>0.42799999999999999</v>
      </c>
      <c r="V32" s="90">
        <v>0.441</v>
      </c>
      <c r="W32" s="90">
        <v>0.45400000000000001</v>
      </c>
      <c r="X32" s="90">
        <v>0.46800000000000003</v>
      </c>
      <c r="Y32" s="90">
        <v>0.48299999999999998</v>
      </c>
      <c r="Z32" s="90">
        <v>0.499</v>
      </c>
      <c r="AA32" s="90">
        <v>0.51500000000000001</v>
      </c>
      <c r="AB32" s="90">
        <v>0.53300000000000003</v>
      </c>
      <c r="AC32" s="90">
        <v>0.55100000000000005</v>
      </c>
      <c r="AD32" s="90">
        <v>0.56999999999999995</v>
      </c>
      <c r="AE32" s="90">
        <v>0.59099999999999997</v>
      </c>
      <c r="AF32" s="90">
        <v>0.61199999999999999</v>
      </c>
      <c r="AG32" s="90">
        <v>0.63500000000000001</v>
      </c>
      <c r="AH32" s="90">
        <v>0.66</v>
      </c>
      <c r="AI32" s="90">
        <v>0.68600000000000005</v>
      </c>
      <c r="AJ32" s="90">
        <v>0.71299999999999997</v>
      </c>
      <c r="AK32" s="90">
        <v>0.74299999999999999</v>
      </c>
      <c r="AL32" s="90">
        <v>0.77400000000000002</v>
      </c>
      <c r="AM32" s="90">
        <v>0.80800000000000005</v>
      </c>
      <c r="AN32" s="90">
        <v>0.84499999999999997</v>
      </c>
      <c r="AO32" s="90">
        <v>0.88400000000000001</v>
      </c>
      <c r="AP32" s="90">
        <v>0.92600000000000005</v>
      </c>
      <c r="AQ32" s="90">
        <v>0.97199999999999998</v>
      </c>
    </row>
    <row r="33" spans="1:43" x14ac:dyDescent="0.25">
      <c r="A33" s="88">
        <v>6</v>
      </c>
      <c r="B33" s="90">
        <v>0.26300000000000001</v>
      </c>
      <c r="C33" s="90">
        <v>0.26900000000000002</v>
      </c>
      <c r="D33" s="90">
        <v>0.27500000000000002</v>
      </c>
      <c r="E33" s="90">
        <v>0.28199999999999997</v>
      </c>
      <c r="F33" s="90">
        <v>0.28899999999999998</v>
      </c>
      <c r="G33" s="90">
        <v>0.29599999999999999</v>
      </c>
      <c r="H33" s="90">
        <v>0.30299999999999999</v>
      </c>
      <c r="I33" s="90">
        <v>0.311</v>
      </c>
      <c r="J33" s="90">
        <v>0.318</v>
      </c>
      <c r="K33" s="90">
        <v>0.32700000000000001</v>
      </c>
      <c r="L33" s="90">
        <v>0.33500000000000002</v>
      </c>
      <c r="M33" s="90">
        <v>0.34399999999999997</v>
      </c>
      <c r="N33" s="90">
        <v>0.35299999999999998</v>
      </c>
      <c r="O33" s="90">
        <v>0.36299999999999999</v>
      </c>
      <c r="P33" s="90">
        <v>0.372</v>
      </c>
      <c r="Q33" s="90">
        <v>0.38300000000000001</v>
      </c>
      <c r="R33" s="90">
        <v>0.39400000000000002</v>
      </c>
      <c r="S33" s="90">
        <v>0.40500000000000003</v>
      </c>
      <c r="T33" s="90">
        <v>0.41699999999999998</v>
      </c>
      <c r="U33" s="90">
        <v>0.42899999999999999</v>
      </c>
      <c r="V33" s="90">
        <v>0.442</v>
      </c>
      <c r="W33" s="90">
        <v>0.45500000000000002</v>
      </c>
      <c r="X33" s="90">
        <v>0.47</v>
      </c>
      <c r="Y33" s="90">
        <v>0.48499999999999999</v>
      </c>
      <c r="Z33" s="90">
        <v>0.5</v>
      </c>
      <c r="AA33" s="90">
        <v>0.51700000000000002</v>
      </c>
      <c r="AB33" s="90">
        <v>0.53400000000000003</v>
      </c>
      <c r="AC33" s="90">
        <v>0.55300000000000005</v>
      </c>
      <c r="AD33" s="90">
        <v>0.57199999999999995</v>
      </c>
      <c r="AE33" s="90">
        <v>0.59199999999999997</v>
      </c>
      <c r="AF33" s="90">
        <v>0.61399999999999999</v>
      </c>
      <c r="AG33" s="90">
        <v>0.63700000000000001</v>
      </c>
      <c r="AH33" s="90">
        <v>0.66200000000000003</v>
      </c>
      <c r="AI33" s="90">
        <v>0.68799999999999994</v>
      </c>
      <c r="AJ33" s="90">
        <v>0.71599999999999997</v>
      </c>
      <c r="AK33" s="90">
        <v>0.745</v>
      </c>
      <c r="AL33" s="90">
        <v>0.77700000000000002</v>
      </c>
      <c r="AM33" s="90">
        <v>0.81100000000000005</v>
      </c>
      <c r="AN33" s="90">
        <v>0.84799999999999998</v>
      </c>
      <c r="AO33" s="90">
        <v>0.88700000000000001</v>
      </c>
      <c r="AP33" s="90">
        <v>0.93</v>
      </c>
      <c r="AQ33" s="90">
        <v>0.97599999999999998</v>
      </c>
    </row>
    <row r="34" spans="1:43" x14ac:dyDescent="0.25">
      <c r="A34" s="88">
        <v>7</v>
      </c>
      <c r="B34" s="90">
        <v>0.26300000000000001</v>
      </c>
      <c r="C34" s="90">
        <v>0.27</v>
      </c>
      <c r="D34" s="90">
        <v>0.27600000000000002</v>
      </c>
      <c r="E34" s="90">
        <v>0.28199999999999997</v>
      </c>
      <c r="F34" s="90">
        <v>0.28899999999999998</v>
      </c>
      <c r="G34" s="90">
        <v>0.29599999999999999</v>
      </c>
      <c r="H34" s="90">
        <v>0.30399999999999999</v>
      </c>
      <c r="I34" s="90">
        <v>0.311</v>
      </c>
      <c r="J34" s="90">
        <v>0.31900000000000001</v>
      </c>
      <c r="K34" s="90">
        <v>0.32700000000000001</v>
      </c>
      <c r="L34" s="90">
        <v>0.33600000000000002</v>
      </c>
      <c r="M34" s="90">
        <v>0.34499999999999997</v>
      </c>
      <c r="N34" s="90">
        <v>0.35399999999999998</v>
      </c>
      <c r="O34" s="90">
        <v>0.36299999999999999</v>
      </c>
      <c r="P34" s="90">
        <v>0.373</v>
      </c>
      <c r="Q34" s="90">
        <v>0.38400000000000001</v>
      </c>
      <c r="R34" s="90">
        <v>0.39500000000000002</v>
      </c>
      <c r="S34" s="90">
        <v>0.40600000000000003</v>
      </c>
      <c r="T34" s="90">
        <v>0.41799999999999998</v>
      </c>
      <c r="U34" s="90">
        <v>0.43</v>
      </c>
      <c r="V34" s="90">
        <v>0.443</v>
      </c>
      <c r="W34" s="90">
        <v>0.45700000000000002</v>
      </c>
      <c r="X34" s="90">
        <v>0.47099999999999997</v>
      </c>
      <c r="Y34" s="90">
        <v>0.48599999999999999</v>
      </c>
      <c r="Z34" s="90">
        <v>0.502</v>
      </c>
      <c r="AA34" s="90">
        <v>0.51800000000000002</v>
      </c>
      <c r="AB34" s="90">
        <v>0.53600000000000003</v>
      </c>
      <c r="AC34" s="90">
        <v>0.55400000000000005</v>
      </c>
      <c r="AD34" s="90">
        <v>0.57399999999999995</v>
      </c>
      <c r="AE34" s="90">
        <v>0.59399999999999997</v>
      </c>
      <c r="AF34" s="90">
        <v>0.61599999999999999</v>
      </c>
      <c r="AG34" s="90">
        <v>0.63900000000000001</v>
      </c>
      <c r="AH34" s="90">
        <v>0.66400000000000003</v>
      </c>
      <c r="AI34" s="90">
        <v>0.69</v>
      </c>
      <c r="AJ34" s="90">
        <v>0.71799999999999997</v>
      </c>
      <c r="AK34" s="90">
        <v>0.748</v>
      </c>
      <c r="AL34" s="90">
        <v>0.78</v>
      </c>
      <c r="AM34" s="90">
        <v>0.81399999999999995</v>
      </c>
      <c r="AN34" s="90">
        <v>0.85099999999999998</v>
      </c>
      <c r="AO34" s="90">
        <v>0.89100000000000001</v>
      </c>
      <c r="AP34" s="90">
        <v>0.93400000000000005</v>
      </c>
      <c r="AQ34" s="90">
        <v>0.98</v>
      </c>
    </row>
    <row r="35" spans="1:43" x14ac:dyDescent="0.25">
      <c r="A35" s="88">
        <v>8</v>
      </c>
      <c r="B35" s="90">
        <v>0.26400000000000001</v>
      </c>
      <c r="C35" s="90">
        <v>0.27</v>
      </c>
      <c r="D35" s="90">
        <v>0.27600000000000002</v>
      </c>
      <c r="E35" s="90">
        <v>0.28299999999999997</v>
      </c>
      <c r="F35" s="90">
        <v>0.28999999999999998</v>
      </c>
      <c r="G35" s="90">
        <v>0.29699999999999999</v>
      </c>
      <c r="H35" s="90">
        <v>0.30399999999999999</v>
      </c>
      <c r="I35" s="90">
        <v>0.312</v>
      </c>
      <c r="J35" s="90">
        <v>0.32</v>
      </c>
      <c r="K35" s="90">
        <v>0.32800000000000001</v>
      </c>
      <c r="L35" s="90">
        <v>0.33600000000000002</v>
      </c>
      <c r="M35" s="90">
        <v>0.34499999999999997</v>
      </c>
      <c r="N35" s="90">
        <v>0.35499999999999998</v>
      </c>
      <c r="O35" s="90">
        <v>0.36399999999999999</v>
      </c>
      <c r="P35" s="90">
        <v>0.374</v>
      </c>
      <c r="Q35" s="90">
        <v>0.38500000000000001</v>
      </c>
      <c r="R35" s="90">
        <v>0.39500000000000002</v>
      </c>
      <c r="S35" s="90">
        <v>0.40699999999999997</v>
      </c>
      <c r="T35" s="90">
        <v>0.41899999999999998</v>
      </c>
      <c r="U35" s="90">
        <v>0.43099999999999999</v>
      </c>
      <c r="V35" s="90">
        <v>0.44400000000000001</v>
      </c>
      <c r="W35" s="90">
        <v>0.45800000000000002</v>
      </c>
      <c r="X35" s="90">
        <v>0.47199999999999998</v>
      </c>
      <c r="Y35" s="90">
        <v>0.48699999999999999</v>
      </c>
      <c r="Z35" s="90">
        <v>0.503</v>
      </c>
      <c r="AA35" s="90">
        <v>0.52</v>
      </c>
      <c r="AB35" s="90">
        <v>0.53700000000000003</v>
      </c>
      <c r="AC35" s="90">
        <v>0.55600000000000005</v>
      </c>
      <c r="AD35" s="90">
        <v>0.57499999999999996</v>
      </c>
      <c r="AE35" s="90">
        <v>0.59599999999999997</v>
      </c>
      <c r="AF35" s="90">
        <v>0.61799999999999999</v>
      </c>
      <c r="AG35" s="90">
        <v>0.64100000000000001</v>
      </c>
      <c r="AH35" s="90">
        <v>0.66600000000000004</v>
      </c>
      <c r="AI35" s="90">
        <v>0.69199999999999995</v>
      </c>
      <c r="AJ35" s="90">
        <v>0.72</v>
      </c>
      <c r="AK35" s="90">
        <v>0.751</v>
      </c>
      <c r="AL35" s="90">
        <v>0.78300000000000003</v>
      </c>
      <c r="AM35" s="90">
        <v>0.81699999999999995</v>
      </c>
      <c r="AN35" s="90">
        <v>0.85399999999999998</v>
      </c>
      <c r="AO35" s="90">
        <v>0.89400000000000002</v>
      </c>
      <c r="AP35" s="90">
        <v>0.93700000000000006</v>
      </c>
      <c r="AQ35" s="90">
        <v>0.98399999999999999</v>
      </c>
    </row>
    <row r="36" spans="1:43" x14ac:dyDescent="0.25">
      <c r="A36" s="88">
        <v>9</v>
      </c>
      <c r="B36" s="90">
        <v>0.26400000000000001</v>
      </c>
      <c r="C36" s="90">
        <v>0.27100000000000002</v>
      </c>
      <c r="D36" s="90">
        <v>0.27700000000000002</v>
      </c>
      <c r="E36" s="90">
        <v>0.28399999999999997</v>
      </c>
      <c r="F36" s="90">
        <v>0.28999999999999998</v>
      </c>
      <c r="G36" s="90">
        <v>0.29799999999999999</v>
      </c>
      <c r="H36" s="90">
        <v>0.30499999999999999</v>
      </c>
      <c r="I36" s="90">
        <v>0.313</v>
      </c>
      <c r="J36" s="90">
        <v>0.32</v>
      </c>
      <c r="K36" s="90">
        <v>0.32900000000000001</v>
      </c>
      <c r="L36" s="90">
        <v>0.33700000000000002</v>
      </c>
      <c r="M36" s="90">
        <v>0.34599999999999997</v>
      </c>
      <c r="N36" s="90">
        <v>0.35499999999999998</v>
      </c>
      <c r="O36" s="90">
        <v>0.36499999999999999</v>
      </c>
      <c r="P36" s="90">
        <v>0.375</v>
      </c>
      <c r="Q36" s="90">
        <v>0.38500000000000001</v>
      </c>
      <c r="R36" s="90">
        <v>0.39600000000000002</v>
      </c>
      <c r="S36" s="90">
        <v>0.40799999999999997</v>
      </c>
      <c r="T36" s="90">
        <v>0.42</v>
      </c>
      <c r="U36" s="90">
        <v>0.432</v>
      </c>
      <c r="V36" s="90">
        <v>0.44500000000000001</v>
      </c>
      <c r="W36" s="90">
        <v>0.45900000000000002</v>
      </c>
      <c r="X36" s="90">
        <v>0.47299999999999998</v>
      </c>
      <c r="Y36" s="90">
        <v>0.48799999999999999</v>
      </c>
      <c r="Z36" s="90">
        <v>0.504</v>
      </c>
      <c r="AA36" s="90">
        <v>0.52100000000000002</v>
      </c>
      <c r="AB36" s="90">
        <v>0.53900000000000003</v>
      </c>
      <c r="AC36" s="90">
        <v>0.55700000000000005</v>
      </c>
      <c r="AD36" s="90">
        <v>0.57699999999999996</v>
      </c>
      <c r="AE36" s="90">
        <v>0.59799999999999998</v>
      </c>
      <c r="AF36" s="90">
        <v>0.62</v>
      </c>
      <c r="AG36" s="90">
        <v>0.64300000000000002</v>
      </c>
      <c r="AH36" s="90">
        <v>0.66800000000000004</v>
      </c>
      <c r="AI36" s="90">
        <v>0.69499999999999995</v>
      </c>
      <c r="AJ36" s="90">
        <v>0.72299999999999998</v>
      </c>
      <c r="AK36" s="90">
        <v>0.753</v>
      </c>
      <c r="AL36" s="90">
        <v>0.78500000000000003</v>
      </c>
      <c r="AM36" s="90">
        <v>0.82</v>
      </c>
      <c r="AN36" s="90">
        <v>0.85699999999999998</v>
      </c>
      <c r="AO36" s="90">
        <v>0.89800000000000002</v>
      </c>
      <c r="AP36" s="90">
        <v>0.94099999999999995</v>
      </c>
      <c r="AQ36" s="90">
        <v>0.98799999999999999</v>
      </c>
    </row>
    <row r="37" spans="1:43" x14ac:dyDescent="0.25">
      <c r="A37" s="88">
        <v>10</v>
      </c>
      <c r="B37" s="90">
        <v>0.26500000000000001</v>
      </c>
      <c r="C37" s="90">
        <v>0.27100000000000002</v>
      </c>
      <c r="D37" s="90">
        <v>0.27700000000000002</v>
      </c>
      <c r="E37" s="90">
        <v>0.28399999999999997</v>
      </c>
      <c r="F37" s="90">
        <v>0.29099999999999998</v>
      </c>
      <c r="G37" s="90">
        <v>0.29799999999999999</v>
      </c>
      <c r="H37" s="90">
        <v>0.30599999999999999</v>
      </c>
      <c r="I37" s="90">
        <v>0.313</v>
      </c>
      <c r="J37" s="90">
        <v>0.32100000000000001</v>
      </c>
      <c r="K37" s="90">
        <v>0.32900000000000001</v>
      </c>
      <c r="L37" s="90">
        <v>0.33800000000000002</v>
      </c>
      <c r="M37" s="90">
        <v>0.34699999999999998</v>
      </c>
      <c r="N37" s="90">
        <v>0.35599999999999998</v>
      </c>
      <c r="O37" s="90">
        <v>0.36599999999999999</v>
      </c>
      <c r="P37" s="90">
        <v>0.376</v>
      </c>
      <c r="Q37" s="90">
        <v>0.38600000000000001</v>
      </c>
      <c r="R37" s="90">
        <v>0.39700000000000002</v>
      </c>
      <c r="S37" s="90">
        <v>0.40899999999999997</v>
      </c>
      <c r="T37" s="90">
        <v>0.42099999999999999</v>
      </c>
      <c r="U37" s="90">
        <v>0.433</v>
      </c>
      <c r="V37" s="90">
        <v>0.44600000000000001</v>
      </c>
      <c r="W37" s="90">
        <v>0.46</v>
      </c>
      <c r="X37" s="90">
        <v>0.47499999999999998</v>
      </c>
      <c r="Y37" s="90">
        <v>0.49</v>
      </c>
      <c r="Z37" s="90">
        <v>0.50600000000000001</v>
      </c>
      <c r="AA37" s="90">
        <v>0.52200000000000002</v>
      </c>
      <c r="AB37" s="90">
        <v>0.54</v>
      </c>
      <c r="AC37" s="90">
        <v>0.55900000000000005</v>
      </c>
      <c r="AD37" s="90">
        <v>0.57899999999999996</v>
      </c>
      <c r="AE37" s="90">
        <v>0.59899999999999998</v>
      </c>
      <c r="AF37" s="90">
        <v>0.622</v>
      </c>
      <c r="AG37" s="90">
        <v>0.64500000000000002</v>
      </c>
      <c r="AH37" s="90">
        <v>0.67</v>
      </c>
      <c r="AI37" s="90">
        <v>0.69699999999999995</v>
      </c>
      <c r="AJ37" s="90">
        <v>0.72499999999999998</v>
      </c>
      <c r="AK37" s="90">
        <v>0.75600000000000001</v>
      </c>
      <c r="AL37" s="90">
        <v>0.78800000000000003</v>
      </c>
      <c r="AM37" s="90">
        <v>0.82299999999999995</v>
      </c>
      <c r="AN37" s="90">
        <v>0.86099999999999999</v>
      </c>
      <c r="AO37" s="90">
        <v>0.90100000000000002</v>
      </c>
      <c r="AP37" s="90">
        <v>0.94499999999999995</v>
      </c>
      <c r="AQ37" s="90">
        <v>0.99199999999999999</v>
      </c>
    </row>
    <row r="38" spans="1:43" x14ac:dyDescent="0.25">
      <c r="A38" s="88">
        <v>11</v>
      </c>
      <c r="B38" s="90">
        <v>0.26500000000000001</v>
      </c>
      <c r="C38" s="90">
        <v>0.27200000000000002</v>
      </c>
      <c r="D38" s="90">
        <v>0.27800000000000002</v>
      </c>
      <c r="E38" s="90">
        <v>0.28499999999999998</v>
      </c>
      <c r="F38" s="90">
        <v>0.29199999999999998</v>
      </c>
      <c r="G38" s="90">
        <v>0.29899999999999999</v>
      </c>
      <c r="H38" s="90">
        <v>0.30599999999999999</v>
      </c>
      <c r="I38" s="90">
        <v>0.314</v>
      </c>
      <c r="J38" s="90">
        <v>0.32200000000000001</v>
      </c>
      <c r="K38" s="90">
        <v>0.33</v>
      </c>
      <c r="L38" s="90">
        <v>0.33900000000000002</v>
      </c>
      <c r="M38" s="90">
        <v>0.34799999999999998</v>
      </c>
      <c r="N38" s="90">
        <v>0.35699999999999998</v>
      </c>
      <c r="O38" s="90">
        <v>0.36699999999999999</v>
      </c>
      <c r="P38" s="90">
        <v>0.377</v>
      </c>
      <c r="Q38" s="90">
        <v>0.38700000000000001</v>
      </c>
      <c r="R38" s="90">
        <v>0.39800000000000002</v>
      </c>
      <c r="S38" s="90">
        <v>0.41</v>
      </c>
      <c r="T38" s="90">
        <v>0.42199999999999999</v>
      </c>
      <c r="U38" s="90">
        <v>0.434</v>
      </c>
      <c r="V38" s="90">
        <v>0.44700000000000001</v>
      </c>
      <c r="W38" s="90">
        <v>0.46100000000000002</v>
      </c>
      <c r="X38" s="90">
        <v>0.47599999999999998</v>
      </c>
      <c r="Y38" s="90">
        <v>0.49099999999999999</v>
      </c>
      <c r="Z38" s="90">
        <v>0.50700000000000001</v>
      </c>
      <c r="AA38" s="90">
        <v>0.52400000000000002</v>
      </c>
      <c r="AB38" s="90">
        <v>0.54200000000000004</v>
      </c>
      <c r="AC38" s="90">
        <v>0.56000000000000005</v>
      </c>
      <c r="AD38" s="90">
        <v>0.57999999999999996</v>
      </c>
      <c r="AE38" s="90">
        <v>0.60099999999999998</v>
      </c>
      <c r="AF38" s="90">
        <v>0.624</v>
      </c>
      <c r="AG38" s="90">
        <v>0.64700000000000002</v>
      </c>
      <c r="AH38" s="90">
        <v>0.67200000000000004</v>
      </c>
      <c r="AI38" s="90">
        <v>0.69899999999999995</v>
      </c>
      <c r="AJ38" s="90">
        <v>0.72799999999999998</v>
      </c>
      <c r="AK38" s="90">
        <v>0.75800000000000001</v>
      </c>
      <c r="AL38" s="90">
        <v>0.79100000000000004</v>
      </c>
      <c r="AM38" s="90">
        <v>0.82599999999999996</v>
      </c>
      <c r="AN38" s="90">
        <v>0.86399999999999999</v>
      </c>
      <c r="AO38" s="90">
        <v>0.90400000000000003</v>
      </c>
      <c r="AP38" s="90">
        <v>0.94799999999999995</v>
      </c>
      <c r="AQ38" s="90">
        <v>0.996</v>
      </c>
    </row>
    <row r="39" spans="1:43" x14ac:dyDescent="0.25">
      <c r="A39"/>
      <c r="B39"/>
    </row>
    <row r="40" spans="1:43" x14ac:dyDescent="0.25">
      <c r="A40"/>
      <c r="B40"/>
    </row>
    <row r="41" spans="1:43" x14ac:dyDescent="0.25">
      <c r="A41"/>
      <c r="B41"/>
    </row>
    <row r="42" spans="1:43" x14ac:dyDescent="0.25">
      <c r="A42"/>
      <c r="B42"/>
    </row>
    <row r="43" spans="1:43" x14ac:dyDescent="0.25">
      <c r="A43"/>
      <c r="B43"/>
    </row>
    <row r="44" spans="1:43" ht="39.6" customHeight="1" x14ac:dyDescent="0.25">
      <c r="A44"/>
      <c r="B44"/>
    </row>
    <row r="45" spans="1:43" x14ac:dyDescent="0.25">
      <c r="A45"/>
      <c r="B45"/>
    </row>
    <row r="46" spans="1:43" ht="27.6" customHeight="1" x14ac:dyDescent="0.25">
      <c r="A46"/>
      <c r="B46"/>
    </row>
    <row r="47" spans="1:43" x14ac:dyDescent="0.25">
      <c r="A47"/>
      <c r="B47"/>
    </row>
    <row r="48" spans="1:4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mxMIzm9Fgxk183joTcN4la1j1TUdd1yh416XY5QaQbS+z5f5h90c0aHNLlUE2MokJWGbm/qw+MdXeh3k+oNNuQ==" saltValue="9OEtc2hNlob4m+qqFxruyA==" spinCount="100000" sheet="1" objects="1" scenarios="1"/>
  <conditionalFormatting sqref="A6:A21">
    <cfRule type="expression" dxfId="109" priority="3" stopIfTrue="1">
      <formula>MOD(ROW(),2)=0</formula>
    </cfRule>
    <cfRule type="expression" dxfId="108" priority="4" stopIfTrue="1">
      <formula>MOD(ROW(),2)&lt;&gt;0</formula>
    </cfRule>
  </conditionalFormatting>
  <conditionalFormatting sqref="A26:A38">
    <cfRule type="expression" dxfId="107" priority="7" stopIfTrue="1">
      <formula>MOD(ROW(),2)=0</formula>
    </cfRule>
    <cfRule type="expression" dxfId="106" priority="8" stopIfTrue="1">
      <formula>MOD(ROW(),2)&lt;&gt;0</formula>
    </cfRule>
  </conditionalFormatting>
  <conditionalFormatting sqref="B17:B21">
    <cfRule type="expression" dxfId="105" priority="13" stopIfTrue="1">
      <formula>MOD(ROW(),2)=0</formula>
    </cfRule>
    <cfRule type="expression" dxfId="104" priority="14" stopIfTrue="1">
      <formula>MOD(ROW(),2)&lt;&gt;0</formula>
    </cfRule>
  </conditionalFormatting>
  <conditionalFormatting sqref="B6:AQ21 B26:AQ38">
    <cfRule type="expression" dxfId="103" priority="21" stopIfTrue="1">
      <formula>MOD(ROW(),2)=0</formula>
    </cfRule>
    <cfRule type="expression" dxfId="102" priority="2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1"/>
  <dimension ref="A1:I24"/>
  <sheetViews>
    <sheetView showGridLines="0" zoomScale="85" zoomScaleNormal="85" workbookViewId="0">
      <selection activeCell="A4" sqref="A4"/>
    </sheetView>
  </sheetViews>
  <sheetFormatPr defaultColWidth="10" defaultRowHeight="13.2" x14ac:dyDescent="0.25"/>
  <cols>
    <col min="1" max="1" width="31.88671875" style="27" customWidth="1"/>
    <col min="2" max="2" width="22.88671875" style="27" customWidth="1"/>
    <col min="3" max="3" width="28.4414062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Scheme Pays LTA - x-615</v>
      </c>
      <c r="B3" s="42"/>
      <c r="C3" s="42"/>
      <c r="D3" s="42"/>
      <c r="E3" s="42"/>
      <c r="F3" s="42"/>
      <c r="G3" s="42"/>
      <c r="H3" s="42"/>
      <c r="I3" s="42"/>
    </row>
    <row r="4" spans="1:9" x14ac:dyDescent="0.25">
      <c r="A4" s="44"/>
    </row>
    <row r="6" spans="1:9" x14ac:dyDescent="0.25">
      <c r="A6" s="75" t="s">
        <v>484</v>
      </c>
      <c r="B6" s="161" t="s">
        <v>485</v>
      </c>
      <c r="C6" s="77"/>
    </row>
    <row r="7" spans="1:9" x14ac:dyDescent="0.25">
      <c r="A7" s="76" t="s">
        <v>486</v>
      </c>
      <c r="B7" s="162" t="s">
        <v>81</v>
      </c>
      <c r="C7" s="78"/>
    </row>
    <row r="8" spans="1:9" x14ac:dyDescent="0.25">
      <c r="A8" s="76" t="s">
        <v>282</v>
      </c>
      <c r="B8" s="162">
        <v>2006</v>
      </c>
      <c r="C8" s="78"/>
    </row>
    <row r="9" spans="1:9" x14ac:dyDescent="0.25">
      <c r="A9" s="76" t="s">
        <v>283</v>
      </c>
      <c r="B9" s="162" t="s">
        <v>431</v>
      </c>
      <c r="C9" s="78"/>
    </row>
    <row r="10" spans="1:9" x14ac:dyDescent="0.25">
      <c r="A10" s="76" t="s">
        <v>6</v>
      </c>
      <c r="B10" s="162" t="s">
        <v>432</v>
      </c>
      <c r="C10" s="78"/>
    </row>
    <row r="11" spans="1:9" x14ac:dyDescent="0.25">
      <c r="A11" s="76" t="s">
        <v>284</v>
      </c>
      <c r="B11" s="162" t="s">
        <v>334</v>
      </c>
      <c r="C11" s="78"/>
    </row>
    <row r="12" spans="1:9" x14ac:dyDescent="0.25">
      <c r="A12" s="76" t="s">
        <v>285</v>
      </c>
      <c r="B12" s="162" t="s">
        <v>295</v>
      </c>
      <c r="C12" s="78"/>
    </row>
    <row r="13" spans="1:9" hidden="1" x14ac:dyDescent="0.25">
      <c r="A13" s="76" t="s">
        <v>493</v>
      </c>
      <c r="B13" s="162">
        <v>1</v>
      </c>
      <c r="C13" s="78"/>
    </row>
    <row r="14" spans="1:9" hidden="1" x14ac:dyDescent="0.25">
      <c r="A14" s="76" t="s">
        <v>287</v>
      </c>
      <c r="B14" s="162">
        <v>615</v>
      </c>
      <c r="C14" s="78"/>
    </row>
    <row r="15" spans="1:9" x14ac:dyDescent="0.25">
      <c r="A15" s="76" t="s">
        <v>496</v>
      </c>
      <c r="B15" s="162" t="s">
        <v>455</v>
      </c>
      <c r="C15" s="78"/>
    </row>
    <row r="16" spans="1:9" x14ac:dyDescent="0.25">
      <c r="A16" s="76" t="s">
        <v>288</v>
      </c>
      <c r="B16" s="162" t="s">
        <v>378</v>
      </c>
      <c r="C16" s="78"/>
    </row>
    <row r="17" spans="1:3" x14ac:dyDescent="0.25">
      <c r="A17" s="76" t="s">
        <v>568</v>
      </c>
      <c r="B17" s="163"/>
      <c r="C17" s="78"/>
    </row>
    <row r="18" spans="1:3" x14ac:dyDescent="0.25">
      <c r="A18" s="76" t="s">
        <v>500</v>
      </c>
      <c r="B18" s="166">
        <v>45135</v>
      </c>
      <c r="C18" s="78"/>
    </row>
    <row r="19" spans="1:3" x14ac:dyDescent="0.25">
      <c r="A19" s="76" t="s">
        <v>290</v>
      </c>
      <c r="B19" s="166">
        <v>45135</v>
      </c>
      <c r="C19" s="78"/>
    </row>
    <row r="20" spans="1:3" x14ac:dyDescent="0.25">
      <c r="A20" s="76" t="s">
        <v>291</v>
      </c>
      <c r="B20" s="163" t="s">
        <v>435</v>
      </c>
      <c r="C20" s="78"/>
    </row>
    <row r="21" spans="1:3" x14ac:dyDescent="0.25">
      <c r="A21" s="150" t="s">
        <v>569</v>
      </c>
      <c r="B21" s="163" t="s">
        <v>297</v>
      </c>
      <c r="C21" s="78"/>
    </row>
    <row r="23" spans="1:3" x14ac:dyDescent="0.25">
      <c r="B23" s="91" t="str">
        <f>HYPERLINK("#'Factor List'!A1","Back to Factor List")</f>
        <v>Back to Factor List</v>
      </c>
    </row>
    <row r="24" spans="1:3" x14ac:dyDescent="0.25">
      <c r="B24" s="91" t="str">
        <f>HYPERLINK("#'Assumptions'!A1","Assumptions")</f>
        <v>Assumptions</v>
      </c>
    </row>
  </sheetData>
  <sheetProtection algorithmName="SHA-512" hashValue="zO19UlgfAkPko32TmWRwrHgBJJlCTP1j4Q1oKHy0ldKVBOhwPU+VDc+4n7BatNTgO2HS5P9//7RjDE6p747e3A==" saltValue="HgPHWiqkNKAjHKaHfWglGA==" spinCount="100000" sheet="1" objects="1" scenarios="1"/>
  <conditionalFormatting sqref="A6:A21">
    <cfRule type="expression" dxfId="101" priority="3" stopIfTrue="1">
      <formula>MOD(ROW(),2)=0</formula>
    </cfRule>
    <cfRule type="expression" dxfId="100" priority="4" stopIfTrue="1">
      <formula>MOD(ROW(),2)&lt;&gt;0</formula>
    </cfRule>
  </conditionalFormatting>
  <conditionalFormatting sqref="B6:C21">
    <cfRule type="expression" dxfId="99" priority="13" stopIfTrue="1">
      <formula>MOD(ROW(),2)=0</formula>
    </cfRule>
    <cfRule type="expression" dxfId="98"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2"/>
  <dimension ref="A1:I24"/>
  <sheetViews>
    <sheetView showGridLines="0" zoomScale="85" zoomScaleNormal="85" workbookViewId="0">
      <selection activeCell="A4" sqref="A4"/>
    </sheetView>
  </sheetViews>
  <sheetFormatPr defaultColWidth="10" defaultRowHeight="13.2" x14ac:dyDescent="0.25"/>
  <cols>
    <col min="1" max="1" width="31.88671875" style="27" customWidth="1"/>
    <col min="2" max="2" width="22.88671875" style="27" customWidth="1"/>
    <col min="3" max="3" width="29.4414062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Scheme Pays LTA - x-616</v>
      </c>
      <c r="B3" s="42"/>
      <c r="C3" s="42"/>
      <c r="D3" s="42"/>
      <c r="E3" s="42"/>
      <c r="F3" s="42"/>
      <c r="G3" s="42"/>
      <c r="H3" s="42"/>
      <c r="I3" s="42"/>
    </row>
    <row r="4" spans="1:9" x14ac:dyDescent="0.25">
      <c r="A4" s="44"/>
    </row>
    <row r="6" spans="1:9" x14ac:dyDescent="0.25">
      <c r="A6" s="75" t="s">
        <v>484</v>
      </c>
      <c r="B6" s="161" t="s">
        <v>485</v>
      </c>
      <c r="C6" s="77"/>
    </row>
    <row r="7" spans="1:9" x14ac:dyDescent="0.25">
      <c r="A7" s="76" t="s">
        <v>486</v>
      </c>
      <c r="B7" s="162" t="s">
        <v>81</v>
      </c>
      <c r="C7" s="78"/>
    </row>
    <row r="8" spans="1:9" x14ac:dyDescent="0.25">
      <c r="A8" s="76" t="s">
        <v>282</v>
      </c>
      <c r="B8" s="162">
        <v>2006</v>
      </c>
      <c r="C8" s="78"/>
    </row>
    <row r="9" spans="1:9" x14ac:dyDescent="0.25">
      <c r="A9" s="76" t="s">
        <v>283</v>
      </c>
      <c r="B9" s="162" t="s">
        <v>431</v>
      </c>
      <c r="C9" s="78"/>
    </row>
    <row r="10" spans="1:9" x14ac:dyDescent="0.25">
      <c r="A10" s="76" t="s">
        <v>6</v>
      </c>
      <c r="B10" s="162" t="s">
        <v>456</v>
      </c>
      <c r="C10" s="78"/>
    </row>
    <row r="11" spans="1:9" x14ac:dyDescent="0.25">
      <c r="A11" s="76" t="s">
        <v>284</v>
      </c>
      <c r="B11" s="162" t="s">
        <v>334</v>
      </c>
      <c r="C11" s="78"/>
    </row>
    <row r="12" spans="1:9" x14ac:dyDescent="0.25">
      <c r="A12" s="76" t="s">
        <v>285</v>
      </c>
      <c r="B12" s="162" t="s">
        <v>433</v>
      </c>
      <c r="C12" s="78"/>
    </row>
    <row r="13" spans="1:9" hidden="1" x14ac:dyDescent="0.25">
      <c r="A13" s="76" t="s">
        <v>493</v>
      </c>
      <c r="B13" s="162">
        <v>1</v>
      </c>
      <c r="C13" s="78"/>
    </row>
    <row r="14" spans="1:9" hidden="1" x14ac:dyDescent="0.25">
      <c r="A14" s="76" t="s">
        <v>287</v>
      </c>
      <c r="B14" s="162">
        <v>616</v>
      </c>
      <c r="C14" s="78"/>
    </row>
    <row r="15" spans="1:9" x14ac:dyDescent="0.25">
      <c r="A15" s="76" t="s">
        <v>496</v>
      </c>
      <c r="B15" s="162" t="s">
        <v>457</v>
      </c>
      <c r="C15" s="78"/>
    </row>
    <row r="16" spans="1:9" x14ac:dyDescent="0.25">
      <c r="A16" s="76" t="s">
        <v>288</v>
      </c>
      <c r="B16" s="162" t="s">
        <v>381</v>
      </c>
      <c r="C16" s="78"/>
    </row>
    <row r="17" spans="1:3" x14ac:dyDescent="0.25">
      <c r="A17" s="76" t="s">
        <v>568</v>
      </c>
      <c r="B17" s="163"/>
      <c r="C17" s="78"/>
    </row>
    <row r="18" spans="1:3" x14ac:dyDescent="0.25">
      <c r="A18" s="76" t="s">
        <v>500</v>
      </c>
      <c r="B18" s="166">
        <v>45135</v>
      </c>
      <c r="C18" s="78"/>
    </row>
    <row r="19" spans="1:3" x14ac:dyDescent="0.25">
      <c r="A19" s="76" t="s">
        <v>290</v>
      </c>
      <c r="B19" s="166">
        <v>45135</v>
      </c>
      <c r="C19" s="78"/>
    </row>
    <row r="20" spans="1:3" x14ac:dyDescent="0.25">
      <c r="A20" s="76" t="s">
        <v>291</v>
      </c>
      <c r="B20" s="163" t="s">
        <v>435</v>
      </c>
      <c r="C20" s="78"/>
    </row>
    <row r="21" spans="1:3" x14ac:dyDescent="0.25">
      <c r="A21" s="150" t="s">
        <v>569</v>
      </c>
      <c r="B21" s="163" t="s">
        <v>297</v>
      </c>
      <c r="C21" s="78"/>
    </row>
    <row r="23" spans="1:3" x14ac:dyDescent="0.25">
      <c r="B23" s="91" t="str">
        <f>HYPERLINK("#'Factor List'!A1","Back to Factor List")</f>
        <v>Back to Factor List</v>
      </c>
    </row>
    <row r="24" spans="1:3" x14ac:dyDescent="0.25">
      <c r="B24" s="91" t="str">
        <f>HYPERLINK("#'Assumptions'!A1","Assumptions")</f>
        <v>Assumptions</v>
      </c>
    </row>
  </sheetData>
  <sheetProtection algorithmName="SHA-512" hashValue="1U2CbNHp8cvPZeoCqY/d/EqHWZJwXjGqlY4EFM/ULf40Y4PJctDtvJXqhpv748sNdNONUUa+7ysfcLdVM9QxhA==" saltValue="ar2TzSkxziGYBvxLZX6CqQ==" spinCount="100000" sheet="1" objects="1" scenarios="1"/>
  <conditionalFormatting sqref="A6:A21">
    <cfRule type="expression" dxfId="97" priority="3" stopIfTrue="1">
      <formula>MOD(ROW(),2)=0</formula>
    </cfRule>
    <cfRule type="expression" dxfId="96" priority="4" stopIfTrue="1">
      <formula>MOD(ROW(),2)&lt;&gt;0</formula>
    </cfRule>
  </conditionalFormatting>
  <conditionalFormatting sqref="B6:C21">
    <cfRule type="expression" dxfId="95" priority="13" stopIfTrue="1">
      <formula>MOD(ROW(),2)=0</formula>
    </cfRule>
    <cfRule type="expression" dxfId="94"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3"/>
  <dimension ref="A1:I76"/>
  <sheetViews>
    <sheetView showGridLines="0" zoomScale="85" zoomScaleNormal="85" workbookViewId="0">
      <selection activeCell="A4" sqref="A4"/>
    </sheetView>
  </sheetViews>
  <sheetFormatPr defaultColWidth="10" defaultRowHeight="13.2" x14ac:dyDescent="0.25"/>
  <cols>
    <col min="1" max="1" width="31.88671875" style="27" customWidth="1"/>
    <col min="2" max="5" width="22.88671875" style="27" customWidth="1"/>
    <col min="6"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Scheme Pays AA - x-617</v>
      </c>
      <c r="B3" s="42"/>
      <c r="C3" s="42"/>
      <c r="D3" s="42"/>
      <c r="E3" s="42"/>
      <c r="F3" s="42"/>
      <c r="G3" s="42"/>
      <c r="H3" s="42"/>
      <c r="I3" s="42"/>
    </row>
    <row r="4" spans="1:9" x14ac:dyDescent="0.25">
      <c r="A4" s="44"/>
    </row>
    <row r="6" spans="1:9" x14ac:dyDescent="0.25">
      <c r="A6" s="75" t="s">
        <v>484</v>
      </c>
      <c r="B6" s="162" t="s">
        <v>485</v>
      </c>
      <c r="C6" s="162"/>
      <c r="D6" s="162"/>
      <c r="E6" s="162"/>
    </row>
    <row r="7" spans="1:9" x14ac:dyDescent="0.25">
      <c r="A7" s="76" t="s">
        <v>486</v>
      </c>
      <c r="B7" s="162" t="s">
        <v>81</v>
      </c>
      <c r="C7" s="162"/>
      <c r="D7" s="162"/>
      <c r="E7" s="162"/>
    </row>
    <row r="8" spans="1:9" x14ac:dyDescent="0.25">
      <c r="A8" s="76" t="s">
        <v>282</v>
      </c>
      <c r="B8" s="162">
        <v>2015</v>
      </c>
      <c r="C8" s="162"/>
      <c r="D8" s="162"/>
      <c r="E8" s="162"/>
    </row>
    <row r="9" spans="1:9" x14ac:dyDescent="0.25">
      <c r="A9" s="76" t="s">
        <v>283</v>
      </c>
      <c r="B9" s="162" t="s">
        <v>419</v>
      </c>
      <c r="C9" s="162"/>
      <c r="D9" s="162"/>
      <c r="E9" s="162"/>
    </row>
    <row r="10" spans="1:9" x14ac:dyDescent="0.25">
      <c r="A10" s="76" t="s">
        <v>6</v>
      </c>
      <c r="B10" s="162" t="s">
        <v>458</v>
      </c>
      <c r="C10" s="162"/>
      <c r="D10" s="162"/>
      <c r="E10" s="162"/>
    </row>
    <row r="11" spans="1:9" x14ac:dyDescent="0.25">
      <c r="A11" s="76" t="s">
        <v>284</v>
      </c>
      <c r="B11" s="162" t="s">
        <v>294</v>
      </c>
      <c r="C11" s="162"/>
      <c r="D11" s="162"/>
      <c r="E11" s="162"/>
    </row>
    <row r="12" spans="1:9" x14ac:dyDescent="0.25">
      <c r="A12" s="76" t="s">
        <v>285</v>
      </c>
      <c r="B12" s="162" t="s">
        <v>295</v>
      </c>
      <c r="C12" s="162"/>
      <c r="D12" s="162"/>
      <c r="E12" s="162"/>
    </row>
    <row r="13" spans="1:9" hidden="1" x14ac:dyDescent="0.25">
      <c r="A13" s="76" t="s">
        <v>493</v>
      </c>
      <c r="B13" s="162">
        <v>0</v>
      </c>
      <c r="C13" s="162"/>
      <c r="D13" s="162"/>
      <c r="E13" s="162"/>
    </row>
    <row r="14" spans="1:9" hidden="1" x14ac:dyDescent="0.25">
      <c r="A14" s="76" t="s">
        <v>287</v>
      </c>
      <c r="B14" s="162">
        <v>617</v>
      </c>
      <c r="C14" s="162"/>
      <c r="D14" s="162"/>
      <c r="E14" s="162"/>
    </row>
    <row r="15" spans="1:9" x14ac:dyDescent="0.25">
      <c r="A15" s="76" t="s">
        <v>496</v>
      </c>
      <c r="B15" s="162" t="s">
        <v>459</v>
      </c>
      <c r="C15" s="162"/>
      <c r="D15" s="162"/>
      <c r="E15" s="162"/>
    </row>
    <row r="16" spans="1:9" x14ac:dyDescent="0.25">
      <c r="A16" s="76" t="s">
        <v>288</v>
      </c>
      <c r="B16" s="162" t="s">
        <v>296</v>
      </c>
      <c r="C16" s="162"/>
      <c r="D16" s="162"/>
      <c r="E16" s="162"/>
    </row>
    <row r="17" spans="1:5" x14ac:dyDescent="0.25">
      <c r="A17" s="76" t="s">
        <v>568</v>
      </c>
      <c r="B17" s="162"/>
      <c r="C17" s="162"/>
      <c r="D17" s="162"/>
      <c r="E17" s="162"/>
    </row>
    <row r="18" spans="1:5" x14ac:dyDescent="0.25">
      <c r="A18" s="76" t="s">
        <v>500</v>
      </c>
      <c r="B18" s="164">
        <v>45135</v>
      </c>
      <c r="C18" s="162"/>
      <c r="D18" s="162"/>
      <c r="E18" s="162"/>
    </row>
    <row r="19" spans="1:5" x14ac:dyDescent="0.25">
      <c r="A19" s="76" t="s">
        <v>290</v>
      </c>
      <c r="B19" s="164">
        <v>45135</v>
      </c>
      <c r="C19" s="162"/>
      <c r="D19" s="162"/>
      <c r="E19" s="162"/>
    </row>
    <row r="20" spans="1:5" x14ac:dyDescent="0.25">
      <c r="A20" s="76" t="s">
        <v>291</v>
      </c>
      <c r="B20" s="162" t="s">
        <v>298</v>
      </c>
      <c r="C20" s="162"/>
      <c r="D20" s="162"/>
      <c r="E20" s="162"/>
    </row>
    <row r="21" spans="1:5" x14ac:dyDescent="0.25">
      <c r="A21" s="150" t="s">
        <v>569</v>
      </c>
      <c r="B21" s="162" t="s">
        <v>297</v>
      </c>
      <c r="C21" s="162"/>
      <c r="D21" s="162"/>
      <c r="E21" s="162"/>
    </row>
    <row r="23" spans="1:5" x14ac:dyDescent="0.25">
      <c r="B23" s="91" t="str">
        <f>HYPERLINK("#'Factor List'!A1","Back to Factor List")</f>
        <v>Back to Factor List</v>
      </c>
    </row>
    <row r="24" spans="1:5" x14ac:dyDescent="0.25">
      <c r="B24" s="91" t="str">
        <f>HYPERLINK("#'Assumptions'!A1","Assumptions")</f>
        <v>Assumptions</v>
      </c>
    </row>
    <row r="26" spans="1:5" x14ac:dyDescent="0.25">
      <c r="A26" s="87" t="s">
        <v>570</v>
      </c>
      <c r="B26" s="87" t="s">
        <v>607</v>
      </c>
      <c r="C26" s="87" t="s">
        <v>608</v>
      </c>
      <c r="D26" s="87" t="s">
        <v>609</v>
      </c>
      <c r="E26" s="87" t="s">
        <v>610</v>
      </c>
    </row>
    <row r="27" spans="1:5" x14ac:dyDescent="0.25">
      <c r="A27" s="88">
        <v>18</v>
      </c>
      <c r="B27" s="89">
        <v>8.25</v>
      </c>
      <c r="C27" s="89">
        <v>7.84</v>
      </c>
      <c r="D27" s="89">
        <v>7.43</v>
      </c>
      <c r="E27" s="89">
        <v>7.03</v>
      </c>
    </row>
    <row r="28" spans="1:5" x14ac:dyDescent="0.25">
      <c r="A28" s="88">
        <v>19</v>
      </c>
      <c r="B28" s="89">
        <v>8.3699999999999992</v>
      </c>
      <c r="C28" s="89">
        <v>7.94</v>
      </c>
      <c r="D28" s="89">
        <v>7.53</v>
      </c>
      <c r="E28" s="89">
        <v>7.12</v>
      </c>
    </row>
    <row r="29" spans="1:5" x14ac:dyDescent="0.25">
      <c r="A29" s="88">
        <v>20</v>
      </c>
      <c r="B29" s="89">
        <v>8.48</v>
      </c>
      <c r="C29" s="89">
        <v>8.0500000000000007</v>
      </c>
      <c r="D29" s="89">
        <v>7.63</v>
      </c>
      <c r="E29" s="89">
        <v>7.22</v>
      </c>
    </row>
    <row r="30" spans="1:5" x14ac:dyDescent="0.25">
      <c r="A30" s="88">
        <v>21</v>
      </c>
      <c r="B30" s="89">
        <v>8.6</v>
      </c>
      <c r="C30" s="89">
        <v>8.16</v>
      </c>
      <c r="D30" s="89">
        <v>7.73</v>
      </c>
      <c r="E30" s="89">
        <v>7.31</v>
      </c>
    </row>
    <row r="31" spans="1:5" x14ac:dyDescent="0.25">
      <c r="A31" s="88">
        <v>22</v>
      </c>
      <c r="B31" s="89">
        <v>8.7100000000000009</v>
      </c>
      <c r="C31" s="89">
        <v>8.27</v>
      </c>
      <c r="D31" s="89">
        <v>7.83</v>
      </c>
      <c r="E31" s="89">
        <v>7.41</v>
      </c>
    </row>
    <row r="32" spans="1:5" x14ac:dyDescent="0.25">
      <c r="A32" s="88">
        <v>23</v>
      </c>
      <c r="B32" s="89">
        <v>8.83</v>
      </c>
      <c r="C32" s="89">
        <v>8.3800000000000008</v>
      </c>
      <c r="D32" s="89">
        <v>7.94</v>
      </c>
      <c r="E32" s="89">
        <v>7.51</v>
      </c>
    </row>
    <row r="33" spans="1:5" x14ac:dyDescent="0.25">
      <c r="A33" s="88">
        <v>24</v>
      </c>
      <c r="B33" s="89">
        <v>8.9600000000000009</v>
      </c>
      <c r="C33" s="89">
        <v>8.5</v>
      </c>
      <c r="D33" s="89">
        <v>8.0500000000000007</v>
      </c>
      <c r="E33" s="89">
        <v>7.61</v>
      </c>
    </row>
    <row r="34" spans="1:5" x14ac:dyDescent="0.25">
      <c r="A34" s="88">
        <v>25</v>
      </c>
      <c r="B34" s="89">
        <v>9.08</v>
      </c>
      <c r="C34" s="89">
        <v>8.61</v>
      </c>
      <c r="D34" s="89">
        <v>8.15</v>
      </c>
      <c r="E34" s="89">
        <v>7.71</v>
      </c>
    </row>
    <row r="35" spans="1:5" x14ac:dyDescent="0.25">
      <c r="A35" s="88">
        <v>26</v>
      </c>
      <c r="B35" s="89">
        <v>9.1999999999999993</v>
      </c>
      <c r="C35" s="89">
        <v>8.73</v>
      </c>
      <c r="D35" s="89">
        <v>8.26</v>
      </c>
      <c r="E35" s="89">
        <v>7.81</v>
      </c>
    </row>
    <row r="36" spans="1:5" x14ac:dyDescent="0.25">
      <c r="A36" s="88">
        <v>27</v>
      </c>
      <c r="B36" s="89">
        <v>9.33</v>
      </c>
      <c r="C36" s="89">
        <v>8.85</v>
      </c>
      <c r="D36" s="89">
        <v>8.3699999999999992</v>
      </c>
      <c r="E36" s="89">
        <v>7.91</v>
      </c>
    </row>
    <row r="37" spans="1:5" x14ac:dyDescent="0.25">
      <c r="A37" s="88">
        <v>28</v>
      </c>
      <c r="B37" s="89">
        <v>9.4600000000000009</v>
      </c>
      <c r="C37" s="89">
        <v>8.9700000000000006</v>
      </c>
      <c r="D37" s="89">
        <v>8.49</v>
      </c>
      <c r="E37" s="89">
        <v>8.02</v>
      </c>
    </row>
    <row r="38" spans="1:5" x14ac:dyDescent="0.25">
      <c r="A38" s="88">
        <v>29</v>
      </c>
      <c r="B38" s="89">
        <v>9.59</v>
      </c>
      <c r="C38" s="89">
        <v>9.09</v>
      </c>
      <c r="D38" s="89">
        <v>8.6</v>
      </c>
      <c r="E38" s="89">
        <v>8.1199999999999992</v>
      </c>
    </row>
    <row r="39" spans="1:5" x14ac:dyDescent="0.25">
      <c r="A39" s="88">
        <v>30</v>
      </c>
      <c r="B39" s="89">
        <v>9.7200000000000006</v>
      </c>
      <c r="C39" s="89">
        <v>9.2100000000000009</v>
      </c>
      <c r="D39" s="89">
        <v>8.7200000000000006</v>
      </c>
      <c r="E39" s="89">
        <v>8.23</v>
      </c>
    </row>
    <row r="40" spans="1:5" x14ac:dyDescent="0.25">
      <c r="A40" s="88">
        <v>31</v>
      </c>
      <c r="B40" s="89">
        <v>9.86</v>
      </c>
      <c r="C40" s="89">
        <v>9.34</v>
      </c>
      <c r="D40" s="89">
        <v>8.84</v>
      </c>
      <c r="E40" s="89">
        <v>8.34</v>
      </c>
    </row>
    <row r="41" spans="1:5" x14ac:dyDescent="0.25">
      <c r="A41" s="88">
        <v>32</v>
      </c>
      <c r="B41" s="89">
        <v>9.99</v>
      </c>
      <c r="C41" s="89">
        <v>9.4700000000000006</v>
      </c>
      <c r="D41" s="89">
        <v>8.9600000000000009</v>
      </c>
      <c r="E41" s="89">
        <v>8.4499999999999993</v>
      </c>
    </row>
    <row r="42" spans="1:5" x14ac:dyDescent="0.25">
      <c r="A42" s="88">
        <v>33</v>
      </c>
      <c r="B42" s="89">
        <v>10.130000000000001</v>
      </c>
      <c r="C42" s="89">
        <v>9.6</v>
      </c>
      <c r="D42" s="89">
        <v>9.08</v>
      </c>
      <c r="E42" s="89">
        <v>8.57</v>
      </c>
    </row>
    <row r="43" spans="1:5" x14ac:dyDescent="0.25">
      <c r="A43" s="88">
        <v>34</v>
      </c>
      <c r="B43" s="89">
        <v>10.28</v>
      </c>
      <c r="C43" s="89">
        <v>9.73</v>
      </c>
      <c r="D43" s="89">
        <v>9.1999999999999993</v>
      </c>
      <c r="E43" s="89">
        <v>8.68</v>
      </c>
    </row>
    <row r="44" spans="1:5" x14ac:dyDescent="0.25">
      <c r="A44" s="88">
        <v>35</v>
      </c>
      <c r="B44" s="89">
        <v>10.42</v>
      </c>
      <c r="C44" s="89">
        <v>9.8699999999999992</v>
      </c>
      <c r="D44" s="89">
        <v>9.33</v>
      </c>
      <c r="E44" s="89">
        <v>8.8000000000000007</v>
      </c>
    </row>
    <row r="45" spans="1:5" x14ac:dyDescent="0.25">
      <c r="A45" s="88">
        <v>36</v>
      </c>
      <c r="B45" s="89">
        <v>10.57</v>
      </c>
      <c r="C45" s="89">
        <v>10.01</v>
      </c>
      <c r="D45" s="89">
        <v>9.4600000000000009</v>
      </c>
      <c r="E45" s="89">
        <v>8.92</v>
      </c>
    </row>
    <row r="46" spans="1:5" x14ac:dyDescent="0.25">
      <c r="A46" s="88">
        <v>37</v>
      </c>
      <c r="B46" s="89">
        <v>10.72</v>
      </c>
      <c r="C46" s="89">
        <v>10.15</v>
      </c>
      <c r="D46" s="89">
        <v>9.59</v>
      </c>
      <c r="E46" s="89">
        <v>9.0399999999999991</v>
      </c>
    </row>
    <row r="47" spans="1:5" x14ac:dyDescent="0.25">
      <c r="A47" s="88">
        <v>38</v>
      </c>
      <c r="B47" s="89">
        <v>10.87</v>
      </c>
      <c r="C47" s="89">
        <v>10.29</v>
      </c>
      <c r="D47" s="89">
        <v>9.7200000000000006</v>
      </c>
      <c r="E47" s="89">
        <v>9.17</v>
      </c>
    </row>
    <row r="48" spans="1:5" x14ac:dyDescent="0.25">
      <c r="A48" s="88">
        <v>39</v>
      </c>
      <c r="B48" s="89">
        <v>11.03</v>
      </c>
      <c r="C48" s="89">
        <v>10.44</v>
      </c>
      <c r="D48" s="89">
        <v>9.86</v>
      </c>
      <c r="E48" s="89">
        <v>9.3000000000000007</v>
      </c>
    </row>
    <row r="49" spans="1:5" x14ac:dyDescent="0.25">
      <c r="A49" s="88">
        <v>40</v>
      </c>
      <c r="B49" s="89">
        <v>11.19</v>
      </c>
      <c r="C49" s="89">
        <v>10.58</v>
      </c>
      <c r="D49" s="89">
        <v>10</v>
      </c>
      <c r="E49" s="89">
        <v>9.42</v>
      </c>
    </row>
    <row r="50" spans="1:5" x14ac:dyDescent="0.25">
      <c r="A50" s="88">
        <v>41</v>
      </c>
      <c r="B50" s="89">
        <v>11.35</v>
      </c>
      <c r="C50" s="89">
        <v>10.74</v>
      </c>
      <c r="D50" s="89">
        <v>10.14</v>
      </c>
      <c r="E50" s="89">
        <v>9.56</v>
      </c>
    </row>
    <row r="51" spans="1:5" x14ac:dyDescent="0.25">
      <c r="A51" s="88">
        <v>42</v>
      </c>
      <c r="B51" s="89">
        <v>11.51</v>
      </c>
      <c r="C51" s="89">
        <v>10.89</v>
      </c>
      <c r="D51" s="89">
        <v>10.28</v>
      </c>
      <c r="E51" s="89">
        <v>9.69</v>
      </c>
    </row>
    <row r="52" spans="1:5" x14ac:dyDescent="0.25">
      <c r="A52" s="88">
        <v>43</v>
      </c>
      <c r="B52" s="89">
        <v>11.68</v>
      </c>
      <c r="C52" s="89">
        <v>11.05</v>
      </c>
      <c r="D52" s="89">
        <v>10.43</v>
      </c>
      <c r="E52" s="89">
        <v>9.83</v>
      </c>
    </row>
    <row r="53" spans="1:5" x14ac:dyDescent="0.25">
      <c r="A53" s="88">
        <v>44</v>
      </c>
      <c r="B53" s="89">
        <v>11.86</v>
      </c>
      <c r="C53" s="89">
        <v>11.21</v>
      </c>
      <c r="D53" s="89">
        <v>10.58</v>
      </c>
      <c r="E53" s="89">
        <v>9.9700000000000006</v>
      </c>
    </row>
    <row r="54" spans="1:5" x14ac:dyDescent="0.25">
      <c r="A54" s="88">
        <v>45</v>
      </c>
      <c r="B54" s="89">
        <v>12.04</v>
      </c>
      <c r="C54" s="89">
        <v>11.38</v>
      </c>
      <c r="D54" s="89">
        <v>10.74</v>
      </c>
      <c r="E54" s="89">
        <v>10.11</v>
      </c>
    </row>
    <row r="55" spans="1:5" x14ac:dyDescent="0.25">
      <c r="A55" s="88">
        <v>46</v>
      </c>
      <c r="B55" s="89">
        <v>12.22</v>
      </c>
      <c r="C55" s="89">
        <v>11.55</v>
      </c>
      <c r="D55" s="89">
        <v>10.9</v>
      </c>
      <c r="E55" s="89">
        <v>10.26</v>
      </c>
    </row>
    <row r="56" spans="1:5" x14ac:dyDescent="0.25">
      <c r="A56" s="88">
        <v>47</v>
      </c>
      <c r="B56" s="89">
        <v>12.4</v>
      </c>
      <c r="C56" s="89">
        <v>11.72</v>
      </c>
      <c r="D56" s="89">
        <v>11.06</v>
      </c>
      <c r="E56" s="89">
        <v>10.41</v>
      </c>
    </row>
    <row r="57" spans="1:5" x14ac:dyDescent="0.25">
      <c r="A57" s="88">
        <v>48</v>
      </c>
      <c r="B57" s="89">
        <v>12.6</v>
      </c>
      <c r="C57" s="89">
        <v>11.9</v>
      </c>
      <c r="D57" s="89">
        <v>11.22</v>
      </c>
      <c r="E57" s="89">
        <v>10.57</v>
      </c>
    </row>
    <row r="58" spans="1:5" x14ac:dyDescent="0.25">
      <c r="A58" s="88">
        <v>49</v>
      </c>
      <c r="B58" s="89">
        <v>12.79</v>
      </c>
      <c r="C58" s="89">
        <v>12.09</v>
      </c>
      <c r="D58" s="89">
        <v>11.4</v>
      </c>
      <c r="E58" s="89">
        <v>10.72</v>
      </c>
    </row>
    <row r="59" spans="1:5" x14ac:dyDescent="0.25">
      <c r="A59" s="88">
        <v>50</v>
      </c>
      <c r="B59" s="89">
        <v>12.99</v>
      </c>
      <c r="C59" s="89">
        <v>12.27</v>
      </c>
      <c r="D59" s="89">
        <v>11.57</v>
      </c>
      <c r="E59" s="89">
        <v>10.89</v>
      </c>
    </row>
    <row r="60" spans="1:5" x14ac:dyDescent="0.25">
      <c r="A60" s="88">
        <v>51</v>
      </c>
      <c r="B60" s="89">
        <v>13.2</v>
      </c>
      <c r="C60" s="89">
        <v>12.47</v>
      </c>
      <c r="D60" s="89">
        <v>11.75</v>
      </c>
      <c r="E60" s="89">
        <v>11.06</v>
      </c>
    </row>
    <row r="61" spans="1:5" x14ac:dyDescent="0.25">
      <c r="A61" s="88">
        <v>52</v>
      </c>
      <c r="B61" s="89">
        <v>13.42</v>
      </c>
      <c r="C61" s="89">
        <v>12.67</v>
      </c>
      <c r="D61" s="89">
        <v>11.94</v>
      </c>
      <c r="E61" s="89">
        <v>11.23</v>
      </c>
    </row>
    <row r="62" spans="1:5" x14ac:dyDescent="0.25">
      <c r="A62" s="88">
        <v>53</v>
      </c>
      <c r="B62" s="89">
        <v>13.64</v>
      </c>
      <c r="C62" s="89">
        <v>12.87</v>
      </c>
      <c r="D62" s="89">
        <v>12.13</v>
      </c>
      <c r="E62" s="89">
        <v>11.4</v>
      </c>
    </row>
    <row r="63" spans="1:5" x14ac:dyDescent="0.25">
      <c r="A63" s="88">
        <v>54</v>
      </c>
      <c r="B63" s="89">
        <v>13.86</v>
      </c>
      <c r="C63" s="89">
        <v>13.08</v>
      </c>
      <c r="D63" s="89">
        <v>12.33</v>
      </c>
      <c r="E63" s="89">
        <v>11.59</v>
      </c>
    </row>
    <row r="64" spans="1:5" x14ac:dyDescent="0.25">
      <c r="A64" s="88">
        <v>55</v>
      </c>
      <c r="B64" s="89">
        <v>14.1</v>
      </c>
      <c r="C64" s="89">
        <v>13.3</v>
      </c>
      <c r="D64" s="89">
        <v>12.53</v>
      </c>
      <c r="E64" s="89">
        <v>11.78</v>
      </c>
    </row>
    <row r="65" spans="1:5" x14ac:dyDescent="0.25">
      <c r="A65" s="88">
        <v>56</v>
      </c>
      <c r="B65" s="89">
        <v>14.34</v>
      </c>
      <c r="C65" s="89">
        <v>13.53</v>
      </c>
      <c r="D65" s="89">
        <v>12.74</v>
      </c>
      <c r="E65" s="89">
        <v>11.97</v>
      </c>
    </row>
    <row r="66" spans="1:5" x14ac:dyDescent="0.25">
      <c r="A66" s="88">
        <v>57</v>
      </c>
      <c r="B66" s="89">
        <v>14.59</v>
      </c>
      <c r="C66" s="89">
        <v>13.76</v>
      </c>
      <c r="D66" s="89">
        <v>12.96</v>
      </c>
      <c r="E66" s="89">
        <v>12.17</v>
      </c>
    </row>
    <row r="67" spans="1:5" x14ac:dyDescent="0.25">
      <c r="A67" s="88">
        <v>58</v>
      </c>
      <c r="B67" s="89">
        <v>14.85</v>
      </c>
      <c r="C67" s="89">
        <v>14.01</v>
      </c>
      <c r="D67" s="89">
        <v>13.18</v>
      </c>
      <c r="E67" s="89">
        <v>12.38</v>
      </c>
    </row>
    <row r="68" spans="1:5" x14ac:dyDescent="0.25">
      <c r="A68" s="88">
        <v>59</v>
      </c>
      <c r="B68" s="89">
        <v>15.12</v>
      </c>
      <c r="C68" s="89">
        <v>14.26</v>
      </c>
      <c r="D68" s="89">
        <v>13.42</v>
      </c>
      <c r="E68" s="89">
        <v>12.6</v>
      </c>
    </row>
    <row r="69" spans="1:5" x14ac:dyDescent="0.25">
      <c r="A69" s="88">
        <v>60</v>
      </c>
      <c r="B69" s="89">
        <v>15.41</v>
      </c>
      <c r="C69" s="89">
        <v>14.53</v>
      </c>
      <c r="D69" s="89">
        <v>13.67</v>
      </c>
      <c r="E69" s="89">
        <v>12.83</v>
      </c>
    </row>
    <row r="70" spans="1:5" x14ac:dyDescent="0.25">
      <c r="A70" s="88">
        <v>61</v>
      </c>
      <c r="B70" s="89">
        <v>15.7</v>
      </c>
      <c r="C70" s="89">
        <v>14.8</v>
      </c>
      <c r="D70" s="89">
        <v>13.93</v>
      </c>
      <c r="E70" s="89">
        <v>13.07</v>
      </c>
    </row>
    <row r="71" spans="1:5" x14ac:dyDescent="0.25">
      <c r="A71" s="88">
        <v>62</v>
      </c>
      <c r="B71" s="89">
        <v>16.02</v>
      </c>
      <c r="C71" s="89">
        <v>15.1</v>
      </c>
      <c r="D71" s="89">
        <v>14.2</v>
      </c>
      <c r="E71" s="89">
        <v>13.32</v>
      </c>
    </row>
    <row r="72" spans="1:5" x14ac:dyDescent="0.25">
      <c r="A72" s="88">
        <v>63</v>
      </c>
      <c r="B72" s="89">
        <v>16.350000000000001</v>
      </c>
      <c r="C72" s="89">
        <v>15.41</v>
      </c>
      <c r="D72" s="89">
        <v>14.49</v>
      </c>
      <c r="E72" s="89">
        <v>13.59</v>
      </c>
    </row>
    <row r="73" spans="1:5" x14ac:dyDescent="0.25">
      <c r="A73" s="88">
        <v>64</v>
      </c>
      <c r="B73" s="89">
        <v>16.7</v>
      </c>
      <c r="C73" s="89">
        <v>15.74</v>
      </c>
      <c r="D73" s="89">
        <v>14.79</v>
      </c>
      <c r="E73" s="89">
        <v>13.88</v>
      </c>
    </row>
    <row r="74" spans="1:5" x14ac:dyDescent="0.25">
      <c r="A74" s="88">
        <v>65</v>
      </c>
      <c r="B74" s="89"/>
      <c r="C74" s="89">
        <v>16.09</v>
      </c>
      <c r="D74" s="89">
        <v>15.12</v>
      </c>
      <c r="E74" s="89">
        <v>14.18</v>
      </c>
    </row>
    <row r="75" spans="1:5" x14ac:dyDescent="0.25">
      <c r="A75" s="88">
        <v>66</v>
      </c>
      <c r="B75" s="89"/>
      <c r="C75" s="89"/>
      <c r="D75" s="89">
        <v>15.47</v>
      </c>
      <c r="E75" s="89">
        <v>14.51</v>
      </c>
    </row>
    <row r="76" spans="1:5" x14ac:dyDescent="0.25">
      <c r="A76" s="88">
        <v>67</v>
      </c>
      <c r="B76" s="89"/>
      <c r="C76" s="89"/>
      <c r="D76" s="89"/>
      <c r="E76" s="89">
        <v>14.86</v>
      </c>
    </row>
  </sheetData>
  <sheetProtection algorithmName="SHA-512" hashValue="q7aUYox32g6nGLHwef56xL+S2EK6e0LETdBb80bLNZvcdrcdXeWrIxwo+6UVbklSKG83EyVY956QO3SA6XAeSw==" saltValue="CKq3ekUrSnjWQvMtG10DNQ==" spinCount="100000" sheet="1" objects="1" scenarios="1"/>
  <conditionalFormatting sqref="A6:A21">
    <cfRule type="expression" dxfId="93" priority="3" stopIfTrue="1">
      <formula>MOD(ROW(),2)=0</formula>
    </cfRule>
    <cfRule type="expression" dxfId="92" priority="4" stopIfTrue="1">
      <formula>MOD(ROW(),2)&lt;&gt;0</formula>
    </cfRule>
  </conditionalFormatting>
  <conditionalFormatting sqref="A26:A76">
    <cfRule type="expression" dxfId="91" priority="7" stopIfTrue="1">
      <formula>MOD(ROW(),2)=0</formula>
    </cfRule>
    <cfRule type="expression" dxfId="90" priority="8" stopIfTrue="1">
      <formula>MOD(ROW(),2)&lt;&gt;0</formula>
    </cfRule>
  </conditionalFormatting>
  <conditionalFormatting sqref="B17:B21">
    <cfRule type="expression" dxfId="89" priority="13" stopIfTrue="1">
      <formula>MOD(ROW(),2)=0</formula>
    </cfRule>
    <cfRule type="expression" dxfId="88" priority="14" stopIfTrue="1">
      <formula>MOD(ROW(),2)&lt;&gt;0</formula>
    </cfRule>
  </conditionalFormatting>
  <conditionalFormatting sqref="B6:E21 B26:E76">
    <cfRule type="expression" dxfId="87" priority="21" stopIfTrue="1">
      <formula>MOD(ROW(),2)=0</formula>
    </cfRule>
    <cfRule type="expression" dxfId="86" priority="2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4"/>
  <dimension ref="A1:I76"/>
  <sheetViews>
    <sheetView showGridLines="0" zoomScale="85" zoomScaleNormal="85" workbookViewId="0">
      <selection activeCell="A4" sqref="A4"/>
    </sheetView>
  </sheetViews>
  <sheetFormatPr defaultColWidth="10" defaultRowHeight="13.2" x14ac:dyDescent="0.25"/>
  <cols>
    <col min="1" max="1" width="31.88671875" style="27" customWidth="1"/>
    <col min="2" max="5" width="22.88671875" style="27" customWidth="1"/>
    <col min="6"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Scheme Pays AA - x-618</v>
      </c>
      <c r="B3" s="42"/>
      <c r="C3" s="42"/>
      <c r="D3" s="42"/>
      <c r="E3" s="42"/>
      <c r="F3" s="42"/>
      <c r="G3" s="42"/>
      <c r="H3" s="42"/>
      <c r="I3" s="42"/>
    </row>
    <row r="4" spans="1:9" x14ac:dyDescent="0.25">
      <c r="A4" s="44"/>
    </row>
    <row r="6" spans="1:9" x14ac:dyDescent="0.25">
      <c r="A6" s="75" t="s">
        <v>484</v>
      </c>
      <c r="B6" s="162" t="s">
        <v>485</v>
      </c>
      <c r="C6" s="162"/>
      <c r="D6" s="162"/>
      <c r="E6" s="162"/>
    </row>
    <row r="7" spans="1:9" x14ac:dyDescent="0.25">
      <c r="A7" s="76" t="s">
        <v>486</v>
      </c>
      <c r="B7" s="162" t="s">
        <v>81</v>
      </c>
      <c r="C7" s="162"/>
      <c r="D7" s="162"/>
      <c r="E7" s="162"/>
    </row>
    <row r="8" spans="1:9" x14ac:dyDescent="0.25">
      <c r="A8" s="76" t="s">
        <v>282</v>
      </c>
      <c r="B8" s="162">
        <v>2015</v>
      </c>
      <c r="C8" s="162"/>
      <c r="D8" s="162"/>
      <c r="E8" s="162"/>
    </row>
    <row r="9" spans="1:9" x14ac:dyDescent="0.25">
      <c r="A9" s="76" t="s">
        <v>283</v>
      </c>
      <c r="B9" s="162" t="s">
        <v>419</v>
      </c>
      <c r="C9" s="162"/>
      <c r="D9" s="162"/>
      <c r="E9" s="162"/>
    </row>
    <row r="10" spans="1:9" x14ac:dyDescent="0.25">
      <c r="A10" s="76" t="s">
        <v>6</v>
      </c>
      <c r="B10" s="162" t="s">
        <v>458</v>
      </c>
      <c r="C10" s="162"/>
      <c r="D10" s="162"/>
      <c r="E10" s="162"/>
    </row>
    <row r="11" spans="1:9" x14ac:dyDescent="0.25">
      <c r="A11" s="76" t="s">
        <v>284</v>
      </c>
      <c r="B11" s="162" t="s">
        <v>299</v>
      </c>
      <c r="C11" s="162"/>
      <c r="D11" s="162"/>
      <c r="E11" s="162"/>
    </row>
    <row r="12" spans="1:9" x14ac:dyDescent="0.25">
      <c r="A12" s="76" t="s">
        <v>285</v>
      </c>
      <c r="B12" s="162" t="s">
        <v>295</v>
      </c>
      <c r="C12" s="162"/>
      <c r="D12" s="162"/>
      <c r="E12" s="162"/>
    </row>
    <row r="13" spans="1:9" hidden="1" x14ac:dyDescent="0.25">
      <c r="A13" s="76" t="s">
        <v>493</v>
      </c>
      <c r="B13" s="162">
        <v>0</v>
      </c>
      <c r="C13" s="162"/>
      <c r="D13" s="162"/>
      <c r="E13" s="162"/>
    </row>
    <row r="14" spans="1:9" hidden="1" x14ac:dyDescent="0.25">
      <c r="A14" s="76" t="s">
        <v>287</v>
      </c>
      <c r="B14" s="162">
        <v>618</v>
      </c>
      <c r="C14" s="162"/>
      <c r="D14" s="162"/>
      <c r="E14" s="162"/>
    </row>
    <row r="15" spans="1:9" x14ac:dyDescent="0.25">
      <c r="A15" s="76" t="s">
        <v>496</v>
      </c>
      <c r="B15" s="162" t="s">
        <v>460</v>
      </c>
      <c r="C15" s="162"/>
      <c r="D15" s="162"/>
      <c r="E15" s="162"/>
    </row>
    <row r="16" spans="1:9" x14ac:dyDescent="0.25">
      <c r="A16" s="76" t="s">
        <v>288</v>
      </c>
      <c r="B16" s="162" t="s">
        <v>300</v>
      </c>
      <c r="C16" s="162"/>
      <c r="D16" s="162"/>
      <c r="E16" s="162"/>
    </row>
    <row r="17" spans="1:5" x14ac:dyDescent="0.25">
      <c r="A17" s="76" t="s">
        <v>568</v>
      </c>
      <c r="B17" s="162"/>
      <c r="C17" s="162"/>
      <c r="D17" s="162"/>
      <c r="E17" s="162"/>
    </row>
    <row r="18" spans="1:5" x14ac:dyDescent="0.25">
      <c r="A18" s="76" t="s">
        <v>500</v>
      </c>
      <c r="B18" s="164">
        <v>45135</v>
      </c>
      <c r="C18" s="162"/>
      <c r="D18" s="162"/>
      <c r="E18" s="162"/>
    </row>
    <row r="19" spans="1:5" x14ac:dyDescent="0.25">
      <c r="A19" s="76" t="s">
        <v>290</v>
      </c>
      <c r="B19" s="164">
        <v>45135</v>
      </c>
      <c r="C19" s="162"/>
      <c r="D19" s="162"/>
      <c r="E19" s="162"/>
    </row>
    <row r="20" spans="1:5" x14ac:dyDescent="0.25">
      <c r="A20" s="76" t="s">
        <v>291</v>
      </c>
      <c r="B20" s="162" t="s">
        <v>298</v>
      </c>
      <c r="C20" s="162"/>
      <c r="D20" s="162"/>
      <c r="E20" s="162"/>
    </row>
    <row r="21" spans="1:5" x14ac:dyDescent="0.25">
      <c r="A21" s="150" t="s">
        <v>569</v>
      </c>
      <c r="B21" s="162" t="s">
        <v>297</v>
      </c>
      <c r="C21" s="162"/>
      <c r="D21" s="162"/>
      <c r="E21" s="162"/>
    </row>
    <row r="23" spans="1:5" x14ac:dyDescent="0.25">
      <c r="B23" s="91" t="str">
        <f>HYPERLINK("#'Factor List'!A1","Back to Factor List")</f>
        <v>Back to Factor List</v>
      </c>
    </row>
    <row r="24" spans="1:5" x14ac:dyDescent="0.25">
      <c r="B24" s="91" t="str">
        <f>HYPERLINK("#'Assumptions'!A1","Assumptions")</f>
        <v>Assumptions</v>
      </c>
    </row>
    <row r="26" spans="1:5" x14ac:dyDescent="0.25">
      <c r="A26" s="87" t="s">
        <v>570</v>
      </c>
      <c r="B26" s="87" t="s">
        <v>607</v>
      </c>
      <c r="C26" s="87" t="s">
        <v>608</v>
      </c>
      <c r="D26" s="87" t="s">
        <v>609</v>
      </c>
      <c r="E26" s="87" t="s">
        <v>610</v>
      </c>
    </row>
    <row r="27" spans="1:5" x14ac:dyDescent="0.25">
      <c r="A27" s="88">
        <v>18</v>
      </c>
      <c r="B27" s="89">
        <v>8.25</v>
      </c>
      <c r="C27" s="89">
        <v>7.84</v>
      </c>
      <c r="D27" s="89">
        <v>7.43</v>
      </c>
      <c r="E27" s="89">
        <v>7.03</v>
      </c>
    </row>
    <row r="28" spans="1:5" x14ac:dyDescent="0.25">
      <c r="A28" s="88">
        <v>19</v>
      </c>
      <c r="B28" s="89">
        <v>8.3699999999999992</v>
      </c>
      <c r="C28" s="89">
        <v>7.94</v>
      </c>
      <c r="D28" s="89">
        <v>7.53</v>
      </c>
      <c r="E28" s="89">
        <v>7.12</v>
      </c>
    </row>
    <row r="29" spans="1:5" x14ac:dyDescent="0.25">
      <c r="A29" s="88">
        <v>20</v>
      </c>
      <c r="B29" s="89">
        <v>8.48</v>
      </c>
      <c r="C29" s="89">
        <v>8.0500000000000007</v>
      </c>
      <c r="D29" s="89">
        <v>7.63</v>
      </c>
      <c r="E29" s="89">
        <v>7.22</v>
      </c>
    </row>
    <row r="30" spans="1:5" x14ac:dyDescent="0.25">
      <c r="A30" s="88">
        <v>21</v>
      </c>
      <c r="B30" s="89">
        <v>8.6</v>
      </c>
      <c r="C30" s="89">
        <v>8.16</v>
      </c>
      <c r="D30" s="89">
        <v>7.73</v>
      </c>
      <c r="E30" s="89">
        <v>7.31</v>
      </c>
    </row>
    <row r="31" spans="1:5" x14ac:dyDescent="0.25">
      <c r="A31" s="88">
        <v>22</v>
      </c>
      <c r="B31" s="89">
        <v>8.7100000000000009</v>
      </c>
      <c r="C31" s="89">
        <v>8.27</v>
      </c>
      <c r="D31" s="89">
        <v>7.83</v>
      </c>
      <c r="E31" s="89">
        <v>7.41</v>
      </c>
    </row>
    <row r="32" spans="1:5" x14ac:dyDescent="0.25">
      <c r="A32" s="88">
        <v>23</v>
      </c>
      <c r="B32" s="89">
        <v>8.83</v>
      </c>
      <c r="C32" s="89">
        <v>8.3800000000000008</v>
      </c>
      <c r="D32" s="89">
        <v>7.94</v>
      </c>
      <c r="E32" s="89">
        <v>7.51</v>
      </c>
    </row>
    <row r="33" spans="1:5" x14ac:dyDescent="0.25">
      <c r="A33" s="88">
        <v>24</v>
      </c>
      <c r="B33" s="89">
        <v>8.9600000000000009</v>
      </c>
      <c r="C33" s="89">
        <v>8.5</v>
      </c>
      <c r="D33" s="89">
        <v>8.0500000000000007</v>
      </c>
      <c r="E33" s="89">
        <v>7.61</v>
      </c>
    </row>
    <row r="34" spans="1:5" x14ac:dyDescent="0.25">
      <c r="A34" s="88">
        <v>25</v>
      </c>
      <c r="B34" s="89">
        <v>9.08</v>
      </c>
      <c r="C34" s="89">
        <v>8.61</v>
      </c>
      <c r="D34" s="89">
        <v>8.15</v>
      </c>
      <c r="E34" s="89">
        <v>7.71</v>
      </c>
    </row>
    <row r="35" spans="1:5" x14ac:dyDescent="0.25">
      <c r="A35" s="88">
        <v>26</v>
      </c>
      <c r="B35" s="89">
        <v>9.1999999999999993</v>
      </c>
      <c r="C35" s="89">
        <v>8.73</v>
      </c>
      <c r="D35" s="89">
        <v>8.26</v>
      </c>
      <c r="E35" s="89">
        <v>7.81</v>
      </c>
    </row>
    <row r="36" spans="1:5" x14ac:dyDescent="0.25">
      <c r="A36" s="88">
        <v>27</v>
      </c>
      <c r="B36" s="89">
        <v>9.33</v>
      </c>
      <c r="C36" s="89">
        <v>8.85</v>
      </c>
      <c r="D36" s="89">
        <v>8.3699999999999992</v>
      </c>
      <c r="E36" s="89">
        <v>7.91</v>
      </c>
    </row>
    <row r="37" spans="1:5" x14ac:dyDescent="0.25">
      <c r="A37" s="88">
        <v>28</v>
      </c>
      <c r="B37" s="89">
        <v>9.4600000000000009</v>
      </c>
      <c r="C37" s="89">
        <v>8.9700000000000006</v>
      </c>
      <c r="D37" s="89">
        <v>8.49</v>
      </c>
      <c r="E37" s="89">
        <v>8.02</v>
      </c>
    </row>
    <row r="38" spans="1:5" x14ac:dyDescent="0.25">
      <c r="A38" s="88">
        <v>29</v>
      </c>
      <c r="B38" s="89">
        <v>9.59</v>
      </c>
      <c r="C38" s="89">
        <v>9.09</v>
      </c>
      <c r="D38" s="89">
        <v>8.6</v>
      </c>
      <c r="E38" s="89">
        <v>8.1199999999999992</v>
      </c>
    </row>
    <row r="39" spans="1:5" x14ac:dyDescent="0.25">
      <c r="A39" s="88">
        <v>30</v>
      </c>
      <c r="B39" s="89">
        <v>9.7200000000000006</v>
      </c>
      <c r="C39" s="89">
        <v>9.2100000000000009</v>
      </c>
      <c r="D39" s="89">
        <v>8.7200000000000006</v>
      </c>
      <c r="E39" s="89">
        <v>8.23</v>
      </c>
    </row>
    <row r="40" spans="1:5" x14ac:dyDescent="0.25">
      <c r="A40" s="88">
        <v>31</v>
      </c>
      <c r="B40" s="89">
        <v>9.86</v>
      </c>
      <c r="C40" s="89">
        <v>9.34</v>
      </c>
      <c r="D40" s="89">
        <v>8.84</v>
      </c>
      <c r="E40" s="89">
        <v>8.34</v>
      </c>
    </row>
    <row r="41" spans="1:5" x14ac:dyDescent="0.25">
      <c r="A41" s="88">
        <v>32</v>
      </c>
      <c r="B41" s="89">
        <v>9.99</v>
      </c>
      <c r="C41" s="89">
        <v>9.4700000000000006</v>
      </c>
      <c r="D41" s="89">
        <v>8.9600000000000009</v>
      </c>
      <c r="E41" s="89">
        <v>8.4499999999999993</v>
      </c>
    </row>
    <row r="42" spans="1:5" x14ac:dyDescent="0.25">
      <c r="A42" s="88">
        <v>33</v>
      </c>
      <c r="B42" s="89">
        <v>10.130000000000001</v>
      </c>
      <c r="C42" s="89">
        <v>9.6</v>
      </c>
      <c r="D42" s="89">
        <v>9.08</v>
      </c>
      <c r="E42" s="89">
        <v>8.57</v>
      </c>
    </row>
    <row r="43" spans="1:5" x14ac:dyDescent="0.25">
      <c r="A43" s="88">
        <v>34</v>
      </c>
      <c r="B43" s="89">
        <v>10.28</v>
      </c>
      <c r="C43" s="89">
        <v>9.73</v>
      </c>
      <c r="D43" s="89">
        <v>9.1999999999999993</v>
      </c>
      <c r="E43" s="89">
        <v>8.68</v>
      </c>
    </row>
    <row r="44" spans="1:5" x14ac:dyDescent="0.25">
      <c r="A44" s="88">
        <v>35</v>
      </c>
      <c r="B44" s="89">
        <v>10.42</v>
      </c>
      <c r="C44" s="89">
        <v>9.8699999999999992</v>
      </c>
      <c r="D44" s="89">
        <v>9.33</v>
      </c>
      <c r="E44" s="89">
        <v>8.8000000000000007</v>
      </c>
    </row>
    <row r="45" spans="1:5" x14ac:dyDescent="0.25">
      <c r="A45" s="88">
        <v>36</v>
      </c>
      <c r="B45" s="89">
        <v>10.57</v>
      </c>
      <c r="C45" s="89">
        <v>10.01</v>
      </c>
      <c r="D45" s="89">
        <v>9.4600000000000009</v>
      </c>
      <c r="E45" s="89">
        <v>8.92</v>
      </c>
    </row>
    <row r="46" spans="1:5" x14ac:dyDescent="0.25">
      <c r="A46" s="88">
        <v>37</v>
      </c>
      <c r="B46" s="89">
        <v>10.72</v>
      </c>
      <c r="C46" s="89">
        <v>10.15</v>
      </c>
      <c r="D46" s="89">
        <v>9.59</v>
      </c>
      <c r="E46" s="89">
        <v>9.0399999999999991</v>
      </c>
    </row>
    <row r="47" spans="1:5" x14ac:dyDescent="0.25">
      <c r="A47" s="88">
        <v>38</v>
      </c>
      <c r="B47" s="89">
        <v>10.87</v>
      </c>
      <c r="C47" s="89">
        <v>10.29</v>
      </c>
      <c r="D47" s="89">
        <v>9.7200000000000006</v>
      </c>
      <c r="E47" s="89">
        <v>9.17</v>
      </c>
    </row>
    <row r="48" spans="1:5" x14ac:dyDescent="0.25">
      <c r="A48" s="88">
        <v>39</v>
      </c>
      <c r="B48" s="89">
        <v>11.03</v>
      </c>
      <c r="C48" s="89">
        <v>10.44</v>
      </c>
      <c r="D48" s="89">
        <v>9.86</v>
      </c>
      <c r="E48" s="89">
        <v>9.3000000000000007</v>
      </c>
    </row>
    <row r="49" spans="1:5" x14ac:dyDescent="0.25">
      <c r="A49" s="88">
        <v>40</v>
      </c>
      <c r="B49" s="89">
        <v>11.19</v>
      </c>
      <c r="C49" s="89">
        <v>10.58</v>
      </c>
      <c r="D49" s="89">
        <v>10</v>
      </c>
      <c r="E49" s="89">
        <v>9.42</v>
      </c>
    </row>
    <row r="50" spans="1:5" x14ac:dyDescent="0.25">
      <c r="A50" s="88">
        <v>41</v>
      </c>
      <c r="B50" s="89">
        <v>11.35</v>
      </c>
      <c r="C50" s="89">
        <v>10.74</v>
      </c>
      <c r="D50" s="89">
        <v>10.14</v>
      </c>
      <c r="E50" s="89">
        <v>9.56</v>
      </c>
    </row>
    <row r="51" spans="1:5" x14ac:dyDescent="0.25">
      <c r="A51" s="88">
        <v>42</v>
      </c>
      <c r="B51" s="89">
        <v>11.51</v>
      </c>
      <c r="C51" s="89">
        <v>10.89</v>
      </c>
      <c r="D51" s="89">
        <v>10.28</v>
      </c>
      <c r="E51" s="89">
        <v>9.69</v>
      </c>
    </row>
    <row r="52" spans="1:5" x14ac:dyDescent="0.25">
      <c r="A52" s="88">
        <v>43</v>
      </c>
      <c r="B52" s="89">
        <v>11.68</v>
      </c>
      <c r="C52" s="89">
        <v>11.05</v>
      </c>
      <c r="D52" s="89">
        <v>10.43</v>
      </c>
      <c r="E52" s="89">
        <v>9.83</v>
      </c>
    </row>
    <row r="53" spans="1:5" x14ac:dyDescent="0.25">
      <c r="A53" s="88">
        <v>44</v>
      </c>
      <c r="B53" s="89">
        <v>11.86</v>
      </c>
      <c r="C53" s="89">
        <v>11.21</v>
      </c>
      <c r="D53" s="89">
        <v>10.58</v>
      </c>
      <c r="E53" s="89">
        <v>9.9700000000000006</v>
      </c>
    </row>
    <row r="54" spans="1:5" x14ac:dyDescent="0.25">
      <c r="A54" s="88">
        <v>45</v>
      </c>
      <c r="B54" s="89">
        <v>12.04</v>
      </c>
      <c r="C54" s="89">
        <v>11.38</v>
      </c>
      <c r="D54" s="89">
        <v>10.74</v>
      </c>
      <c r="E54" s="89">
        <v>10.11</v>
      </c>
    </row>
    <row r="55" spans="1:5" x14ac:dyDescent="0.25">
      <c r="A55" s="88">
        <v>46</v>
      </c>
      <c r="B55" s="89">
        <v>12.22</v>
      </c>
      <c r="C55" s="89">
        <v>11.55</v>
      </c>
      <c r="D55" s="89">
        <v>10.9</v>
      </c>
      <c r="E55" s="89">
        <v>10.26</v>
      </c>
    </row>
    <row r="56" spans="1:5" x14ac:dyDescent="0.25">
      <c r="A56" s="88">
        <v>47</v>
      </c>
      <c r="B56" s="89">
        <v>12.4</v>
      </c>
      <c r="C56" s="89">
        <v>11.72</v>
      </c>
      <c r="D56" s="89">
        <v>11.06</v>
      </c>
      <c r="E56" s="89">
        <v>10.41</v>
      </c>
    </row>
    <row r="57" spans="1:5" x14ac:dyDescent="0.25">
      <c r="A57" s="88">
        <v>48</v>
      </c>
      <c r="B57" s="89">
        <v>12.6</v>
      </c>
      <c r="C57" s="89">
        <v>11.9</v>
      </c>
      <c r="D57" s="89">
        <v>11.22</v>
      </c>
      <c r="E57" s="89">
        <v>10.57</v>
      </c>
    </row>
    <row r="58" spans="1:5" x14ac:dyDescent="0.25">
      <c r="A58" s="88">
        <v>49</v>
      </c>
      <c r="B58" s="89">
        <v>12.79</v>
      </c>
      <c r="C58" s="89">
        <v>12.09</v>
      </c>
      <c r="D58" s="89">
        <v>11.4</v>
      </c>
      <c r="E58" s="89">
        <v>10.72</v>
      </c>
    </row>
    <row r="59" spans="1:5" x14ac:dyDescent="0.25">
      <c r="A59" s="88">
        <v>50</v>
      </c>
      <c r="B59" s="89">
        <v>12.99</v>
      </c>
      <c r="C59" s="89">
        <v>12.27</v>
      </c>
      <c r="D59" s="89">
        <v>11.57</v>
      </c>
      <c r="E59" s="89">
        <v>10.89</v>
      </c>
    </row>
    <row r="60" spans="1:5" x14ac:dyDescent="0.25">
      <c r="A60" s="88">
        <v>51</v>
      </c>
      <c r="B60" s="89">
        <v>13.2</v>
      </c>
      <c r="C60" s="89">
        <v>12.47</v>
      </c>
      <c r="D60" s="89">
        <v>11.75</v>
      </c>
      <c r="E60" s="89">
        <v>11.06</v>
      </c>
    </row>
    <row r="61" spans="1:5" x14ac:dyDescent="0.25">
      <c r="A61" s="88">
        <v>52</v>
      </c>
      <c r="B61" s="89">
        <v>13.42</v>
      </c>
      <c r="C61" s="89">
        <v>12.67</v>
      </c>
      <c r="D61" s="89">
        <v>11.94</v>
      </c>
      <c r="E61" s="89">
        <v>11.23</v>
      </c>
    </row>
    <row r="62" spans="1:5" x14ac:dyDescent="0.25">
      <c r="A62" s="88">
        <v>53</v>
      </c>
      <c r="B62" s="89">
        <v>13.64</v>
      </c>
      <c r="C62" s="89">
        <v>12.87</v>
      </c>
      <c r="D62" s="89">
        <v>12.13</v>
      </c>
      <c r="E62" s="89">
        <v>11.4</v>
      </c>
    </row>
    <row r="63" spans="1:5" x14ac:dyDescent="0.25">
      <c r="A63" s="88">
        <v>54</v>
      </c>
      <c r="B63" s="89">
        <v>13.86</v>
      </c>
      <c r="C63" s="89">
        <v>13.08</v>
      </c>
      <c r="D63" s="89">
        <v>12.33</v>
      </c>
      <c r="E63" s="89">
        <v>11.59</v>
      </c>
    </row>
    <row r="64" spans="1:5" x14ac:dyDescent="0.25">
      <c r="A64" s="88">
        <v>55</v>
      </c>
      <c r="B64" s="89">
        <v>14.1</v>
      </c>
      <c r="C64" s="89">
        <v>13.3</v>
      </c>
      <c r="D64" s="89">
        <v>12.53</v>
      </c>
      <c r="E64" s="89">
        <v>11.78</v>
      </c>
    </row>
    <row r="65" spans="1:5" x14ac:dyDescent="0.25">
      <c r="A65" s="88">
        <v>56</v>
      </c>
      <c r="B65" s="89">
        <v>14.34</v>
      </c>
      <c r="C65" s="89">
        <v>13.53</v>
      </c>
      <c r="D65" s="89">
        <v>12.74</v>
      </c>
      <c r="E65" s="89">
        <v>11.97</v>
      </c>
    </row>
    <row r="66" spans="1:5" x14ac:dyDescent="0.25">
      <c r="A66" s="88">
        <v>57</v>
      </c>
      <c r="B66" s="89">
        <v>14.59</v>
      </c>
      <c r="C66" s="89">
        <v>13.76</v>
      </c>
      <c r="D66" s="89">
        <v>12.96</v>
      </c>
      <c r="E66" s="89">
        <v>12.17</v>
      </c>
    </row>
    <row r="67" spans="1:5" x14ac:dyDescent="0.25">
      <c r="A67" s="88">
        <v>58</v>
      </c>
      <c r="B67" s="89">
        <v>14.85</v>
      </c>
      <c r="C67" s="89">
        <v>14.01</v>
      </c>
      <c r="D67" s="89">
        <v>13.18</v>
      </c>
      <c r="E67" s="89">
        <v>12.38</v>
      </c>
    </row>
    <row r="68" spans="1:5" x14ac:dyDescent="0.25">
      <c r="A68" s="88">
        <v>59</v>
      </c>
      <c r="B68" s="89">
        <v>15.12</v>
      </c>
      <c r="C68" s="89">
        <v>14.26</v>
      </c>
      <c r="D68" s="89">
        <v>13.42</v>
      </c>
      <c r="E68" s="89">
        <v>12.6</v>
      </c>
    </row>
    <row r="69" spans="1:5" x14ac:dyDescent="0.25">
      <c r="A69" s="88">
        <v>60</v>
      </c>
      <c r="B69" s="89">
        <v>15.41</v>
      </c>
      <c r="C69" s="89">
        <v>14.53</v>
      </c>
      <c r="D69" s="89">
        <v>13.67</v>
      </c>
      <c r="E69" s="89">
        <v>12.83</v>
      </c>
    </row>
    <row r="70" spans="1:5" x14ac:dyDescent="0.25">
      <c r="A70" s="88">
        <v>61</v>
      </c>
      <c r="B70" s="89">
        <v>15.7</v>
      </c>
      <c r="C70" s="89">
        <v>14.8</v>
      </c>
      <c r="D70" s="89">
        <v>13.93</v>
      </c>
      <c r="E70" s="89">
        <v>13.07</v>
      </c>
    </row>
    <row r="71" spans="1:5" x14ac:dyDescent="0.25">
      <c r="A71" s="88">
        <v>62</v>
      </c>
      <c r="B71" s="89">
        <v>16.02</v>
      </c>
      <c r="C71" s="89">
        <v>15.1</v>
      </c>
      <c r="D71" s="89">
        <v>14.2</v>
      </c>
      <c r="E71" s="89">
        <v>13.32</v>
      </c>
    </row>
    <row r="72" spans="1:5" x14ac:dyDescent="0.25">
      <c r="A72" s="88">
        <v>63</v>
      </c>
      <c r="B72" s="89">
        <v>16.350000000000001</v>
      </c>
      <c r="C72" s="89">
        <v>15.41</v>
      </c>
      <c r="D72" s="89">
        <v>14.49</v>
      </c>
      <c r="E72" s="89">
        <v>13.59</v>
      </c>
    </row>
    <row r="73" spans="1:5" x14ac:dyDescent="0.25">
      <c r="A73" s="88">
        <v>64</v>
      </c>
      <c r="B73" s="89">
        <v>16.7</v>
      </c>
      <c r="C73" s="89">
        <v>15.74</v>
      </c>
      <c r="D73" s="89">
        <v>14.79</v>
      </c>
      <c r="E73" s="89">
        <v>13.88</v>
      </c>
    </row>
    <row r="74" spans="1:5" x14ac:dyDescent="0.25">
      <c r="A74" s="88">
        <v>65</v>
      </c>
      <c r="B74" s="89"/>
      <c r="C74" s="89">
        <v>16.09</v>
      </c>
      <c r="D74" s="89">
        <v>15.12</v>
      </c>
      <c r="E74" s="89">
        <v>14.18</v>
      </c>
    </row>
    <row r="75" spans="1:5" x14ac:dyDescent="0.25">
      <c r="A75" s="88">
        <v>66</v>
      </c>
      <c r="B75" s="89"/>
      <c r="C75" s="89"/>
      <c r="D75" s="89">
        <v>15.47</v>
      </c>
      <c r="E75" s="89">
        <v>14.51</v>
      </c>
    </row>
    <row r="76" spans="1:5" x14ac:dyDescent="0.25">
      <c r="A76" s="88">
        <v>67</v>
      </c>
      <c r="B76" s="89"/>
      <c r="C76" s="89"/>
      <c r="D76" s="89"/>
      <c r="E76" s="89">
        <v>14.86</v>
      </c>
    </row>
  </sheetData>
  <sheetProtection algorithmName="SHA-512" hashValue="g6zloUtjtd9jdYcQJ76oKO566hhptHXAu+m5I4dxPZrqG7MaBfhOwVnYVFSB9IZdnfUiTsV1IR0+JC2qGnp+ZA==" saltValue="QFhjKHhDV6d0Z7oCH+YF/A==" spinCount="100000" sheet="1" objects="1" scenarios="1"/>
  <conditionalFormatting sqref="A6:A21">
    <cfRule type="expression" dxfId="85" priority="3" stopIfTrue="1">
      <formula>MOD(ROW(),2)=0</formula>
    </cfRule>
    <cfRule type="expression" dxfId="84" priority="4" stopIfTrue="1">
      <formula>MOD(ROW(),2)&lt;&gt;0</formula>
    </cfRule>
  </conditionalFormatting>
  <conditionalFormatting sqref="A26:A76">
    <cfRule type="expression" dxfId="83" priority="7" stopIfTrue="1">
      <formula>MOD(ROW(),2)=0</formula>
    </cfRule>
    <cfRule type="expression" dxfId="82" priority="8" stopIfTrue="1">
      <formula>MOD(ROW(),2)&lt;&gt;0</formula>
    </cfRule>
  </conditionalFormatting>
  <conditionalFormatting sqref="B17:B21">
    <cfRule type="expression" dxfId="81" priority="13" stopIfTrue="1">
      <formula>MOD(ROW(),2)=0</formula>
    </cfRule>
    <cfRule type="expression" dxfId="80" priority="14" stopIfTrue="1">
      <formula>MOD(ROW(),2)&lt;&gt;0</formula>
    </cfRule>
  </conditionalFormatting>
  <conditionalFormatting sqref="B6:E21 B26:E76">
    <cfRule type="expression" dxfId="79" priority="21" stopIfTrue="1">
      <formula>MOD(ROW(),2)=0</formula>
    </cfRule>
    <cfRule type="expression" dxfId="78" priority="2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5"/>
  <dimension ref="A1:I77"/>
  <sheetViews>
    <sheetView showGridLines="0" zoomScale="85" zoomScaleNormal="85" workbookViewId="0">
      <selection activeCell="A4" sqref="A4"/>
    </sheetView>
  </sheetViews>
  <sheetFormatPr defaultColWidth="10" defaultRowHeight="13.2" x14ac:dyDescent="0.25"/>
  <cols>
    <col min="1" max="1" width="31.88671875" style="27" customWidth="1"/>
    <col min="2" max="2" width="34.109375" style="27" customWidth="1"/>
    <col min="3" max="3" width="10.1093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Scheme Pays AA - x-619</v>
      </c>
      <c r="B3" s="42"/>
      <c r="C3" s="42"/>
      <c r="D3" s="42"/>
      <c r="E3" s="42"/>
      <c r="F3" s="42"/>
      <c r="G3" s="42"/>
      <c r="H3" s="42"/>
      <c r="I3" s="42"/>
    </row>
    <row r="4" spans="1:9" x14ac:dyDescent="0.25">
      <c r="A4" s="44"/>
    </row>
    <row r="6" spans="1:9" x14ac:dyDescent="0.25">
      <c r="A6" s="75" t="s">
        <v>484</v>
      </c>
      <c r="B6" s="162" t="s">
        <v>485</v>
      </c>
    </row>
    <row r="7" spans="1:9" x14ac:dyDescent="0.25">
      <c r="A7" s="76" t="s">
        <v>486</v>
      </c>
      <c r="B7" s="162" t="s">
        <v>81</v>
      </c>
    </row>
    <row r="8" spans="1:9" x14ac:dyDescent="0.25">
      <c r="A8" s="76" t="s">
        <v>282</v>
      </c>
      <c r="B8" s="162">
        <v>2015</v>
      </c>
    </row>
    <row r="9" spans="1:9" x14ac:dyDescent="0.25">
      <c r="A9" s="76" t="s">
        <v>283</v>
      </c>
      <c r="B9" s="162" t="s">
        <v>419</v>
      </c>
    </row>
    <row r="10" spans="1:9" x14ac:dyDescent="0.25">
      <c r="A10" s="76" t="s">
        <v>6</v>
      </c>
      <c r="B10" s="162" t="s">
        <v>461</v>
      </c>
    </row>
    <row r="11" spans="1:9" x14ac:dyDescent="0.25">
      <c r="A11" s="76" t="s">
        <v>284</v>
      </c>
      <c r="B11" s="162" t="s">
        <v>349</v>
      </c>
    </row>
    <row r="12" spans="1:9" x14ac:dyDescent="0.25">
      <c r="A12" s="76" t="s">
        <v>285</v>
      </c>
      <c r="B12" s="162" t="s">
        <v>462</v>
      </c>
    </row>
    <row r="13" spans="1:9" hidden="1" x14ac:dyDescent="0.25">
      <c r="A13" s="76" t="s">
        <v>493</v>
      </c>
      <c r="B13" s="162">
        <v>0</v>
      </c>
    </row>
    <row r="14" spans="1:9" hidden="1" x14ac:dyDescent="0.25">
      <c r="A14" s="76" t="s">
        <v>287</v>
      </c>
      <c r="B14" s="162">
        <v>619</v>
      </c>
    </row>
    <row r="15" spans="1:9" x14ac:dyDescent="0.25">
      <c r="A15" s="76" t="s">
        <v>496</v>
      </c>
      <c r="B15" s="162" t="s">
        <v>463</v>
      </c>
    </row>
    <row r="16" spans="1:9" x14ac:dyDescent="0.25">
      <c r="A16" s="76" t="s">
        <v>288</v>
      </c>
      <c r="B16" s="162" t="s">
        <v>304</v>
      </c>
    </row>
    <row r="17" spans="1:2" x14ac:dyDescent="0.25">
      <c r="A17" s="76" t="s">
        <v>568</v>
      </c>
      <c r="B17" s="162"/>
    </row>
    <row r="18" spans="1:2" x14ac:dyDescent="0.25">
      <c r="A18" s="76" t="s">
        <v>500</v>
      </c>
      <c r="B18" s="164">
        <v>45135</v>
      </c>
    </row>
    <row r="19" spans="1:2" x14ac:dyDescent="0.25">
      <c r="A19" s="76" t="s">
        <v>290</v>
      </c>
      <c r="B19" s="164">
        <v>45135</v>
      </c>
    </row>
    <row r="20" spans="1:2" x14ac:dyDescent="0.25">
      <c r="A20" s="76" t="s">
        <v>291</v>
      </c>
      <c r="B20" s="162" t="s">
        <v>298</v>
      </c>
    </row>
    <row r="21" spans="1:2" x14ac:dyDescent="0.25">
      <c r="A21" s="150" t="s">
        <v>569</v>
      </c>
      <c r="B21" s="162" t="s">
        <v>297</v>
      </c>
    </row>
    <row r="23" spans="1:2" x14ac:dyDescent="0.25">
      <c r="B23" s="91" t="str">
        <f>HYPERLINK("#'Factor List'!A1","Back to Factor List")</f>
        <v>Back to Factor List</v>
      </c>
    </row>
    <row r="24" spans="1:2" x14ac:dyDescent="0.25">
      <c r="B24" s="91" t="str">
        <f>HYPERLINK("#'Assumptions'!A1","Assumptions")</f>
        <v>Assumptions</v>
      </c>
    </row>
    <row r="26" spans="1:2" ht="26.4" x14ac:dyDescent="0.25">
      <c r="A26" s="87" t="s">
        <v>612</v>
      </c>
      <c r="B26" s="87" t="s">
        <v>638</v>
      </c>
    </row>
    <row r="27" spans="1:2" x14ac:dyDescent="0.25">
      <c r="A27" s="88">
        <v>0</v>
      </c>
      <c r="B27" s="90">
        <v>1</v>
      </c>
    </row>
    <row r="28" spans="1:2" x14ac:dyDescent="0.25">
      <c r="A28" s="88">
        <v>1</v>
      </c>
      <c r="B28" s="90">
        <v>0.94</v>
      </c>
    </row>
    <row r="29" spans="1:2" x14ac:dyDescent="0.25">
      <c r="A29" s="88">
        <v>2</v>
      </c>
      <c r="B29" s="90">
        <v>0.88600000000000001</v>
      </c>
    </row>
    <row r="30" spans="1:2" x14ac:dyDescent="0.25">
      <c r="A30" s="88">
        <v>3</v>
      </c>
      <c r="B30" s="90">
        <v>0.83599999999999997</v>
      </c>
    </row>
    <row r="31" spans="1:2" x14ac:dyDescent="0.25">
      <c r="A31" s="88">
        <v>4</v>
      </c>
      <c r="B31" s="90">
        <v>0.79100000000000004</v>
      </c>
    </row>
    <row r="32" spans="1:2" x14ac:dyDescent="0.25">
      <c r="A32" s="88">
        <v>5</v>
      </c>
      <c r="B32" s="90">
        <v>0.75</v>
      </c>
    </row>
    <row r="33" spans="1:2" x14ac:dyDescent="0.25">
      <c r="A33" s="88">
        <v>6</v>
      </c>
      <c r="B33" s="90">
        <v>0.71299999999999997</v>
      </c>
    </row>
    <row r="34" spans="1:2" x14ac:dyDescent="0.25">
      <c r="A34" s="88">
        <v>7</v>
      </c>
      <c r="B34" s="90">
        <v>0.67800000000000005</v>
      </c>
    </row>
    <row r="35" spans="1:2" x14ac:dyDescent="0.25">
      <c r="A35" s="88">
        <v>8</v>
      </c>
      <c r="B35" s="90">
        <v>0.64700000000000002</v>
      </c>
    </row>
    <row r="36" spans="1:2" x14ac:dyDescent="0.25">
      <c r="A36" s="88">
        <v>9</v>
      </c>
      <c r="B36" s="90">
        <v>0.61699999999999999</v>
      </c>
    </row>
    <row r="37" spans="1:2" x14ac:dyDescent="0.25">
      <c r="A37" s="88">
        <v>10</v>
      </c>
      <c r="B37" s="90">
        <v>0.59</v>
      </c>
    </row>
    <row r="38" spans="1:2" x14ac:dyDescent="0.25">
      <c r="A38" s="88">
        <v>11</v>
      </c>
      <c r="B38" s="90">
        <v>0.56499999999999995</v>
      </c>
    </row>
    <row r="39" spans="1:2" x14ac:dyDescent="0.25">
      <c r="A39" s="88">
        <v>12</v>
      </c>
      <c r="B39" s="90">
        <v>0.54200000000000004</v>
      </c>
    </row>
    <row r="40" spans="1:2" x14ac:dyDescent="0.25">
      <c r="A40" s="88">
        <v>13</v>
      </c>
      <c r="B40" s="90">
        <v>0.52</v>
      </c>
    </row>
    <row r="41" spans="1:2" x14ac:dyDescent="0.25">
      <c r="A41" s="88">
        <v>14</v>
      </c>
      <c r="B41" s="90">
        <v>0.499</v>
      </c>
    </row>
    <row r="42" spans="1:2" x14ac:dyDescent="0.25">
      <c r="A42" s="88">
        <v>15</v>
      </c>
      <c r="B42" s="90">
        <v>0.48</v>
      </c>
    </row>
    <row r="43" spans="1:2" x14ac:dyDescent="0.25">
      <c r="A43" s="88">
        <v>16</v>
      </c>
      <c r="B43" s="90">
        <v>0.46200000000000002</v>
      </c>
    </row>
    <row r="44" spans="1:2" x14ac:dyDescent="0.25">
      <c r="A44" s="88">
        <v>17</v>
      </c>
      <c r="B44" s="90">
        <v>0.44600000000000001</v>
      </c>
    </row>
    <row r="45" spans="1:2" x14ac:dyDescent="0.25">
      <c r="A45" s="88">
        <v>18</v>
      </c>
      <c r="B45" s="90">
        <v>0.43</v>
      </c>
    </row>
    <row r="46" spans="1:2" x14ac:dyDescent="0.25">
      <c r="A46" s="88">
        <v>19</v>
      </c>
      <c r="B46" s="90">
        <v>0.41499999999999998</v>
      </c>
    </row>
    <row r="47" spans="1:2" x14ac:dyDescent="0.25">
      <c r="A47" s="88">
        <v>20</v>
      </c>
      <c r="B47" s="90">
        <v>0.40100000000000002</v>
      </c>
    </row>
    <row r="48" spans="1:2" x14ac:dyDescent="0.25">
      <c r="A48" s="88">
        <v>21</v>
      </c>
      <c r="B48" s="90">
        <v>0.38800000000000001</v>
      </c>
    </row>
    <row r="49" spans="1:2" x14ac:dyDescent="0.25">
      <c r="A49" s="88">
        <v>22</v>
      </c>
      <c r="B49" s="90">
        <v>0.375</v>
      </c>
    </row>
    <row r="50" spans="1:2" x14ac:dyDescent="0.25">
      <c r="A50" s="88">
        <v>23</v>
      </c>
      <c r="B50" s="90">
        <v>0.36299999999999999</v>
      </c>
    </row>
    <row r="51" spans="1:2" x14ac:dyDescent="0.25">
      <c r="A51" s="88">
        <v>24</v>
      </c>
      <c r="B51" s="90">
        <v>0.35199999999999998</v>
      </c>
    </row>
    <row r="52" spans="1:2" x14ac:dyDescent="0.25">
      <c r="A52" s="88">
        <v>25</v>
      </c>
      <c r="B52" s="90">
        <v>0.34100000000000003</v>
      </c>
    </row>
    <row r="53" spans="1:2" x14ac:dyDescent="0.25">
      <c r="A53" s="88">
        <v>26</v>
      </c>
      <c r="B53" s="90">
        <v>0.33100000000000002</v>
      </c>
    </row>
    <row r="54" spans="1:2" x14ac:dyDescent="0.25">
      <c r="A54" s="88">
        <v>27</v>
      </c>
      <c r="B54" s="90">
        <v>0.32100000000000001</v>
      </c>
    </row>
    <row r="55" spans="1:2" x14ac:dyDescent="0.25">
      <c r="A55" s="88">
        <v>28</v>
      </c>
      <c r="B55" s="90">
        <v>0.312</v>
      </c>
    </row>
    <row r="56" spans="1:2" x14ac:dyDescent="0.25">
      <c r="A56" s="88">
        <v>29</v>
      </c>
      <c r="B56" s="90">
        <v>0.30299999999999999</v>
      </c>
    </row>
    <row r="57" spans="1:2" x14ac:dyDescent="0.25">
      <c r="A57" s="88">
        <v>30</v>
      </c>
      <c r="B57" s="90">
        <v>0.29399999999999998</v>
      </c>
    </row>
    <row r="58" spans="1:2" x14ac:dyDescent="0.25">
      <c r="A58" s="88">
        <v>31</v>
      </c>
      <c r="B58" s="90">
        <v>0.28599999999999998</v>
      </c>
    </row>
    <row r="59" spans="1:2" x14ac:dyDescent="0.25">
      <c r="A59" s="88">
        <v>32</v>
      </c>
      <c r="B59" s="90">
        <v>0.27800000000000002</v>
      </c>
    </row>
    <row r="60" spans="1:2" x14ac:dyDescent="0.25">
      <c r="A60" s="88">
        <v>33</v>
      </c>
      <c r="B60" s="90">
        <v>0.27100000000000002</v>
      </c>
    </row>
    <row r="61" spans="1:2" x14ac:dyDescent="0.25">
      <c r="A61" s="88">
        <v>34</v>
      </c>
      <c r="B61" s="90">
        <v>0.26400000000000001</v>
      </c>
    </row>
    <row r="62" spans="1:2" x14ac:dyDescent="0.25">
      <c r="A62" s="88">
        <v>35</v>
      </c>
      <c r="B62" s="90">
        <v>0.25700000000000001</v>
      </c>
    </row>
    <row r="63" spans="1:2" x14ac:dyDescent="0.25">
      <c r="A63" s="88">
        <v>36</v>
      </c>
      <c r="B63" s="90">
        <v>0.251</v>
      </c>
    </row>
    <row r="64" spans="1:2" x14ac:dyDescent="0.25">
      <c r="A64" s="88">
        <v>37</v>
      </c>
      <c r="B64" s="90">
        <v>0.24399999999999999</v>
      </c>
    </row>
    <row r="65" spans="1:2" x14ac:dyDescent="0.25">
      <c r="A65" s="88">
        <v>38</v>
      </c>
      <c r="B65" s="90">
        <v>0.23799999999999999</v>
      </c>
    </row>
    <row r="66" spans="1:2" x14ac:dyDescent="0.25">
      <c r="A66" s="88">
        <v>39</v>
      </c>
      <c r="B66" s="90">
        <v>0.23200000000000001</v>
      </c>
    </row>
    <row r="67" spans="1:2" x14ac:dyDescent="0.25">
      <c r="A67" s="88">
        <v>40</v>
      </c>
      <c r="B67" s="90">
        <v>0.22700000000000001</v>
      </c>
    </row>
    <row r="68" spans="1:2" x14ac:dyDescent="0.25">
      <c r="A68" s="88">
        <v>41</v>
      </c>
      <c r="B68" s="90">
        <v>0.221</v>
      </c>
    </row>
    <row r="69" spans="1:2" x14ac:dyDescent="0.25">
      <c r="A69" s="88">
        <v>42</v>
      </c>
      <c r="B69" s="90">
        <v>0.216</v>
      </c>
    </row>
    <row r="70" spans="1:2" x14ac:dyDescent="0.25">
      <c r="A70" s="88">
        <v>43</v>
      </c>
      <c r="B70" s="90">
        <v>0.21099999999999999</v>
      </c>
    </row>
    <row r="71" spans="1:2" x14ac:dyDescent="0.25">
      <c r="A71" s="88">
        <v>44</v>
      </c>
      <c r="B71" s="90">
        <v>0.20599999999999999</v>
      </c>
    </row>
    <row r="72" spans="1:2" x14ac:dyDescent="0.25">
      <c r="A72" s="88">
        <v>45</v>
      </c>
      <c r="B72" s="90">
        <v>0.20200000000000001</v>
      </c>
    </row>
    <row r="73" spans="1:2" x14ac:dyDescent="0.25">
      <c r="A73" s="88">
        <v>46</v>
      </c>
      <c r="B73" s="90">
        <v>0.19700000000000001</v>
      </c>
    </row>
    <row r="74" spans="1:2" x14ac:dyDescent="0.25">
      <c r="A74" s="88">
        <v>47</v>
      </c>
      <c r="B74" s="90">
        <v>0.193</v>
      </c>
    </row>
    <row r="75" spans="1:2" x14ac:dyDescent="0.25">
      <c r="A75" s="88">
        <v>48</v>
      </c>
      <c r="B75" s="90">
        <v>0.188</v>
      </c>
    </row>
    <row r="76" spans="1:2" x14ac:dyDescent="0.25">
      <c r="A76" s="88">
        <v>49</v>
      </c>
      <c r="B76" s="90">
        <v>0.184</v>
      </c>
    </row>
    <row r="77" spans="1:2" x14ac:dyDescent="0.25">
      <c r="A77" s="88">
        <v>50</v>
      </c>
      <c r="B77" s="90">
        <v>0.18</v>
      </c>
    </row>
  </sheetData>
  <sheetProtection algorithmName="SHA-512" hashValue="yesoNzfJ7N4tOoo+7zo+X7P6oRKw+nvnEDaOCvms05atvZLyosSPvDFKC9XjOSVPuW3kZoxwZl8/DevEIM5tSA==" saltValue="GwP3zxRbGMQbuaIUk1Ji/w==" spinCount="100000" sheet="1" objects="1" scenarios="1"/>
  <conditionalFormatting sqref="A6:A21">
    <cfRule type="expression" dxfId="77" priority="3" stopIfTrue="1">
      <formula>MOD(ROW(),2)=0</formula>
    </cfRule>
    <cfRule type="expression" dxfId="76" priority="4" stopIfTrue="1">
      <formula>MOD(ROW(),2)&lt;&gt;0</formula>
    </cfRule>
  </conditionalFormatting>
  <conditionalFormatting sqref="A26:A77">
    <cfRule type="expression" dxfId="75" priority="7" stopIfTrue="1">
      <formula>MOD(ROW(),2)=0</formula>
    </cfRule>
    <cfRule type="expression" dxfId="74" priority="8" stopIfTrue="1">
      <formula>MOD(ROW(),2)&lt;&gt;0</formula>
    </cfRule>
  </conditionalFormatting>
  <conditionalFormatting sqref="B6:B21">
    <cfRule type="expression" dxfId="73" priority="21" stopIfTrue="1">
      <formula>MOD(ROW(),2)=0</formula>
    </cfRule>
    <cfRule type="expression" dxfId="72" priority="22" stopIfTrue="1">
      <formula>MOD(ROW(),2)&lt;&gt;0</formula>
    </cfRule>
  </conditionalFormatting>
  <conditionalFormatting sqref="B17:B21">
    <cfRule type="expression" dxfId="71" priority="13" stopIfTrue="1">
      <formula>MOD(ROW(),2)=0</formula>
    </cfRule>
    <cfRule type="expression" dxfId="70" priority="14" stopIfTrue="1">
      <formula>MOD(ROW(),2)&lt;&gt;0</formula>
    </cfRule>
  </conditionalFormatting>
  <conditionalFormatting sqref="B26:B77">
    <cfRule type="expression" dxfId="69" priority="9" stopIfTrue="1">
      <formula>MOD(ROW(),2)=0</formula>
    </cfRule>
    <cfRule type="expression" dxfId="68"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6"/>
  <dimension ref="A1:I65"/>
  <sheetViews>
    <sheetView showGridLines="0" zoomScale="85" zoomScaleNormal="85" workbookViewId="0">
      <selection activeCell="A4" sqref="A4"/>
    </sheetView>
  </sheetViews>
  <sheetFormatPr defaultColWidth="10" defaultRowHeight="13.2" x14ac:dyDescent="0.25"/>
  <cols>
    <col min="1" max="1" width="31.88671875" style="27" customWidth="1"/>
    <col min="2" max="2" width="41.109375" style="27" customWidth="1"/>
    <col min="3" max="3" width="10.1093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Scheme Pays AA - x-620</v>
      </c>
      <c r="B3" s="42"/>
      <c r="C3" s="42"/>
      <c r="D3" s="42"/>
      <c r="E3" s="42"/>
      <c r="F3" s="42"/>
      <c r="G3" s="42"/>
      <c r="H3" s="42"/>
      <c r="I3" s="42"/>
    </row>
    <row r="4" spans="1:9" x14ac:dyDescent="0.25">
      <c r="A4" s="44"/>
    </row>
    <row r="6" spans="1:9" x14ac:dyDescent="0.25">
      <c r="A6" s="75" t="s">
        <v>484</v>
      </c>
      <c r="B6" s="162" t="s">
        <v>485</v>
      </c>
    </row>
    <row r="7" spans="1:9" x14ac:dyDescent="0.25">
      <c r="A7" s="76" t="s">
        <v>486</v>
      </c>
      <c r="B7" s="162" t="s">
        <v>81</v>
      </c>
    </row>
    <row r="8" spans="1:9" x14ac:dyDescent="0.25">
      <c r="A8" s="76" t="s">
        <v>282</v>
      </c>
      <c r="B8" s="162">
        <v>2015</v>
      </c>
    </row>
    <row r="9" spans="1:9" x14ac:dyDescent="0.25">
      <c r="A9" s="76" t="s">
        <v>283</v>
      </c>
      <c r="B9" s="162" t="s">
        <v>419</v>
      </c>
    </row>
    <row r="10" spans="1:9" x14ac:dyDescent="0.25">
      <c r="A10" s="76" t="s">
        <v>6</v>
      </c>
      <c r="B10" s="162" t="s">
        <v>464</v>
      </c>
    </row>
    <row r="11" spans="1:9" x14ac:dyDescent="0.25">
      <c r="A11" s="76" t="s">
        <v>284</v>
      </c>
      <c r="B11" s="162" t="s">
        <v>349</v>
      </c>
    </row>
    <row r="12" spans="1:9" x14ac:dyDescent="0.25">
      <c r="A12" s="76" t="s">
        <v>285</v>
      </c>
      <c r="B12" s="162" t="s">
        <v>465</v>
      </c>
    </row>
    <row r="13" spans="1:9" hidden="1" x14ac:dyDescent="0.25">
      <c r="A13" s="76" t="s">
        <v>493</v>
      </c>
      <c r="B13" s="162">
        <v>0</v>
      </c>
    </row>
    <row r="14" spans="1:9" hidden="1" x14ac:dyDescent="0.25">
      <c r="A14" s="76" t="s">
        <v>287</v>
      </c>
      <c r="B14" s="162">
        <v>620</v>
      </c>
    </row>
    <row r="15" spans="1:9" x14ac:dyDescent="0.25">
      <c r="A15" s="76" t="s">
        <v>496</v>
      </c>
      <c r="B15" s="162" t="s">
        <v>466</v>
      </c>
    </row>
    <row r="16" spans="1:9" x14ac:dyDescent="0.25">
      <c r="A16" s="76" t="s">
        <v>288</v>
      </c>
      <c r="B16" s="162" t="s">
        <v>305</v>
      </c>
    </row>
    <row r="17" spans="1:2" x14ac:dyDescent="0.25">
      <c r="A17" s="76" t="s">
        <v>568</v>
      </c>
      <c r="B17" s="162"/>
    </row>
    <row r="18" spans="1:2" x14ac:dyDescent="0.25">
      <c r="A18" s="76" t="s">
        <v>500</v>
      </c>
      <c r="B18" s="164">
        <v>45135</v>
      </c>
    </row>
    <row r="19" spans="1:2" x14ac:dyDescent="0.25">
      <c r="A19" s="76" t="s">
        <v>290</v>
      </c>
      <c r="B19" s="164">
        <v>45135</v>
      </c>
    </row>
    <row r="20" spans="1:2" x14ac:dyDescent="0.25">
      <c r="A20" s="76" t="s">
        <v>291</v>
      </c>
      <c r="B20" s="162" t="s">
        <v>298</v>
      </c>
    </row>
    <row r="21" spans="1:2" x14ac:dyDescent="0.25">
      <c r="A21" s="150" t="s">
        <v>569</v>
      </c>
      <c r="B21" s="162" t="s">
        <v>297</v>
      </c>
    </row>
    <row r="23" spans="1:2" x14ac:dyDescent="0.25">
      <c r="B23" s="91" t="str">
        <f>HYPERLINK("#'Factor List'!A1","Back to Factor List")</f>
        <v>Back to Factor List</v>
      </c>
    </row>
    <row r="24" spans="1:2" x14ac:dyDescent="0.25">
      <c r="B24" s="91" t="str">
        <f>HYPERLINK("#'Assumptions'!A1","Assumptions")</f>
        <v>Assumptions</v>
      </c>
    </row>
    <row r="26" spans="1:2" ht="26.4" x14ac:dyDescent="0.25">
      <c r="A26" s="87" t="s">
        <v>612</v>
      </c>
      <c r="B26" s="87" t="s">
        <v>638</v>
      </c>
    </row>
    <row r="27" spans="1:2" x14ac:dyDescent="0.25">
      <c r="A27" s="88">
        <v>0</v>
      </c>
      <c r="B27" s="90">
        <v>1</v>
      </c>
    </row>
    <row r="28" spans="1:2" x14ac:dyDescent="0.25">
      <c r="A28" s="88">
        <v>1</v>
      </c>
      <c r="B28" s="90">
        <v>0.94</v>
      </c>
    </row>
    <row r="29" spans="1:2" x14ac:dyDescent="0.25">
      <c r="A29" s="88">
        <v>2</v>
      </c>
      <c r="B29" s="90">
        <v>0.88600000000000001</v>
      </c>
    </row>
    <row r="30" spans="1:2" x14ac:dyDescent="0.25">
      <c r="A30" s="88">
        <v>3</v>
      </c>
      <c r="B30" s="90">
        <v>0.83599999999999997</v>
      </c>
    </row>
    <row r="31" spans="1:2" x14ac:dyDescent="0.25">
      <c r="A31" s="88">
        <v>4</v>
      </c>
      <c r="B31" s="90">
        <v>0.79100000000000004</v>
      </c>
    </row>
    <row r="32" spans="1:2" x14ac:dyDescent="0.25">
      <c r="A32" s="88">
        <v>5</v>
      </c>
      <c r="B32" s="90">
        <v>0.75</v>
      </c>
    </row>
    <row r="33" spans="1:2" x14ac:dyDescent="0.25">
      <c r="A33" s="88">
        <v>6</v>
      </c>
      <c r="B33" s="90">
        <v>0.71299999999999997</v>
      </c>
    </row>
    <row r="34" spans="1:2" x14ac:dyDescent="0.25">
      <c r="A34" s="88">
        <v>7</v>
      </c>
      <c r="B34" s="90">
        <v>0.67800000000000005</v>
      </c>
    </row>
    <row r="35" spans="1:2" x14ac:dyDescent="0.25">
      <c r="A35" s="88">
        <v>8</v>
      </c>
      <c r="B35" s="90">
        <v>0.64700000000000002</v>
      </c>
    </row>
    <row r="36" spans="1:2" x14ac:dyDescent="0.25">
      <c r="A36" s="88">
        <v>9</v>
      </c>
      <c r="B36" s="90">
        <v>0.61699999999999999</v>
      </c>
    </row>
    <row r="37" spans="1:2" x14ac:dyDescent="0.25">
      <c r="A37" s="88">
        <v>10</v>
      </c>
      <c r="B37" s="90">
        <v>0.59</v>
      </c>
    </row>
    <row r="38" spans="1:2" x14ac:dyDescent="0.25">
      <c r="A38" s="88">
        <v>11</v>
      </c>
      <c r="B38" s="90">
        <v>0.56499999999999995</v>
      </c>
    </row>
    <row r="39" spans="1:2" x14ac:dyDescent="0.25">
      <c r="A39" s="88">
        <v>12</v>
      </c>
      <c r="B39" s="90">
        <v>0.54200000000000004</v>
      </c>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f3S07vEBS/uwVU0DmkzI8T8oKsNTSf3dS7NFSD7YvvFDCumumy0gPh/pXSvZXdJfXzUmSrYgGAYwGz8a9Z0b4g==" saltValue="eMBhKE9bXPc6J0dSlcUvUw==" spinCount="100000" sheet="1" objects="1" scenarios="1"/>
  <conditionalFormatting sqref="A6:A21">
    <cfRule type="expression" dxfId="67" priority="3" stopIfTrue="1">
      <formula>MOD(ROW(),2)=0</formula>
    </cfRule>
    <cfRule type="expression" dxfId="66" priority="4" stopIfTrue="1">
      <formula>MOD(ROW(),2)&lt;&gt;0</formula>
    </cfRule>
  </conditionalFormatting>
  <conditionalFormatting sqref="A26:A39">
    <cfRule type="expression" dxfId="65" priority="7" stopIfTrue="1">
      <formula>MOD(ROW(),2)=0</formula>
    </cfRule>
    <cfRule type="expression" dxfId="64" priority="8" stopIfTrue="1">
      <formula>MOD(ROW(),2)&lt;&gt;0</formula>
    </cfRule>
  </conditionalFormatting>
  <conditionalFormatting sqref="B6:B21">
    <cfRule type="expression" dxfId="63" priority="21" stopIfTrue="1">
      <formula>MOD(ROW(),2)=0</formula>
    </cfRule>
    <cfRule type="expression" dxfId="62" priority="22" stopIfTrue="1">
      <formula>MOD(ROW(),2)&lt;&gt;0</formula>
    </cfRule>
  </conditionalFormatting>
  <conditionalFormatting sqref="B17:B21">
    <cfRule type="expression" dxfId="61" priority="13" stopIfTrue="1">
      <formula>MOD(ROW(),2)=0</formula>
    </cfRule>
    <cfRule type="expression" dxfId="60" priority="14" stopIfTrue="1">
      <formula>MOD(ROW(),2)&lt;&gt;0</formula>
    </cfRule>
  </conditionalFormatting>
  <conditionalFormatting sqref="B26:B39">
    <cfRule type="expression" dxfId="59" priority="9" stopIfTrue="1">
      <formula>MOD(ROW(),2)=0</formula>
    </cfRule>
    <cfRule type="expression" dxfId="58"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7"/>
  <dimension ref="A1:I65"/>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Scheme Pays AA - x-621</v>
      </c>
      <c r="B3" s="42"/>
      <c r="C3" s="42"/>
      <c r="D3" s="42"/>
      <c r="E3" s="42"/>
      <c r="F3" s="42"/>
      <c r="G3" s="42"/>
      <c r="H3" s="42"/>
      <c r="I3" s="42"/>
    </row>
    <row r="4" spans="1:9" x14ac:dyDescent="0.25">
      <c r="A4" s="44"/>
    </row>
    <row r="6" spans="1:9" x14ac:dyDescent="0.25">
      <c r="A6" s="75" t="s">
        <v>484</v>
      </c>
      <c r="B6" s="162" t="s">
        <v>485</v>
      </c>
      <c r="C6" s="162"/>
    </row>
    <row r="7" spans="1:9" x14ac:dyDescent="0.25">
      <c r="A7" s="76" t="s">
        <v>486</v>
      </c>
      <c r="B7" s="162" t="s">
        <v>81</v>
      </c>
      <c r="C7" s="162"/>
    </row>
    <row r="8" spans="1:9" x14ac:dyDescent="0.25">
      <c r="A8" s="76" t="s">
        <v>282</v>
      </c>
      <c r="B8" s="162">
        <v>2015</v>
      </c>
      <c r="C8" s="162"/>
    </row>
    <row r="9" spans="1:9" x14ac:dyDescent="0.25">
      <c r="A9" s="76" t="s">
        <v>283</v>
      </c>
      <c r="B9" s="162" t="s">
        <v>419</v>
      </c>
      <c r="C9" s="162"/>
    </row>
    <row r="10" spans="1:9" x14ac:dyDescent="0.25">
      <c r="A10" s="76" t="s">
        <v>6</v>
      </c>
      <c r="B10" s="162" t="s">
        <v>467</v>
      </c>
      <c r="C10" s="162"/>
    </row>
    <row r="11" spans="1:9" x14ac:dyDescent="0.25">
      <c r="A11" s="76" t="s">
        <v>284</v>
      </c>
      <c r="B11" s="162" t="s">
        <v>334</v>
      </c>
      <c r="C11" s="162"/>
    </row>
    <row r="12" spans="1:9" x14ac:dyDescent="0.25">
      <c r="A12" s="76" t="s">
        <v>285</v>
      </c>
      <c r="B12" s="162" t="s">
        <v>295</v>
      </c>
      <c r="C12" s="162"/>
    </row>
    <row r="13" spans="1:9" hidden="1" x14ac:dyDescent="0.25">
      <c r="A13" s="76" t="s">
        <v>493</v>
      </c>
      <c r="B13" s="162">
        <v>0</v>
      </c>
      <c r="C13" s="162"/>
    </row>
    <row r="14" spans="1:9" hidden="1" x14ac:dyDescent="0.25">
      <c r="A14" s="76" t="s">
        <v>287</v>
      </c>
      <c r="B14" s="162">
        <v>621</v>
      </c>
      <c r="C14" s="162"/>
    </row>
    <row r="15" spans="1:9" x14ac:dyDescent="0.25">
      <c r="A15" s="76" t="s">
        <v>496</v>
      </c>
      <c r="B15" s="162" t="s">
        <v>468</v>
      </c>
      <c r="C15" s="162"/>
    </row>
    <row r="16" spans="1:9" x14ac:dyDescent="0.25">
      <c r="A16" s="76" t="s">
        <v>288</v>
      </c>
      <c r="B16" s="162" t="s">
        <v>343</v>
      </c>
      <c r="C16" s="162"/>
    </row>
    <row r="17" spans="1:3" x14ac:dyDescent="0.25">
      <c r="A17" s="76" t="s">
        <v>568</v>
      </c>
      <c r="B17" s="162"/>
      <c r="C17" s="162"/>
    </row>
    <row r="18" spans="1:3" x14ac:dyDescent="0.25">
      <c r="A18" s="76" t="s">
        <v>500</v>
      </c>
      <c r="B18" s="164">
        <v>45135</v>
      </c>
      <c r="C18" s="162"/>
    </row>
    <row r="19" spans="1:3" x14ac:dyDescent="0.25">
      <c r="A19" s="76" t="s">
        <v>290</v>
      </c>
      <c r="B19" s="164">
        <v>45135</v>
      </c>
      <c r="C19" s="162"/>
    </row>
    <row r="20" spans="1:3" x14ac:dyDescent="0.25">
      <c r="A20" s="76" t="s">
        <v>291</v>
      </c>
      <c r="B20" s="162" t="s">
        <v>298</v>
      </c>
      <c r="C20" s="162"/>
    </row>
    <row r="21" spans="1:3" x14ac:dyDescent="0.25">
      <c r="A21" s="150" t="s">
        <v>569</v>
      </c>
      <c r="B21" s="162" t="s">
        <v>297</v>
      </c>
      <c r="C21" s="162"/>
    </row>
    <row r="23" spans="1:3" x14ac:dyDescent="0.25">
      <c r="B23" s="91" t="str">
        <f>HYPERLINK("#'Factor List'!A1","Back to Factor List")</f>
        <v>Back to Factor List</v>
      </c>
    </row>
    <row r="24" spans="1:3" x14ac:dyDescent="0.25">
      <c r="B24" s="91" t="str">
        <f>HYPERLINK("#'Assumptions'!A1","Assumptions")</f>
        <v>Assumptions</v>
      </c>
    </row>
    <row r="26" spans="1:3" x14ac:dyDescent="0.25">
      <c r="A26" s="87" t="s">
        <v>570</v>
      </c>
      <c r="B26" s="87" t="s">
        <v>639</v>
      </c>
      <c r="C26" s="87" t="s">
        <v>640</v>
      </c>
    </row>
    <row r="27" spans="1:3" x14ac:dyDescent="0.25">
      <c r="A27" s="88">
        <v>55</v>
      </c>
      <c r="B27" s="89">
        <v>22.65</v>
      </c>
      <c r="C27" s="89">
        <v>22.65</v>
      </c>
    </row>
    <row r="28" spans="1:3" x14ac:dyDescent="0.25">
      <c r="A28" s="88">
        <v>56</v>
      </c>
      <c r="B28" s="89">
        <v>22.06</v>
      </c>
      <c r="C28" s="89">
        <v>22.06</v>
      </c>
    </row>
    <row r="29" spans="1:3" x14ac:dyDescent="0.25">
      <c r="A29" s="88">
        <v>57</v>
      </c>
      <c r="B29" s="89">
        <v>21.46</v>
      </c>
      <c r="C29" s="89">
        <v>21.46</v>
      </c>
    </row>
    <row r="30" spans="1:3" x14ac:dyDescent="0.25">
      <c r="A30" s="88">
        <v>58</v>
      </c>
      <c r="B30" s="89">
        <v>20.87</v>
      </c>
      <c r="C30" s="89">
        <v>20.87</v>
      </c>
    </row>
    <row r="31" spans="1:3" x14ac:dyDescent="0.25">
      <c r="A31" s="88">
        <v>59</v>
      </c>
      <c r="B31" s="89">
        <v>20.260000000000002</v>
      </c>
      <c r="C31" s="89">
        <v>20.260000000000002</v>
      </c>
    </row>
    <row r="32" spans="1:3" x14ac:dyDescent="0.25">
      <c r="A32" s="88">
        <v>60</v>
      </c>
      <c r="B32" s="89">
        <v>19.64</v>
      </c>
      <c r="C32" s="89">
        <v>19.64</v>
      </c>
    </row>
    <row r="33" spans="1:3" x14ac:dyDescent="0.25">
      <c r="A33" s="88">
        <v>61</v>
      </c>
      <c r="B33" s="89">
        <v>19</v>
      </c>
      <c r="C33" s="89">
        <v>19</v>
      </c>
    </row>
    <row r="34" spans="1:3" x14ac:dyDescent="0.25">
      <c r="A34" s="88">
        <v>62</v>
      </c>
      <c r="B34" s="89">
        <v>18.36</v>
      </c>
      <c r="C34" s="89">
        <v>18.36</v>
      </c>
    </row>
    <row r="35" spans="1:3" x14ac:dyDescent="0.25">
      <c r="A35" s="88">
        <v>63</v>
      </c>
      <c r="B35" s="89">
        <v>17.72</v>
      </c>
      <c r="C35" s="89">
        <v>17.72</v>
      </c>
    </row>
    <row r="36" spans="1:3" x14ac:dyDescent="0.25">
      <c r="A36" s="88">
        <v>64</v>
      </c>
      <c r="B36" s="89">
        <v>17.079999999999998</v>
      </c>
      <c r="C36" s="89">
        <v>17.079999999999998</v>
      </c>
    </row>
    <row r="37" spans="1:3" x14ac:dyDescent="0.25">
      <c r="A37" s="88">
        <v>65</v>
      </c>
      <c r="B37" s="89">
        <v>16.45</v>
      </c>
      <c r="C37" s="89">
        <v>16.45</v>
      </c>
    </row>
    <row r="38" spans="1:3" x14ac:dyDescent="0.25">
      <c r="A38" s="88">
        <v>66</v>
      </c>
      <c r="B38" s="89">
        <v>15.83</v>
      </c>
      <c r="C38" s="89">
        <v>15.83</v>
      </c>
    </row>
    <row r="39" spans="1:3" x14ac:dyDescent="0.25">
      <c r="A39" s="88">
        <v>67</v>
      </c>
      <c r="B39" s="89">
        <v>15.2</v>
      </c>
      <c r="C39" s="89">
        <v>15.2</v>
      </c>
    </row>
    <row r="40" spans="1:3" x14ac:dyDescent="0.25">
      <c r="A40" s="88">
        <v>68</v>
      </c>
      <c r="B40" s="89">
        <v>14.57</v>
      </c>
      <c r="C40" s="89">
        <v>14.57</v>
      </c>
    </row>
    <row r="41" spans="1:3" x14ac:dyDescent="0.25">
      <c r="A41" s="88">
        <v>69</v>
      </c>
      <c r="B41" s="89">
        <v>13.94</v>
      </c>
      <c r="C41" s="89">
        <v>13.94</v>
      </c>
    </row>
    <row r="42" spans="1:3" x14ac:dyDescent="0.25">
      <c r="A42" s="88">
        <v>70</v>
      </c>
      <c r="B42" s="89">
        <v>13.32</v>
      </c>
      <c r="C42" s="89">
        <v>13.32</v>
      </c>
    </row>
    <row r="43" spans="1:3" x14ac:dyDescent="0.25">
      <c r="A43" s="88">
        <v>71</v>
      </c>
      <c r="B43" s="89">
        <v>12.7</v>
      </c>
      <c r="C43" s="89">
        <v>12.7</v>
      </c>
    </row>
    <row r="44" spans="1:3" x14ac:dyDescent="0.25">
      <c r="A44" s="88">
        <v>72</v>
      </c>
      <c r="B44" s="89">
        <v>12.08</v>
      </c>
      <c r="C44" s="89">
        <v>12.08</v>
      </c>
    </row>
    <row r="45" spans="1:3" x14ac:dyDescent="0.25">
      <c r="A45" s="88">
        <v>73</v>
      </c>
      <c r="B45" s="89">
        <v>11.47</v>
      </c>
      <c r="C45" s="89">
        <v>11.47</v>
      </c>
    </row>
    <row r="46" spans="1:3" x14ac:dyDescent="0.25">
      <c r="A46" s="88">
        <v>74</v>
      </c>
      <c r="B46" s="89">
        <v>10.86</v>
      </c>
      <c r="C46" s="89">
        <v>10.86</v>
      </c>
    </row>
    <row r="47" spans="1:3" x14ac:dyDescent="0.25">
      <c r="A47" s="88">
        <v>75</v>
      </c>
      <c r="B47" s="89">
        <v>10.27</v>
      </c>
      <c r="C47" s="89">
        <v>10.27</v>
      </c>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xQPBr0BnrhF8eOblN3+SppA6Qt2X1nu8O057S3S7y/JRAvW5H49dmfDJ55mFDD+DRXFM0D2UUn3vkU27R6/B2w==" saltValue="9uQGznIcb/Ea8htCQef2xw==" spinCount="100000" sheet="1" objects="1" scenarios="1"/>
  <conditionalFormatting sqref="A6:A21">
    <cfRule type="expression" dxfId="57" priority="3" stopIfTrue="1">
      <formula>MOD(ROW(),2)=0</formula>
    </cfRule>
    <cfRule type="expression" dxfId="56" priority="4" stopIfTrue="1">
      <formula>MOD(ROW(),2)&lt;&gt;0</formula>
    </cfRule>
  </conditionalFormatting>
  <conditionalFormatting sqref="A26:A47">
    <cfRule type="expression" dxfId="55" priority="7" stopIfTrue="1">
      <formula>MOD(ROW(),2)=0</formula>
    </cfRule>
    <cfRule type="expression" dxfId="54" priority="8" stopIfTrue="1">
      <formula>MOD(ROW(),2)&lt;&gt;0</formula>
    </cfRule>
  </conditionalFormatting>
  <conditionalFormatting sqref="B17:B21">
    <cfRule type="expression" dxfId="53" priority="13" stopIfTrue="1">
      <formula>MOD(ROW(),2)=0</formula>
    </cfRule>
    <cfRule type="expression" dxfId="52" priority="14" stopIfTrue="1">
      <formula>MOD(ROW(),2)&lt;&gt;0</formula>
    </cfRule>
  </conditionalFormatting>
  <conditionalFormatting sqref="B6:C21">
    <cfRule type="expression" dxfId="51" priority="21" stopIfTrue="1">
      <formula>MOD(ROW(),2)=0</formula>
    </cfRule>
    <cfRule type="expression" dxfId="50" priority="22" stopIfTrue="1">
      <formula>MOD(ROW(),2)&lt;&gt;0</formula>
    </cfRule>
  </conditionalFormatting>
  <conditionalFormatting sqref="B26:C47">
    <cfRule type="expression" dxfId="49" priority="9" stopIfTrue="1">
      <formula>MOD(ROW(),2)=0</formula>
    </cfRule>
    <cfRule type="expression" dxfId="48"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8"/>
  <dimension ref="A1:I82"/>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Scheme Pays AA - x-622</v>
      </c>
      <c r="B3" s="42"/>
      <c r="C3" s="42"/>
      <c r="D3" s="42"/>
      <c r="E3" s="42"/>
      <c r="F3" s="42"/>
      <c r="G3" s="42"/>
      <c r="H3" s="42"/>
      <c r="I3" s="42"/>
    </row>
    <row r="4" spans="1:9" x14ac:dyDescent="0.25">
      <c r="A4" s="44"/>
    </row>
    <row r="6" spans="1:9" x14ac:dyDescent="0.25">
      <c r="A6" s="75" t="s">
        <v>484</v>
      </c>
      <c r="B6" s="162" t="s">
        <v>485</v>
      </c>
      <c r="C6" s="162"/>
    </row>
    <row r="7" spans="1:9" x14ac:dyDescent="0.25">
      <c r="A7" s="76" t="s">
        <v>486</v>
      </c>
      <c r="B7" s="162" t="s">
        <v>81</v>
      </c>
      <c r="C7" s="162"/>
    </row>
    <row r="8" spans="1:9" x14ac:dyDescent="0.25">
      <c r="A8" s="76" t="s">
        <v>282</v>
      </c>
      <c r="B8" s="162">
        <v>2015</v>
      </c>
      <c r="C8" s="162"/>
    </row>
    <row r="9" spans="1:9" x14ac:dyDescent="0.25">
      <c r="A9" s="76" t="s">
        <v>283</v>
      </c>
      <c r="B9" s="162" t="s">
        <v>419</v>
      </c>
      <c r="C9" s="162"/>
    </row>
    <row r="10" spans="1:9" x14ac:dyDescent="0.25">
      <c r="A10" s="76" t="s">
        <v>6</v>
      </c>
      <c r="B10" s="162" t="s">
        <v>469</v>
      </c>
      <c r="C10" s="162"/>
    </row>
    <row r="11" spans="1:9" x14ac:dyDescent="0.25">
      <c r="A11" s="76" t="s">
        <v>284</v>
      </c>
      <c r="B11" s="162" t="s">
        <v>334</v>
      </c>
      <c r="C11" s="162"/>
    </row>
    <row r="12" spans="1:9" x14ac:dyDescent="0.25">
      <c r="A12" s="76" t="s">
        <v>285</v>
      </c>
      <c r="B12" s="162" t="s">
        <v>295</v>
      </c>
      <c r="C12" s="162"/>
    </row>
    <row r="13" spans="1:9" hidden="1" x14ac:dyDescent="0.25">
      <c r="A13" s="76" t="s">
        <v>493</v>
      </c>
      <c r="B13" s="162">
        <v>0</v>
      </c>
      <c r="C13" s="162"/>
    </row>
    <row r="14" spans="1:9" hidden="1" x14ac:dyDescent="0.25">
      <c r="A14" s="76" t="s">
        <v>287</v>
      </c>
      <c r="B14" s="162">
        <v>622</v>
      </c>
      <c r="C14" s="162"/>
    </row>
    <row r="15" spans="1:9" x14ac:dyDescent="0.25">
      <c r="A15" s="76" t="s">
        <v>496</v>
      </c>
      <c r="B15" s="162" t="s">
        <v>470</v>
      </c>
      <c r="C15" s="162"/>
    </row>
    <row r="16" spans="1:9" x14ac:dyDescent="0.25">
      <c r="A16" s="76" t="s">
        <v>288</v>
      </c>
      <c r="B16" s="162" t="s">
        <v>471</v>
      </c>
      <c r="C16" s="162"/>
    </row>
    <row r="17" spans="1:3" x14ac:dyDescent="0.25">
      <c r="A17" s="76" t="s">
        <v>568</v>
      </c>
      <c r="B17" s="162"/>
      <c r="C17" s="162"/>
    </row>
    <row r="18" spans="1:3" x14ac:dyDescent="0.25">
      <c r="A18" s="76" t="s">
        <v>500</v>
      </c>
      <c r="B18" s="164">
        <v>45135</v>
      </c>
      <c r="C18" s="162"/>
    </row>
    <row r="19" spans="1:3" x14ac:dyDescent="0.25">
      <c r="A19" s="76" t="s">
        <v>290</v>
      </c>
      <c r="B19" s="164">
        <v>45135</v>
      </c>
      <c r="C19" s="162"/>
    </row>
    <row r="20" spans="1:3" x14ac:dyDescent="0.25">
      <c r="A20" s="76" t="s">
        <v>291</v>
      </c>
      <c r="B20" s="162" t="s">
        <v>298</v>
      </c>
      <c r="C20" s="162"/>
    </row>
    <row r="21" spans="1:3" x14ac:dyDescent="0.25">
      <c r="A21" s="150" t="s">
        <v>569</v>
      </c>
      <c r="B21" s="162" t="s">
        <v>297</v>
      </c>
      <c r="C21" s="162"/>
    </row>
    <row r="23" spans="1:3" x14ac:dyDescent="0.25">
      <c r="B23" s="91" t="str">
        <f>HYPERLINK("#'Factor List'!A1","Back to Factor List")</f>
        <v>Back to Factor List</v>
      </c>
    </row>
    <row r="24" spans="1:3" x14ac:dyDescent="0.25">
      <c r="B24" s="91" t="str">
        <f>HYPERLINK("#'Assumptions'!A1","Assumptions")</f>
        <v>Assumptions</v>
      </c>
    </row>
    <row r="26" spans="1:3" x14ac:dyDescent="0.25">
      <c r="A26" s="87" t="s">
        <v>570</v>
      </c>
      <c r="B26" s="87" t="s">
        <v>639</v>
      </c>
      <c r="C26" s="87" t="s">
        <v>640</v>
      </c>
    </row>
    <row r="27" spans="1:3" x14ac:dyDescent="0.25">
      <c r="A27" s="88">
        <v>20</v>
      </c>
      <c r="B27" s="89">
        <v>39.159999999999997</v>
      </c>
      <c r="C27" s="89">
        <v>39.159999999999997</v>
      </c>
    </row>
    <row r="28" spans="1:3" x14ac:dyDescent="0.25">
      <c r="A28" s="88">
        <v>21</v>
      </c>
      <c r="B28" s="89">
        <v>38.79</v>
      </c>
      <c r="C28" s="89">
        <v>38.79</v>
      </c>
    </row>
    <row r="29" spans="1:3" x14ac:dyDescent="0.25">
      <c r="A29" s="88">
        <v>22</v>
      </c>
      <c r="B29" s="89">
        <v>38.42</v>
      </c>
      <c r="C29" s="89">
        <v>38.42</v>
      </c>
    </row>
    <row r="30" spans="1:3" x14ac:dyDescent="0.25">
      <c r="A30" s="88">
        <v>23</v>
      </c>
      <c r="B30" s="89">
        <v>38.04</v>
      </c>
      <c r="C30" s="89">
        <v>38.04</v>
      </c>
    </row>
    <row r="31" spans="1:3" x14ac:dyDescent="0.25">
      <c r="A31" s="88">
        <v>24</v>
      </c>
      <c r="B31" s="89">
        <v>37.659999999999997</v>
      </c>
      <c r="C31" s="89">
        <v>37.659999999999997</v>
      </c>
    </row>
    <row r="32" spans="1:3" x14ac:dyDescent="0.25">
      <c r="A32" s="88">
        <v>25</v>
      </c>
      <c r="B32" s="89">
        <v>37.270000000000003</v>
      </c>
      <c r="C32" s="89">
        <v>37.270000000000003</v>
      </c>
    </row>
    <row r="33" spans="1:3" x14ac:dyDescent="0.25">
      <c r="A33" s="88">
        <v>26</v>
      </c>
      <c r="B33" s="89">
        <v>36.869999999999997</v>
      </c>
      <c r="C33" s="89">
        <v>36.869999999999997</v>
      </c>
    </row>
    <row r="34" spans="1:3" x14ac:dyDescent="0.25">
      <c r="A34" s="88">
        <v>27</v>
      </c>
      <c r="B34" s="89">
        <v>36.47</v>
      </c>
      <c r="C34" s="89">
        <v>36.47</v>
      </c>
    </row>
    <row r="35" spans="1:3" x14ac:dyDescent="0.25">
      <c r="A35" s="88">
        <v>28</v>
      </c>
      <c r="B35" s="89">
        <v>36.06</v>
      </c>
      <c r="C35" s="89">
        <v>36.06</v>
      </c>
    </row>
    <row r="36" spans="1:3" x14ac:dyDescent="0.25">
      <c r="A36" s="88">
        <v>29</v>
      </c>
      <c r="B36" s="89">
        <v>35.65</v>
      </c>
      <c r="C36" s="89">
        <v>35.65</v>
      </c>
    </row>
    <row r="37" spans="1:3" x14ac:dyDescent="0.25">
      <c r="A37" s="88">
        <v>30</v>
      </c>
      <c r="B37" s="89">
        <v>35.229999999999997</v>
      </c>
      <c r="C37" s="89">
        <v>35.229999999999997</v>
      </c>
    </row>
    <row r="38" spans="1:3" x14ac:dyDescent="0.25">
      <c r="A38" s="88">
        <v>31</v>
      </c>
      <c r="B38" s="89">
        <v>34.799999999999997</v>
      </c>
      <c r="C38" s="89">
        <v>34.799999999999997</v>
      </c>
    </row>
    <row r="39" spans="1:3" x14ac:dyDescent="0.25">
      <c r="A39" s="88">
        <v>32</v>
      </c>
      <c r="B39" s="89">
        <v>34.369999999999997</v>
      </c>
      <c r="C39" s="89">
        <v>34.369999999999997</v>
      </c>
    </row>
    <row r="40" spans="1:3" x14ac:dyDescent="0.25">
      <c r="A40" s="88">
        <v>33</v>
      </c>
      <c r="B40" s="89">
        <v>33.93</v>
      </c>
      <c r="C40" s="89">
        <v>33.93</v>
      </c>
    </row>
    <row r="41" spans="1:3" x14ac:dyDescent="0.25">
      <c r="A41" s="88">
        <v>34</v>
      </c>
      <c r="B41" s="89">
        <v>33.479999999999997</v>
      </c>
      <c r="C41" s="89">
        <v>33.479999999999997</v>
      </c>
    </row>
    <row r="42" spans="1:3" x14ac:dyDescent="0.25">
      <c r="A42" s="88">
        <v>35</v>
      </c>
      <c r="B42" s="89">
        <v>33.03</v>
      </c>
      <c r="C42" s="89">
        <v>33.03</v>
      </c>
    </row>
    <row r="43" spans="1:3" x14ac:dyDescent="0.25">
      <c r="A43" s="88">
        <v>36</v>
      </c>
      <c r="B43" s="89">
        <v>32.57</v>
      </c>
      <c r="C43" s="89">
        <v>32.57</v>
      </c>
    </row>
    <row r="44" spans="1:3" x14ac:dyDescent="0.25">
      <c r="A44" s="88">
        <v>37</v>
      </c>
      <c r="B44" s="89">
        <v>32.11</v>
      </c>
      <c r="C44" s="89">
        <v>32.11</v>
      </c>
    </row>
    <row r="45" spans="1:3" x14ac:dyDescent="0.25">
      <c r="A45" s="88">
        <v>38</v>
      </c>
      <c r="B45" s="89">
        <v>31.63</v>
      </c>
      <c r="C45" s="89">
        <v>31.63</v>
      </c>
    </row>
    <row r="46" spans="1:3" x14ac:dyDescent="0.25">
      <c r="A46" s="88">
        <v>39</v>
      </c>
      <c r="B46" s="89">
        <v>31.15</v>
      </c>
      <c r="C46" s="89">
        <v>31.15</v>
      </c>
    </row>
    <row r="47" spans="1:3" x14ac:dyDescent="0.25">
      <c r="A47" s="88">
        <v>40</v>
      </c>
      <c r="B47" s="89">
        <v>30.67</v>
      </c>
      <c r="C47" s="89">
        <v>30.67</v>
      </c>
    </row>
    <row r="48" spans="1:3" x14ac:dyDescent="0.25">
      <c r="A48" s="88">
        <v>41</v>
      </c>
      <c r="B48" s="89">
        <v>30.18</v>
      </c>
      <c r="C48" s="89">
        <v>30.18</v>
      </c>
    </row>
    <row r="49" spans="1:3" x14ac:dyDescent="0.25">
      <c r="A49" s="88">
        <v>42</v>
      </c>
      <c r="B49" s="89">
        <v>29.68</v>
      </c>
      <c r="C49" s="89">
        <v>29.68</v>
      </c>
    </row>
    <row r="50" spans="1:3" x14ac:dyDescent="0.25">
      <c r="A50" s="88">
        <v>43</v>
      </c>
      <c r="B50" s="89">
        <v>29.17</v>
      </c>
      <c r="C50" s="89">
        <v>29.17</v>
      </c>
    </row>
    <row r="51" spans="1:3" x14ac:dyDescent="0.25">
      <c r="A51" s="88">
        <v>44</v>
      </c>
      <c r="B51" s="89">
        <v>28.66</v>
      </c>
      <c r="C51" s="89">
        <v>28.66</v>
      </c>
    </row>
    <row r="52" spans="1:3" x14ac:dyDescent="0.25">
      <c r="A52" s="88">
        <v>45</v>
      </c>
      <c r="B52" s="89">
        <v>28.14</v>
      </c>
      <c r="C52" s="89">
        <v>28.14</v>
      </c>
    </row>
    <row r="53" spans="1:3" x14ac:dyDescent="0.25">
      <c r="A53" s="88">
        <v>46</v>
      </c>
      <c r="B53" s="89">
        <v>27.62</v>
      </c>
      <c r="C53" s="89">
        <v>27.62</v>
      </c>
    </row>
    <row r="54" spans="1:3" x14ac:dyDescent="0.25">
      <c r="A54" s="88">
        <v>47</v>
      </c>
      <c r="B54" s="89">
        <v>27.09</v>
      </c>
      <c r="C54" s="89">
        <v>27.09</v>
      </c>
    </row>
    <row r="55" spans="1:3" x14ac:dyDescent="0.25">
      <c r="A55" s="88">
        <v>48</v>
      </c>
      <c r="B55" s="89">
        <v>26.55</v>
      </c>
      <c r="C55" s="89">
        <v>26.55</v>
      </c>
    </row>
    <row r="56" spans="1:3" x14ac:dyDescent="0.25">
      <c r="A56" s="88">
        <v>49</v>
      </c>
      <c r="B56" s="89">
        <v>26.01</v>
      </c>
      <c r="C56" s="89">
        <v>26.01</v>
      </c>
    </row>
    <row r="57" spans="1:3" x14ac:dyDescent="0.25">
      <c r="A57" s="88">
        <v>50</v>
      </c>
      <c r="B57" s="89">
        <v>25.46</v>
      </c>
      <c r="C57" s="89">
        <v>25.46</v>
      </c>
    </row>
    <row r="58" spans="1:3" x14ac:dyDescent="0.25">
      <c r="A58" s="88">
        <v>51</v>
      </c>
      <c r="B58" s="89">
        <v>24.9</v>
      </c>
      <c r="C58" s="89">
        <v>24.9</v>
      </c>
    </row>
    <row r="59" spans="1:3" x14ac:dyDescent="0.25">
      <c r="A59" s="88">
        <v>52</v>
      </c>
      <c r="B59" s="89">
        <v>24.34</v>
      </c>
      <c r="C59" s="89">
        <v>24.34</v>
      </c>
    </row>
    <row r="60" spans="1:3" x14ac:dyDescent="0.25">
      <c r="A60" s="88">
        <v>53</v>
      </c>
      <c r="B60" s="89">
        <v>23.76</v>
      </c>
      <c r="C60" s="89">
        <v>23.76</v>
      </c>
    </row>
    <row r="61" spans="1:3" x14ac:dyDescent="0.25">
      <c r="A61" s="88">
        <v>54</v>
      </c>
      <c r="B61" s="89">
        <v>23.18</v>
      </c>
      <c r="C61" s="89">
        <v>23.18</v>
      </c>
    </row>
    <row r="62" spans="1:3" x14ac:dyDescent="0.25">
      <c r="A62" s="88">
        <v>55</v>
      </c>
      <c r="B62" s="89">
        <v>22.6</v>
      </c>
      <c r="C62" s="89">
        <v>22.6</v>
      </c>
    </row>
    <row r="63" spans="1:3" x14ac:dyDescent="0.25">
      <c r="A63" s="88">
        <v>56</v>
      </c>
      <c r="B63" s="89">
        <v>22.01</v>
      </c>
      <c r="C63" s="89">
        <v>22.01</v>
      </c>
    </row>
    <row r="64" spans="1:3" x14ac:dyDescent="0.25">
      <c r="A64" s="88">
        <v>57</v>
      </c>
      <c r="B64" s="89">
        <v>21.41</v>
      </c>
      <c r="C64" s="89">
        <v>21.41</v>
      </c>
    </row>
    <row r="65" spans="1:3" x14ac:dyDescent="0.25">
      <c r="A65" s="88">
        <v>58</v>
      </c>
      <c r="B65" s="89">
        <v>20.8</v>
      </c>
      <c r="C65" s="89">
        <v>20.8</v>
      </c>
    </row>
    <row r="66" spans="1:3" x14ac:dyDescent="0.25">
      <c r="A66" s="88">
        <v>59</v>
      </c>
      <c r="B66" s="89">
        <v>20.190000000000001</v>
      </c>
      <c r="C66" s="89">
        <v>20.190000000000001</v>
      </c>
    </row>
    <row r="67" spans="1:3" x14ac:dyDescent="0.25">
      <c r="A67" s="88">
        <v>60</v>
      </c>
      <c r="B67" s="89">
        <v>19.579999999999998</v>
      </c>
      <c r="C67" s="89">
        <v>19.579999999999998</v>
      </c>
    </row>
    <row r="68" spans="1:3" x14ac:dyDescent="0.25">
      <c r="A68" s="88">
        <v>61</v>
      </c>
      <c r="B68" s="89">
        <v>18.96</v>
      </c>
      <c r="C68" s="89">
        <v>18.96</v>
      </c>
    </row>
    <row r="69" spans="1:3" x14ac:dyDescent="0.25">
      <c r="A69" s="88">
        <v>62</v>
      </c>
      <c r="B69" s="89">
        <v>18.329999999999998</v>
      </c>
      <c r="C69" s="89">
        <v>18.329999999999998</v>
      </c>
    </row>
    <row r="70" spans="1:3" x14ac:dyDescent="0.25">
      <c r="A70" s="88">
        <v>63</v>
      </c>
      <c r="B70" s="89">
        <v>17.71</v>
      </c>
      <c r="C70" s="89">
        <v>17.71</v>
      </c>
    </row>
    <row r="71" spans="1:3" x14ac:dyDescent="0.25">
      <c r="A71" s="88">
        <v>64</v>
      </c>
      <c r="B71" s="89">
        <v>17.079999999999998</v>
      </c>
      <c r="C71" s="89">
        <v>17.079999999999998</v>
      </c>
    </row>
    <row r="72" spans="1:3" x14ac:dyDescent="0.25">
      <c r="A72" s="88">
        <v>65</v>
      </c>
      <c r="B72" s="89">
        <v>16.45</v>
      </c>
      <c r="C72" s="89">
        <v>16.45</v>
      </c>
    </row>
    <row r="73" spans="1:3" x14ac:dyDescent="0.25">
      <c r="A73" s="88">
        <v>66</v>
      </c>
      <c r="B73" s="89">
        <v>15.83</v>
      </c>
      <c r="C73" s="89">
        <v>15.83</v>
      </c>
    </row>
    <row r="74" spans="1:3" x14ac:dyDescent="0.25">
      <c r="A74" s="88">
        <v>67</v>
      </c>
      <c r="B74" s="89">
        <v>15.2</v>
      </c>
      <c r="C74" s="89">
        <v>15.2</v>
      </c>
    </row>
    <row r="75" spans="1:3" x14ac:dyDescent="0.25">
      <c r="A75" s="88">
        <v>68</v>
      </c>
      <c r="B75" s="89">
        <v>14.57</v>
      </c>
      <c r="C75" s="89">
        <v>14.57</v>
      </c>
    </row>
    <row r="76" spans="1:3" x14ac:dyDescent="0.25">
      <c r="A76" s="88">
        <v>69</v>
      </c>
      <c r="B76" s="89">
        <v>13.94</v>
      </c>
      <c r="C76" s="89">
        <v>13.94</v>
      </c>
    </row>
    <row r="77" spans="1:3" x14ac:dyDescent="0.25">
      <c r="A77" s="88">
        <v>70</v>
      </c>
      <c r="B77" s="89">
        <v>13.32</v>
      </c>
      <c r="C77" s="89">
        <v>13.32</v>
      </c>
    </row>
    <row r="78" spans="1:3" x14ac:dyDescent="0.25">
      <c r="A78" s="88">
        <v>71</v>
      </c>
      <c r="B78" s="89">
        <v>12.7</v>
      </c>
      <c r="C78" s="89">
        <v>12.7</v>
      </c>
    </row>
    <row r="79" spans="1:3" x14ac:dyDescent="0.25">
      <c r="A79" s="88">
        <v>72</v>
      </c>
      <c r="B79" s="89">
        <v>12.08</v>
      </c>
      <c r="C79" s="89">
        <v>12.08</v>
      </c>
    </row>
    <row r="80" spans="1:3" x14ac:dyDescent="0.25">
      <c r="A80" s="88">
        <v>73</v>
      </c>
      <c r="B80" s="89">
        <v>11.47</v>
      </c>
      <c r="C80" s="89">
        <v>11.47</v>
      </c>
    </row>
    <row r="81" spans="1:3" x14ac:dyDescent="0.25">
      <c r="A81" s="88">
        <v>74</v>
      </c>
      <c r="B81" s="89">
        <v>10.86</v>
      </c>
      <c r="C81" s="89">
        <v>10.86</v>
      </c>
    </row>
    <row r="82" spans="1:3" x14ac:dyDescent="0.25">
      <c r="A82" s="88">
        <v>75</v>
      </c>
      <c r="B82" s="89">
        <v>10.27</v>
      </c>
      <c r="C82" s="89">
        <v>10.27</v>
      </c>
    </row>
  </sheetData>
  <sheetProtection algorithmName="SHA-512" hashValue="B6ox4uzUUV3R2x/JAMsZ37CuruXn+uJQrrzVuebclGmf5pAt4geS3dYiimfbJB6DxHtjTOLUJuv8ERUMK2prZQ==" saltValue="0SEtsWVr3v8/Fli2gZi7vQ==" spinCount="100000" sheet="1" objects="1" scenarios="1"/>
  <conditionalFormatting sqref="A6:A21">
    <cfRule type="expression" dxfId="47" priority="3" stopIfTrue="1">
      <formula>MOD(ROW(),2)=0</formula>
    </cfRule>
    <cfRule type="expression" dxfId="46" priority="4" stopIfTrue="1">
      <formula>MOD(ROW(),2)&lt;&gt;0</formula>
    </cfRule>
  </conditionalFormatting>
  <conditionalFormatting sqref="A26:A82">
    <cfRule type="expression" dxfId="45" priority="7" stopIfTrue="1">
      <formula>MOD(ROW(),2)=0</formula>
    </cfRule>
    <cfRule type="expression" dxfId="44" priority="8" stopIfTrue="1">
      <formula>MOD(ROW(),2)&lt;&gt;0</formula>
    </cfRule>
  </conditionalFormatting>
  <conditionalFormatting sqref="B17:B21">
    <cfRule type="expression" dxfId="43" priority="13" stopIfTrue="1">
      <formula>MOD(ROW(),2)=0</formula>
    </cfRule>
    <cfRule type="expression" dxfId="42" priority="14" stopIfTrue="1">
      <formula>MOD(ROW(),2)&lt;&gt;0</formula>
    </cfRule>
  </conditionalFormatting>
  <conditionalFormatting sqref="B6:C21">
    <cfRule type="expression" dxfId="41" priority="21" stopIfTrue="1">
      <formula>MOD(ROW(),2)=0</formula>
    </cfRule>
    <cfRule type="expression" dxfId="40" priority="22" stopIfTrue="1">
      <formula>MOD(ROW(),2)&lt;&gt;0</formula>
    </cfRule>
  </conditionalFormatting>
  <conditionalFormatting sqref="B26:C82">
    <cfRule type="expression" dxfId="39" priority="9" stopIfTrue="1">
      <formula>MOD(ROW(),2)=0</formula>
    </cfRule>
    <cfRule type="expression" dxfId="38"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dimension ref="A1:G68"/>
  <sheetViews>
    <sheetView showGridLines="0" zoomScale="85" zoomScaleNormal="85" workbookViewId="0">
      <selection activeCell="A4" sqref="A4"/>
    </sheetView>
  </sheetViews>
  <sheetFormatPr defaultColWidth="10" defaultRowHeight="13.2" x14ac:dyDescent="0.25"/>
  <cols>
    <col min="1" max="1" width="31.88671875" style="27" customWidth="1"/>
    <col min="2" max="4" width="22.88671875" style="27" customWidth="1"/>
    <col min="5"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Fire_S - Consolidated Factor Spreadsheet</v>
      </c>
      <c r="B2" s="42"/>
      <c r="C2" s="42"/>
      <c r="D2" s="42"/>
      <c r="E2" s="42"/>
      <c r="F2" s="42"/>
      <c r="G2" s="42"/>
    </row>
    <row r="3" spans="1:7" ht="15.6" x14ac:dyDescent="0.3">
      <c r="A3" s="43" t="str">
        <f>TABLE_FACTOR_TYPE_1&amp;" - x-"&amp;TABLE_SERIES_NUMBER_1</f>
        <v>CETV - x-201</v>
      </c>
      <c r="B3" s="42"/>
      <c r="C3" s="42"/>
      <c r="D3" s="42"/>
      <c r="E3" s="42"/>
      <c r="F3" s="42"/>
      <c r="G3" s="42"/>
    </row>
    <row r="4" spans="1:7" x14ac:dyDescent="0.25">
      <c r="A4" s="44"/>
    </row>
    <row r="6" spans="1:7" x14ac:dyDescent="0.25">
      <c r="A6" s="75" t="s">
        <v>484</v>
      </c>
      <c r="B6" s="162" t="s">
        <v>485</v>
      </c>
      <c r="C6" s="162"/>
      <c r="D6" s="162"/>
    </row>
    <row r="7" spans="1:7" x14ac:dyDescent="0.25">
      <c r="A7" s="76" t="s">
        <v>486</v>
      </c>
      <c r="B7" s="162" t="s">
        <v>81</v>
      </c>
      <c r="C7" s="162"/>
      <c r="D7" s="162"/>
    </row>
    <row r="8" spans="1:7" x14ac:dyDescent="0.25">
      <c r="A8" s="76" t="s">
        <v>282</v>
      </c>
      <c r="B8" s="162">
        <v>1992</v>
      </c>
      <c r="C8" s="162"/>
      <c r="D8" s="162"/>
    </row>
    <row r="9" spans="1:7" x14ac:dyDescent="0.25">
      <c r="A9" s="76" t="s">
        <v>283</v>
      </c>
      <c r="B9" s="162" t="s">
        <v>292</v>
      </c>
      <c r="C9" s="162"/>
      <c r="D9" s="162"/>
    </row>
    <row r="10" spans="1:7" x14ac:dyDescent="0.25">
      <c r="A10" s="76" t="s">
        <v>6</v>
      </c>
      <c r="B10" s="162" t="s">
        <v>293</v>
      </c>
      <c r="C10" s="162"/>
      <c r="D10" s="162"/>
    </row>
    <row r="11" spans="1:7" x14ac:dyDescent="0.25">
      <c r="A11" s="76" t="s">
        <v>284</v>
      </c>
      <c r="B11" s="162" t="s">
        <v>294</v>
      </c>
      <c r="C11" s="162"/>
      <c r="D11" s="162"/>
    </row>
    <row r="12" spans="1:7" x14ac:dyDescent="0.25">
      <c r="A12" s="76" t="s">
        <v>285</v>
      </c>
      <c r="B12" s="162" t="s">
        <v>295</v>
      </c>
      <c r="C12" s="162"/>
      <c r="D12" s="162"/>
    </row>
    <row r="13" spans="1:7" x14ac:dyDescent="0.25">
      <c r="A13" s="76" t="s">
        <v>493</v>
      </c>
      <c r="B13" s="162">
        <v>2</v>
      </c>
      <c r="C13" s="162"/>
      <c r="D13" s="162"/>
    </row>
    <row r="14" spans="1:7" x14ac:dyDescent="0.25">
      <c r="A14" s="76" t="s">
        <v>287</v>
      </c>
      <c r="B14" s="162">
        <v>201</v>
      </c>
      <c r="C14" s="162"/>
      <c r="D14" s="162"/>
    </row>
    <row r="15" spans="1:7" x14ac:dyDescent="0.25">
      <c r="A15" s="76" t="s">
        <v>496</v>
      </c>
      <c r="B15" s="162" t="s">
        <v>567</v>
      </c>
      <c r="C15" s="162"/>
      <c r="D15" s="162"/>
    </row>
    <row r="16" spans="1:7" x14ac:dyDescent="0.25">
      <c r="A16" s="76" t="s">
        <v>288</v>
      </c>
      <c r="B16" s="162" t="s">
        <v>296</v>
      </c>
      <c r="C16" s="162"/>
      <c r="D16" s="162"/>
    </row>
    <row r="17" spans="1:4" ht="36" customHeight="1" x14ac:dyDescent="0.25">
      <c r="A17" s="76" t="s">
        <v>568</v>
      </c>
      <c r="B17" s="162"/>
      <c r="C17" s="162"/>
      <c r="D17" s="162"/>
    </row>
    <row r="18" spans="1:4" x14ac:dyDescent="0.25">
      <c r="A18" s="76" t="s">
        <v>500</v>
      </c>
      <c r="B18" s="164">
        <v>45070</v>
      </c>
      <c r="C18" s="162"/>
      <c r="D18" s="162"/>
    </row>
    <row r="19" spans="1:4" x14ac:dyDescent="0.25">
      <c r="A19" s="76" t="s">
        <v>290</v>
      </c>
      <c r="B19" s="164">
        <v>45014</v>
      </c>
      <c r="C19" s="162"/>
      <c r="D19" s="162"/>
    </row>
    <row r="20" spans="1:4" x14ac:dyDescent="0.25">
      <c r="A20" s="76" t="s">
        <v>291</v>
      </c>
      <c r="B20" s="162" t="s">
        <v>298</v>
      </c>
      <c r="C20" s="162"/>
      <c r="D20" s="162"/>
    </row>
    <row r="21" spans="1:4" x14ac:dyDescent="0.25">
      <c r="A21" s="150" t="s">
        <v>569</v>
      </c>
      <c r="B21" s="162" t="s">
        <v>297</v>
      </c>
      <c r="C21" s="162"/>
      <c r="D21" s="162"/>
    </row>
    <row r="23" spans="1:4" x14ac:dyDescent="0.25">
      <c r="B23" s="91" t="str">
        <f>HYPERLINK("#'Factor List'!A1","Back to Factor List")</f>
        <v>Back to Factor List</v>
      </c>
    </row>
    <row r="24" spans="1:4" x14ac:dyDescent="0.25">
      <c r="B24" s="91" t="str">
        <f>HYPERLINK("#'Assumptions'!A1","Assumptions")</f>
        <v>Assumptions</v>
      </c>
    </row>
    <row r="26" spans="1:4" ht="39.6" x14ac:dyDescent="0.25">
      <c r="A26" s="87" t="s">
        <v>570</v>
      </c>
      <c r="B26" s="87" t="s">
        <v>571</v>
      </c>
      <c r="C26" s="87" t="s">
        <v>572</v>
      </c>
      <c r="D26" s="87" t="s">
        <v>573</v>
      </c>
    </row>
    <row r="27" spans="1:4" x14ac:dyDescent="0.25">
      <c r="A27" s="88">
        <v>18</v>
      </c>
      <c r="B27" s="89">
        <v>10.46</v>
      </c>
      <c r="C27" s="89">
        <v>2.48</v>
      </c>
      <c r="D27" s="89">
        <v>0</v>
      </c>
    </row>
    <row r="28" spans="1:4" x14ac:dyDescent="0.25">
      <c r="A28" s="88">
        <v>19</v>
      </c>
      <c r="B28" s="89">
        <v>10.61</v>
      </c>
      <c r="C28" s="89">
        <v>2.59</v>
      </c>
      <c r="D28" s="89">
        <v>0</v>
      </c>
    </row>
    <row r="29" spans="1:4" x14ac:dyDescent="0.25">
      <c r="A29" s="88">
        <v>20</v>
      </c>
      <c r="B29" s="89">
        <v>10.76</v>
      </c>
      <c r="C29" s="89">
        <v>2.63</v>
      </c>
      <c r="D29" s="89">
        <v>0</v>
      </c>
    </row>
    <row r="30" spans="1:4" x14ac:dyDescent="0.25">
      <c r="A30" s="88">
        <v>21</v>
      </c>
      <c r="B30" s="89">
        <v>10.91</v>
      </c>
      <c r="C30" s="89">
        <v>2.68</v>
      </c>
      <c r="D30" s="89">
        <v>0</v>
      </c>
    </row>
    <row r="31" spans="1:4" x14ac:dyDescent="0.25">
      <c r="A31" s="88">
        <v>22</v>
      </c>
      <c r="B31" s="89">
        <v>11.07</v>
      </c>
      <c r="C31" s="89">
        <v>2.72</v>
      </c>
      <c r="D31" s="89">
        <v>0</v>
      </c>
    </row>
    <row r="32" spans="1:4" x14ac:dyDescent="0.25">
      <c r="A32" s="88">
        <v>23</v>
      </c>
      <c r="B32" s="89">
        <v>11.23</v>
      </c>
      <c r="C32" s="89">
        <v>2.76</v>
      </c>
      <c r="D32" s="89">
        <v>0</v>
      </c>
    </row>
    <row r="33" spans="1:4" x14ac:dyDescent="0.25">
      <c r="A33" s="88">
        <v>24</v>
      </c>
      <c r="B33" s="89">
        <v>11.39</v>
      </c>
      <c r="C33" s="89">
        <v>2.81</v>
      </c>
      <c r="D33" s="89">
        <v>0</v>
      </c>
    </row>
    <row r="34" spans="1:4" x14ac:dyDescent="0.25">
      <c r="A34" s="88">
        <v>25</v>
      </c>
      <c r="B34" s="89">
        <v>11.55</v>
      </c>
      <c r="C34" s="89">
        <v>2.85</v>
      </c>
      <c r="D34" s="89">
        <v>0</v>
      </c>
    </row>
    <row r="35" spans="1:4" x14ac:dyDescent="0.25">
      <c r="A35" s="88">
        <v>26</v>
      </c>
      <c r="B35" s="89">
        <v>11.72</v>
      </c>
      <c r="C35" s="89">
        <v>2.89</v>
      </c>
      <c r="D35" s="89">
        <v>0</v>
      </c>
    </row>
    <row r="36" spans="1:4" x14ac:dyDescent="0.25">
      <c r="A36" s="88">
        <v>27</v>
      </c>
      <c r="B36" s="89">
        <v>11.89</v>
      </c>
      <c r="C36" s="89">
        <v>2.94</v>
      </c>
      <c r="D36" s="89">
        <v>0</v>
      </c>
    </row>
    <row r="37" spans="1:4" x14ac:dyDescent="0.25">
      <c r="A37" s="88">
        <v>28</v>
      </c>
      <c r="B37" s="89">
        <v>12.06</v>
      </c>
      <c r="C37" s="89">
        <v>2.98</v>
      </c>
      <c r="D37" s="89">
        <v>0</v>
      </c>
    </row>
    <row r="38" spans="1:4" x14ac:dyDescent="0.25">
      <c r="A38" s="88">
        <v>29</v>
      </c>
      <c r="B38" s="89">
        <v>12.23</v>
      </c>
      <c r="C38" s="89">
        <v>3.03</v>
      </c>
      <c r="D38" s="89">
        <v>0</v>
      </c>
    </row>
    <row r="39" spans="1:4" x14ac:dyDescent="0.25">
      <c r="A39" s="88">
        <v>30</v>
      </c>
      <c r="B39" s="89">
        <v>12.41</v>
      </c>
      <c r="C39" s="89">
        <v>3.07</v>
      </c>
      <c r="D39" s="89">
        <v>0</v>
      </c>
    </row>
    <row r="40" spans="1:4" x14ac:dyDescent="0.25">
      <c r="A40" s="88">
        <v>31</v>
      </c>
      <c r="B40" s="89">
        <v>12.59</v>
      </c>
      <c r="C40" s="89">
        <v>3.11</v>
      </c>
      <c r="D40" s="89">
        <v>0</v>
      </c>
    </row>
    <row r="41" spans="1:4" x14ac:dyDescent="0.25">
      <c r="A41" s="88">
        <v>32</v>
      </c>
      <c r="B41" s="89">
        <v>12.77</v>
      </c>
      <c r="C41" s="89">
        <v>3.15</v>
      </c>
      <c r="D41" s="89">
        <v>0</v>
      </c>
    </row>
    <row r="42" spans="1:4" x14ac:dyDescent="0.25">
      <c r="A42" s="88">
        <v>33</v>
      </c>
      <c r="B42" s="89">
        <v>12.96</v>
      </c>
      <c r="C42" s="89">
        <v>3.19</v>
      </c>
      <c r="D42" s="89">
        <v>0</v>
      </c>
    </row>
    <row r="43" spans="1:4" x14ac:dyDescent="0.25">
      <c r="A43" s="88">
        <v>34</v>
      </c>
      <c r="B43" s="89">
        <v>13.15</v>
      </c>
      <c r="C43" s="89">
        <v>3.23</v>
      </c>
      <c r="D43" s="89">
        <v>0</v>
      </c>
    </row>
    <row r="44" spans="1:4" x14ac:dyDescent="0.25">
      <c r="A44" s="88">
        <v>35</v>
      </c>
      <c r="B44" s="89">
        <v>13.34</v>
      </c>
      <c r="C44" s="89">
        <v>3.27</v>
      </c>
      <c r="D44" s="89">
        <v>0</v>
      </c>
    </row>
    <row r="45" spans="1:4" x14ac:dyDescent="0.25">
      <c r="A45" s="88">
        <v>36</v>
      </c>
      <c r="B45" s="89">
        <v>13.54</v>
      </c>
      <c r="C45" s="89">
        <v>3.31</v>
      </c>
      <c r="D45" s="89">
        <v>0</v>
      </c>
    </row>
    <row r="46" spans="1:4" x14ac:dyDescent="0.25">
      <c r="A46" s="88">
        <v>37</v>
      </c>
      <c r="B46" s="89">
        <v>13.74</v>
      </c>
      <c r="C46" s="89">
        <v>3.35</v>
      </c>
      <c r="D46" s="89">
        <v>0</v>
      </c>
    </row>
    <row r="47" spans="1:4" x14ac:dyDescent="0.25">
      <c r="A47" s="88">
        <v>38</v>
      </c>
      <c r="B47" s="89">
        <v>13.95</v>
      </c>
      <c r="C47" s="89">
        <v>3.39</v>
      </c>
      <c r="D47" s="89">
        <v>0</v>
      </c>
    </row>
    <row r="48" spans="1:4" x14ac:dyDescent="0.25">
      <c r="A48" s="88">
        <v>39</v>
      </c>
      <c r="B48" s="89">
        <v>14.16</v>
      </c>
      <c r="C48" s="89">
        <v>3.43</v>
      </c>
      <c r="D48" s="89">
        <v>0</v>
      </c>
    </row>
    <row r="49" spans="1:4" x14ac:dyDescent="0.25">
      <c r="A49" s="88">
        <v>40</v>
      </c>
      <c r="B49" s="89">
        <v>14.37</v>
      </c>
      <c r="C49" s="89">
        <v>3.47</v>
      </c>
      <c r="D49" s="89">
        <v>0</v>
      </c>
    </row>
    <row r="50" spans="1:4" x14ac:dyDescent="0.25">
      <c r="A50" s="88">
        <v>41</v>
      </c>
      <c r="B50" s="89">
        <v>14.59</v>
      </c>
      <c r="C50" s="89">
        <v>3.5</v>
      </c>
      <c r="D50" s="89">
        <v>0</v>
      </c>
    </row>
    <row r="51" spans="1:4" x14ac:dyDescent="0.25">
      <c r="A51" s="88">
        <v>42</v>
      </c>
      <c r="B51" s="89">
        <v>14.81</v>
      </c>
      <c r="C51" s="89">
        <v>3.54</v>
      </c>
      <c r="D51" s="89">
        <v>0</v>
      </c>
    </row>
    <row r="52" spans="1:4" x14ac:dyDescent="0.25">
      <c r="A52" s="88">
        <v>43</v>
      </c>
      <c r="B52" s="89">
        <v>15.04</v>
      </c>
      <c r="C52" s="89">
        <v>3.57</v>
      </c>
      <c r="D52" s="89">
        <v>0</v>
      </c>
    </row>
    <row r="53" spans="1:4" x14ac:dyDescent="0.25">
      <c r="A53" s="88">
        <v>44</v>
      </c>
      <c r="B53" s="89">
        <v>15.28</v>
      </c>
      <c r="C53" s="89">
        <v>3.6</v>
      </c>
      <c r="D53" s="89">
        <v>0</v>
      </c>
    </row>
    <row r="54" spans="1:4" x14ac:dyDescent="0.25">
      <c r="A54" s="88">
        <v>45</v>
      </c>
      <c r="B54" s="89">
        <v>15.52</v>
      </c>
      <c r="C54" s="89">
        <v>3.63</v>
      </c>
      <c r="D54" s="89">
        <v>0</v>
      </c>
    </row>
    <row r="55" spans="1:4" x14ac:dyDescent="0.25">
      <c r="A55" s="88">
        <v>46</v>
      </c>
      <c r="B55" s="89">
        <v>15.76</v>
      </c>
      <c r="C55" s="89">
        <v>3.66</v>
      </c>
      <c r="D55" s="89">
        <v>0</v>
      </c>
    </row>
    <row r="56" spans="1:4" x14ac:dyDescent="0.25">
      <c r="A56" s="88">
        <v>47</v>
      </c>
      <c r="B56" s="89">
        <v>16.02</v>
      </c>
      <c r="C56" s="89">
        <v>3.69</v>
      </c>
      <c r="D56" s="89">
        <v>0</v>
      </c>
    </row>
    <row r="57" spans="1:4" x14ac:dyDescent="0.25">
      <c r="A57" s="88">
        <v>48</v>
      </c>
      <c r="B57" s="89">
        <v>16.27</v>
      </c>
      <c r="C57" s="89">
        <v>3.71</v>
      </c>
      <c r="D57" s="89">
        <v>0</v>
      </c>
    </row>
    <row r="58" spans="1:4" x14ac:dyDescent="0.25">
      <c r="A58" s="88">
        <v>49</v>
      </c>
      <c r="B58" s="89">
        <v>16.54</v>
      </c>
      <c r="C58" s="89">
        <v>3.74</v>
      </c>
      <c r="D58" s="89">
        <v>0</v>
      </c>
    </row>
    <row r="59" spans="1:4" x14ac:dyDescent="0.25">
      <c r="A59" s="88">
        <v>50</v>
      </c>
      <c r="B59" s="89">
        <v>16.809999999999999</v>
      </c>
      <c r="C59" s="89">
        <v>3.76</v>
      </c>
      <c r="D59" s="89">
        <v>0</v>
      </c>
    </row>
    <row r="60" spans="1:4" x14ac:dyDescent="0.25">
      <c r="A60" s="88">
        <v>51</v>
      </c>
      <c r="B60" s="89">
        <v>17.100000000000001</v>
      </c>
      <c r="C60" s="89">
        <v>3.78</v>
      </c>
      <c r="D60" s="89">
        <v>0</v>
      </c>
    </row>
    <row r="61" spans="1:4" x14ac:dyDescent="0.25">
      <c r="A61" s="88">
        <v>52</v>
      </c>
      <c r="B61" s="89">
        <v>17.38</v>
      </c>
      <c r="C61" s="89">
        <v>3.8</v>
      </c>
      <c r="D61" s="89">
        <v>0</v>
      </c>
    </row>
    <row r="62" spans="1:4" x14ac:dyDescent="0.25">
      <c r="A62" s="88">
        <v>53</v>
      </c>
      <c r="B62" s="89">
        <v>17.68</v>
      </c>
      <c r="C62" s="89">
        <v>3.81</v>
      </c>
      <c r="D62" s="89">
        <v>0</v>
      </c>
    </row>
    <row r="63" spans="1:4" x14ac:dyDescent="0.25">
      <c r="A63" s="88">
        <v>54</v>
      </c>
      <c r="B63" s="89">
        <v>17.989999999999998</v>
      </c>
      <c r="C63" s="89">
        <v>3.83</v>
      </c>
      <c r="D63" s="89">
        <v>0</v>
      </c>
    </row>
    <row r="64" spans="1:4" x14ac:dyDescent="0.25">
      <c r="A64" s="88">
        <v>55</v>
      </c>
      <c r="B64" s="89">
        <v>18.309999999999999</v>
      </c>
      <c r="C64" s="89">
        <v>3.84</v>
      </c>
      <c r="D64" s="89">
        <v>0</v>
      </c>
    </row>
    <row r="65" spans="1:4" x14ac:dyDescent="0.25">
      <c r="A65" s="88">
        <v>56</v>
      </c>
      <c r="B65" s="89">
        <v>18.64</v>
      </c>
      <c r="C65" s="89">
        <v>3.85</v>
      </c>
      <c r="D65" s="89">
        <v>0</v>
      </c>
    </row>
    <row r="66" spans="1:4" x14ac:dyDescent="0.25">
      <c r="A66" s="88">
        <v>57</v>
      </c>
      <c r="B66" s="89">
        <v>18.98</v>
      </c>
      <c r="C66" s="89">
        <v>3.86</v>
      </c>
      <c r="D66" s="89">
        <v>0</v>
      </c>
    </row>
    <row r="67" spans="1:4" x14ac:dyDescent="0.25">
      <c r="A67" s="88">
        <v>58</v>
      </c>
      <c r="B67" s="89">
        <v>19.329999999999998</v>
      </c>
      <c r="C67" s="89">
        <v>3.86</v>
      </c>
      <c r="D67" s="89">
        <v>0</v>
      </c>
    </row>
    <row r="68" spans="1:4" x14ac:dyDescent="0.25">
      <c r="A68" s="88">
        <v>59</v>
      </c>
      <c r="B68" s="89">
        <v>19.7</v>
      </c>
      <c r="C68" s="89">
        <v>3.87</v>
      </c>
      <c r="D68" s="89">
        <v>0</v>
      </c>
    </row>
  </sheetData>
  <sheetProtection algorithmName="SHA-512" hashValue="iXuUst4fC2aRDFTG+4voalCW9RxTkuMjnWFeTyoNBiWJSo+1sOkbdMIMMpPMlW5fsNwZqqksvNnmyGKvgVDO0g==" saltValue="aqqAPYVmyevLXDUq4DZY1w==" spinCount="100000" sheet="1" objects="1" scenarios="1"/>
  <conditionalFormatting sqref="A6:A21">
    <cfRule type="expression" dxfId="815" priority="3" stopIfTrue="1">
      <formula>MOD(ROW(),2)=0</formula>
    </cfRule>
    <cfRule type="expression" dxfId="814" priority="4" stopIfTrue="1">
      <formula>MOD(ROW(),2)&lt;&gt;0</formula>
    </cfRule>
  </conditionalFormatting>
  <conditionalFormatting sqref="A26:A68">
    <cfRule type="expression" dxfId="813" priority="11" stopIfTrue="1">
      <formula>MOD(ROW(),2)=0</formula>
    </cfRule>
    <cfRule type="expression" dxfId="812" priority="12" stopIfTrue="1">
      <formula>MOD(ROW(),2)&lt;&gt;0</formula>
    </cfRule>
  </conditionalFormatting>
  <conditionalFormatting sqref="B21">
    <cfRule type="expression" dxfId="811" priority="1" stopIfTrue="1">
      <formula>MOD(ROW(),2)=0</formula>
    </cfRule>
    <cfRule type="expression" dxfId="810" priority="2" stopIfTrue="1">
      <formula>MOD(ROW(),2)&lt;&gt;0</formula>
    </cfRule>
  </conditionalFormatting>
  <conditionalFormatting sqref="B6:D21">
    <cfRule type="expression" dxfId="809" priority="21" stopIfTrue="1">
      <formula>MOD(ROW(),2)=0</formula>
    </cfRule>
    <cfRule type="expression" dxfId="808" priority="22" stopIfTrue="1">
      <formula>MOD(ROW(),2)&lt;&gt;0</formula>
    </cfRule>
  </conditionalFormatting>
  <conditionalFormatting sqref="B26:D68">
    <cfRule type="expression" dxfId="807" priority="13" stopIfTrue="1">
      <formula>MOD(ROW(),2)=0</formula>
    </cfRule>
    <cfRule type="expression" dxfId="806" priority="14" stopIfTrue="1">
      <formula>MOD(ROW(),2)&lt;&gt;0</formula>
    </cfRule>
  </conditionalFormatting>
  <conditionalFormatting sqref="C17:D17">
    <cfRule type="expression" dxfId="805" priority="9" stopIfTrue="1">
      <formula>MOD(ROW(),2)=0</formula>
    </cfRule>
    <cfRule type="expression" dxfId="804"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89"/>
  <dimension ref="A1:I65"/>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Scheme pays LTA - x-626</v>
      </c>
      <c r="B3" s="42"/>
      <c r="C3" s="42"/>
      <c r="D3" s="42"/>
      <c r="E3" s="42"/>
      <c r="F3" s="42"/>
      <c r="G3" s="42"/>
      <c r="H3" s="42"/>
      <c r="I3" s="42"/>
    </row>
    <row r="4" spans="1:9" x14ac:dyDescent="0.25">
      <c r="A4" s="44"/>
    </row>
    <row r="6" spans="1:9" x14ac:dyDescent="0.25">
      <c r="A6" s="75" t="s">
        <v>484</v>
      </c>
      <c r="B6" s="161" t="s">
        <v>485</v>
      </c>
      <c r="C6" s="77"/>
    </row>
    <row r="7" spans="1:9" x14ac:dyDescent="0.25">
      <c r="A7" s="76" t="s">
        <v>486</v>
      </c>
      <c r="B7" s="162" t="s">
        <v>81</v>
      </c>
      <c r="C7" s="78"/>
    </row>
    <row r="8" spans="1:9" x14ac:dyDescent="0.25">
      <c r="A8" s="76" t="s">
        <v>282</v>
      </c>
      <c r="B8" s="162">
        <v>2015</v>
      </c>
      <c r="C8" s="78"/>
    </row>
    <row r="9" spans="1:9" x14ac:dyDescent="0.25">
      <c r="A9" s="76" t="s">
        <v>283</v>
      </c>
      <c r="B9" s="162" t="s">
        <v>472</v>
      </c>
      <c r="C9" s="78"/>
    </row>
    <row r="10" spans="1:9" x14ac:dyDescent="0.25">
      <c r="A10" s="76" t="s">
        <v>6</v>
      </c>
      <c r="B10" s="162" t="s">
        <v>473</v>
      </c>
      <c r="C10" s="78"/>
    </row>
    <row r="11" spans="1:9" x14ac:dyDescent="0.25">
      <c r="A11" s="76" t="s">
        <v>284</v>
      </c>
      <c r="B11" s="162" t="s">
        <v>474</v>
      </c>
      <c r="C11" s="78"/>
    </row>
    <row r="12" spans="1:9" x14ac:dyDescent="0.25">
      <c r="A12" s="76" t="s">
        <v>285</v>
      </c>
      <c r="B12" s="162" t="s">
        <v>433</v>
      </c>
      <c r="C12" s="78"/>
    </row>
    <row r="13" spans="1:9" hidden="1" x14ac:dyDescent="0.25">
      <c r="A13" s="76" t="s">
        <v>493</v>
      </c>
      <c r="B13" s="162">
        <v>0</v>
      </c>
      <c r="C13" s="78"/>
    </row>
    <row r="14" spans="1:9" hidden="1" x14ac:dyDescent="0.25">
      <c r="A14" s="76" t="s">
        <v>287</v>
      </c>
      <c r="B14" s="162">
        <v>626</v>
      </c>
      <c r="C14" s="78"/>
    </row>
    <row r="15" spans="1:9" x14ac:dyDescent="0.25">
      <c r="A15" s="76" t="s">
        <v>496</v>
      </c>
      <c r="B15" s="162" t="s">
        <v>475</v>
      </c>
      <c r="C15" s="78"/>
    </row>
    <row r="16" spans="1:9" x14ac:dyDescent="0.25">
      <c r="A16" s="76" t="s">
        <v>288</v>
      </c>
      <c r="B16" s="162" t="s">
        <v>384</v>
      </c>
      <c r="C16" s="78"/>
    </row>
    <row r="17" spans="1:3" x14ac:dyDescent="0.25">
      <c r="A17" s="76" t="s">
        <v>568</v>
      </c>
      <c r="B17" s="163"/>
      <c r="C17" s="78"/>
    </row>
    <row r="18" spans="1:3" x14ac:dyDescent="0.25">
      <c r="A18" s="76" t="s">
        <v>500</v>
      </c>
      <c r="B18" s="166">
        <v>45135</v>
      </c>
      <c r="C18" s="78"/>
    </row>
    <row r="19" spans="1:3" x14ac:dyDescent="0.25">
      <c r="A19" s="76" t="s">
        <v>290</v>
      </c>
      <c r="B19" s="166">
        <v>45135</v>
      </c>
      <c r="C19" s="78"/>
    </row>
    <row r="20" spans="1:3" x14ac:dyDescent="0.25">
      <c r="A20" s="76" t="s">
        <v>291</v>
      </c>
      <c r="B20" s="163" t="s">
        <v>435</v>
      </c>
      <c r="C20" s="78"/>
    </row>
    <row r="21" spans="1:3" x14ac:dyDescent="0.25">
      <c r="A21" s="150" t="s">
        <v>569</v>
      </c>
      <c r="B21" s="163" t="s">
        <v>297</v>
      </c>
      <c r="C21" s="78"/>
    </row>
    <row r="23" spans="1:3" x14ac:dyDescent="0.25">
      <c r="B23" s="91" t="str">
        <f>HYPERLINK("#'Factor List'!A1","Back to Factor List")</f>
        <v>Back to Factor List</v>
      </c>
    </row>
    <row r="24" spans="1:3" x14ac:dyDescent="0.25">
      <c r="B24" s="91" t="str">
        <f>HYPERLINK("#'Assumptions'!A1","Assumptions")</f>
        <v>Assumptions</v>
      </c>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2+70PpDftcpc639WIVVg9mLUUp0Ep+oVAiUGIGyACmuw4NGRdH3Qfha6gbkOw527FwB9jh+QB1Y0qwYsI8yIrg==" saltValue="PZZQOaAyMXQG61wWHpgFIw==" spinCount="100000" sheet="1" objects="1" scenarios="1"/>
  <conditionalFormatting sqref="A6:A21">
    <cfRule type="expression" dxfId="37" priority="3" stopIfTrue="1">
      <formula>MOD(ROW(),2)=0</formula>
    </cfRule>
    <cfRule type="expression" dxfId="36" priority="4" stopIfTrue="1">
      <formula>MOD(ROW(),2)&lt;&gt;0</formula>
    </cfRule>
  </conditionalFormatting>
  <conditionalFormatting sqref="B6:C21">
    <cfRule type="expression" dxfId="35" priority="13" stopIfTrue="1">
      <formula>MOD(ROW(),2)=0</formula>
    </cfRule>
    <cfRule type="expression" dxfId="34"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0"/>
  <dimension ref="A1:I24"/>
  <sheetViews>
    <sheetView showGridLines="0" zoomScale="85" zoomScaleNormal="85" workbookViewId="0">
      <selection activeCell="A4" sqref="A4"/>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Consolidated Factor Spreadsheet</v>
      </c>
      <c r="B2" s="42"/>
      <c r="C2" s="42"/>
      <c r="D2" s="42"/>
      <c r="E2" s="42"/>
      <c r="F2" s="42"/>
      <c r="G2" s="42"/>
      <c r="H2" s="42"/>
      <c r="I2" s="42"/>
    </row>
    <row r="3" spans="1:9" ht="15.6" x14ac:dyDescent="0.3">
      <c r="A3" s="43" t="str">
        <f>TABLE_FACTOR_TYPE_1&amp;" - x-"&amp;TABLE_SERIES_NUMBER_1</f>
        <v>Scheme pays LTA - x-627</v>
      </c>
      <c r="B3" s="42"/>
      <c r="C3" s="42"/>
      <c r="D3" s="42"/>
      <c r="E3" s="42"/>
      <c r="F3" s="42"/>
      <c r="G3" s="42"/>
      <c r="H3" s="42"/>
      <c r="I3" s="42"/>
    </row>
    <row r="4" spans="1:9" x14ac:dyDescent="0.25">
      <c r="A4" s="44"/>
    </row>
    <row r="6" spans="1:9" x14ac:dyDescent="0.25">
      <c r="A6" s="75" t="s">
        <v>484</v>
      </c>
      <c r="B6" s="161" t="s">
        <v>485</v>
      </c>
      <c r="C6" s="77"/>
    </row>
    <row r="7" spans="1:9" x14ac:dyDescent="0.25">
      <c r="A7" s="76" t="s">
        <v>486</v>
      </c>
      <c r="B7" s="162" t="s">
        <v>81</v>
      </c>
      <c r="C7" s="78"/>
    </row>
    <row r="8" spans="1:9" x14ac:dyDescent="0.25">
      <c r="A8" s="76" t="s">
        <v>282</v>
      </c>
      <c r="B8" s="162">
        <v>2015</v>
      </c>
      <c r="C8" s="78"/>
    </row>
    <row r="9" spans="1:9" x14ac:dyDescent="0.25">
      <c r="A9" s="76" t="s">
        <v>283</v>
      </c>
      <c r="B9" s="162" t="s">
        <v>472</v>
      </c>
      <c r="C9" s="78"/>
    </row>
    <row r="10" spans="1:9" x14ac:dyDescent="0.25">
      <c r="A10" s="76" t="s">
        <v>6</v>
      </c>
      <c r="B10" s="162" t="s">
        <v>476</v>
      </c>
      <c r="C10" s="78"/>
    </row>
    <row r="11" spans="1:9" x14ac:dyDescent="0.25">
      <c r="A11" s="76" t="s">
        <v>284</v>
      </c>
      <c r="B11" s="162" t="s">
        <v>474</v>
      </c>
      <c r="C11" s="78"/>
    </row>
    <row r="12" spans="1:9" x14ac:dyDescent="0.25">
      <c r="A12" s="76" t="s">
        <v>285</v>
      </c>
      <c r="B12" s="162" t="s">
        <v>295</v>
      </c>
      <c r="C12" s="78"/>
    </row>
    <row r="13" spans="1:9" hidden="1" x14ac:dyDescent="0.25">
      <c r="A13" s="76" t="s">
        <v>493</v>
      </c>
      <c r="B13" s="162">
        <v>0</v>
      </c>
      <c r="C13" s="78"/>
    </row>
    <row r="14" spans="1:9" hidden="1" x14ac:dyDescent="0.25">
      <c r="A14" s="76" t="s">
        <v>287</v>
      </c>
      <c r="B14" s="162">
        <v>627</v>
      </c>
      <c r="C14" s="78"/>
    </row>
    <row r="15" spans="1:9" x14ac:dyDescent="0.25">
      <c r="A15" s="76" t="s">
        <v>496</v>
      </c>
      <c r="B15" s="162" t="s">
        <v>477</v>
      </c>
      <c r="C15" s="78"/>
    </row>
    <row r="16" spans="1:9" x14ac:dyDescent="0.25">
      <c r="A16" s="76" t="s">
        <v>288</v>
      </c>
      <c r="B16" s="162" t="s">
        <v>393</v>
      </c>
      <c r="C16" s="78"/>
    </row>
    <row r="17" spans="1:3" x14ac:dyDescent="0.25">
      <c r="A17" s="76" t="s">
        <v>568</v>
      </c>
      <c r="B17" s="163"/>
      <c r="C17" s="78"/>
    </row>
    <row r="18" spans="1:3" x14ac:dyDescent="0.25">
      <c r="A18" s="76" t="s">
        <v>500</v>
      </c>
      <c r="B18" s="166">
        <v>45135</v>
      </c>
      <c r="C18" s="78"/>
    </row>
    <row r="19" spans="1:3" x14ac:dyDescent="0.25">
      <c r="A19" s="76" t="s">
        <v>290</v>
      </c>
      <c r="B19" s="166">
        <v>45135</v>
      </c>
      <c r="C19" s="78"/>
    </row>
    <row r="20" spans="1:3" x14ac:dyDescent="0.25">
      <c r="A20" s="76" t="s">
        <v>291</v>
      </c>
      <c r="B20" s="163" t="s">
        <v>435</v>
      </c>
      <c r="C20" s="78"/>
    </row>
    <row r="21" spans="1:3" x14ac:dyDescent="0.25">
      <c r="A21" s="150" t="s">
        <v>569</v>
      </c>
      <c r="B21" s="163" t="s">
        <v>297</v>
      </c>
      <c r="C21" s="78"/>
    </row>
    <row r="23" spans="1:3" x14ac:dyDescent="0.25">
      <c r="B23" s="91" t="str">
        <f>HYPERLINK("#'Factor List'!A1","Back to Factor List")</f>
        <v>Back to Factor List</v>
      </c>
    </row>
    <row r="24" spans="1:3" x14ac:dyDescent="0.25">
      <c r="B24" s="91" t="str">
        <f>HYPERLINK("#'Assumptions'!A1","Assumptions")</f>
        <v>Assumptions</v>
      </c>
    </row>
  </sheetData>
  <sheetProtection algorithmName="SHA-512" hashValue="Ath7A4qb5b7rWjdvWU392vWW1bSqA829t1USkbfvcv0mv7gAYIeWvYiGn1S8hAz88HHXMqd6JZLemWaTar+bgw==" saltValue="QW8xGfAKsQ9TDvbPfscfQw==" spinCount="100000" sheet="1" objects="1" scenarios="1"/>
  <conditionalFormatting sqref="A6:A21">
    <cfRule type="expression" dxfId="33" priority="3" stopIfTrue="1">
      <formula>MOD(ROW(),2)=0</formula>
    </cfRule>
    <cfRule type="expression" dxfId="32" priority="4" stopIfTrue="1">
      <formula>MOD(ROW(),2)&lt;&gt;0</formula>
    </cfRule>
  </conditionalFormatting>
  <conditionalFormatting sqref="B6:C21">
    <cfRule type="expression" dxfId="31" priority="13" stopIfTrue="1">
      <formula>MOD(ROW(),2)=0</formula>
    </cfRule>
    <cfRule type="expression" dxfId="30"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56"/>
  <dimension ref="A1:I68"/>
  <sheetViews>
    <sheetView showGridLines="0" zoomScale="85" zoomScaleNormal="85" workbookViewId="0">
      <selection activeCell="F17" sqref="F17"/>
    </sheetView>
  </sheetViews>
  <sheetFormatPr defaultColWidth="10" defaultRowHeight="13.2" x14ac:dyDescent="0.25"/>
  <cols>
    <col min="1" max="1" width="31.88671875" style="27" customWidth="1"/>
    <col min="2" max="2" width="27.44140625" style="27" customWidth="1"/>
    <col min="3" max="3" width="10.109375" style="27" customWidth="1"/>
    <col min="4" max="4" width="10" style="27" customWidth="1"/>
    <col min="5" max="5" width="28.109375" style="27" customWidth="1"/>
    <col min="6" max="6" width="29.88671875" style="27" customWidth="1"/>
    <col min="7"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Added Pension &amp; CPD Factors</v>
      </c>
      <c r="B2" s="42"/>
      <c r="C2" s="42"/>
      <c r="D2" s="42"/>
      <c r="E2" s="42"/>
      <c r="F2" s="42"/>
      <c r="G2" s="42"/>
      <c r="H2" s="42"/>
      <c r="I2" s="42"/>
    </row>
    <row r="3" spans="1:9" ht="15.6" x14ac:dyDescent="0.3">
      <c r="A3" s="43" t="str">
        <f>TABLE_FACTOR_TYPE_1&amp;" - x-"&amp;TABLE_SERIES_NUMBER_1</f>
        <v>Added pension - x-701A</v>
      </c>
      <c r="B3" s="42"/>
      <c r="C3" s="42"/>
      <c r="D3" s="42"/>
      <c r="E3" s="42"/>
      <c r="F3" s="42"/>
      <c r="G3" s="42"/>
      <c r="H3" s="42"/>
      <c r="I3" s="42"/>
    </row>
    <row r="4" spans="1:9" x14ac:dyDescent="0.25">
      <c r="A4" s="44"/>
    </row>
    <row r="6" spans="1:9" x14ac:dyDescent="0.25">
      <c r="A6" s="75" t="s">
        <v>484</v>
      </c>
      <c r="B6" s="162" t="s">
        <v>485</v>
      </c>
      <c r="E6" s="75" t="s">
        <v>484</v>
      </c>
      <c r="F6" s="162" t="s">
        <v>485</v>
      </c>
    </row>
    <row r="7" spans="1:9" x14ac:dyDescent="0.25">
      <c r="A7" s="76" t="s">
        <v>486</v>
      </c>
      <c r="B7" s="162" t="s">
        <v>81</v>
      </c>
      <c r="E7" s="76" t="s">
        <v>486</v>
      </c>
      <c r="F7" s="162" t="s">
        <v>81</v>
      </c>
    </row>
    <row r="8" spans="1:9" x14ac:dyDescent="0.25">
      <c r="A8" s="76" t="s">
        <v>282</v>
      </c>
      <c r="B8" s="162">
        <v>2015</v>
      </c>
      <c r="E8" s="76" t="s">
        <v>282</v>
      </c>
      <c r="F8" s="162">
        <v>2015</v>
      </c>
    </row>
    <row r="9" spans="1:9" x14ac:dyDescent="0.25">
      <c r="A9" s="76" t="s">
        <v>283</v>
      </c>
      <c r="B9" s="162" t="s">
        <v>478</v>
      </c>
      <c r="E9" s="76" t="s">
        <v>283</v>
      </c>
      <c r="F9" s="162" t="s">
        <v>478</v>
      </c>
    </row>
    <row r="10" spans="1:9" x14ac:dyDescent="0.25">
      <c r="A10" s="76" t="s">
        <v>6</v>
      </c>
      <c r="B10" s="162" t="s">
        <v>479</v>
      </c>
      <c r="E10" s="76" t="s">
        <v>6</v>
      </c>
      <c r="F10" s="162" t="s">
        <v>479</v>
      </c>
    </row>
    <row r="11" spans="1:9" x14ac:dyDescent="0.25">
      <c r="A11" s="76" t="s">
        <v>284</v>
      </c>
      <c r="B11" s="162" t="s">
        <v>349</v>
      </c>
      <c r="E11" s="76" t="s">
        <v>284</v>
      </c>
      <c r="F11" s="162" t="s">
        <v>349</v>
      </c>
    </row>
    <row r="12" spans="1:9" x14ac:dyDescent="0.25">
      <c r="A12" s="76" t="s">
        <v>285</v>
      </c>
      <c r="B12" s="162" t="s">
        <v>480</v>
      </c>
      <c r="E12" s="76" t="s">
        <v>285</v>
      </c>
      <c r="F12" s="162" t="s">
        <v>480</v>
      </c>
    </row>
    <row r="13" spans="1:9" x14ac:dyDescent="0.25">
      <c r="A13" s="76" t="s">
        <v>493</v>
      </c>
      <c r="B13" s="162">
        <v>0</v>
      </c>
      <c r="E13" s="76" t="s">
        <v>493</v>
      </c>
      <c r="F13" s="162">
        <v>0</v>
      </c>
    </row>
    <row r="14" spans="1:9" x14ac:dyDescent="0.25">
      <c r="A14" s="76" t="s">
        <v>287</v>
      </c>
      <c r="B14" s="162" t="s">
        <v>641</v>
      </c>
      <c r="E14" s="76" t="s">
        <v>287</v>
      </c>
      <c r="F14" s="162" t="s">
        <v>642</v>
      </c>
    </row>
    <row r="15" spans="1:9" x14ac:dyDescent="0.25">
      <c r="A15" s="76" t="s">
        <v>496</v>
      </c>
      <c r="B15" s="162" t="s">
        <v>643</v>
      </c>
      <c r="E15" s="76" t="s">
        <v>496</v>
      </c>
      <c r="F15" s="162" t="s">
        <v>644</v>
      </c>
    </row>
    <row r="16" spans="1:9" x14ac:dyDescent="0.25">
      <c r="A16" s="76" t="s">
        <v>288</v>
      </c>
      <c r="B16" s="162" t="s">
        <v>402</v>
      </c>
      <c r="E16" s="76" t="s">
        <v>288</v>
      </c>
      <c r="F16" s="162" t="s">
        <v>402</v>
      </c>
    </row>
    <row r="17" spans="1:6" ht="74.099999999999994" customHeight="1" x14ac:dyDescent="0.25">
      <c r="A17" s="165" t="s">
        <v>568</v>
      </c>
      <c r="B17" s="162"/>
      <c r="E17" s="165" t="s">
        <v>568</v>
      </c>
      <c r="F17" s="162"/>
    </row>
    <row r="18" spans="1:6" x14ac:dyDescent="0.25">
      <c r="A18" s="165" t="s">
        <v>500</v>
      </c>
      <c r="B18" s="164">
        <v>45196</v>
      </c>
      <c r="E18" s="165" t="s">
        <v>500</v>
      </c>
      <c r="F18" s="164">
        <v>45196</v>
      </c>
    </row>
    <row r="19" spans="1:6" ht="26.4" x14ac:dyDescent="0.25">
      <c r="A19" s="165" t="s">
        <v>290</v>
      </c>
      <c r="B19" s="164">
        <v>45383</v>
      </c>
      <c r="E19" s="165" t="s">
        <v>290</v>
      </c>
      <c r="F19" s="164">
        <v>45383</v>
      </c>
    </row>
    <row r="20" spans="1:6" x14ac:dyDescent="0.25">
      <c r="A20" s="165" t="s">
        <v>291</v>
      </c>
      <c r="B20" s="162" t="s">
        <v>298</v>
      </c>
      <c r="E20" s="165" t="s">
        <v>291</v>
      </c>
      <c r="F20" s="162" t="s">
        <v>298</v>
      </c>
    </row>
    <row r="21" spans="1:6" x14ac:dyDescent="0.25">
      <c r="A21" s="150" t="s">
        <v>569</v>
      </c>
      <c r="B21" s="162" t="s">
        <v>297</v>
      </c>
      <c r="E21" s="150" t="s">
        <v>569</v>
      </c>
      <c r="F21" s="162" t="s">
        <v>297</v>
      </c>
    </row>
    <row r="23" spans="1:6" x14ac:dyDescent="0.25">
      <c r="B23" s="91" t="str">
        <f>HYPERLINK("#'Factor List'!A1","Back to Factor List")</f>
        <v>Back to Factor List</v>
      </c>
    </row>
    <row r="24" spans="1:6" x14ac:dyDescent="0.25">
      <c r="B24" s="91" t="str">
        <f>HYPERLINK("#'Assumptions'!A1","Assumptions")</f>
        <v>Assumptions</v>
      </c>
    </row>
    <row r="26" spans="1:6" x14ac:dyDescent="0.25">
      <c r="A26" s="72" t="s">
        <v>570</v>
      </c>
      <c r="B26" s="72" t="s">
        <v>645</v>
      </c>
      <c r="E26" s="85" t="s">
        <v>628</v>
      </c>
      <c r="F26" s="85" t="s">
        <v>629</v>
      </c>
    </row>
    <row r="27" spans="1:6" x14ac:dyDescent="0.25">
      <c r="A27" s="73">
        <v>18</v>
      </c>
      <c r="B27" s="74">
        <v>5.45</v>
      </c>
      <c r="E27" s="150" t="s">
        <v>646</v>
      </c>
      <c r="F27" s="154">
        <v>1.02</v>
      </c>
    </row>
    <row r="28" spans="1:6" x14ac:dyDescent="0.25">
      <c r="A28" s="73">
        <v>19</v>
      </c>
      <c r="B28" s="74">
        <v>5.66</v>
      </c>
    </row>
    <row r="29" spans="1:6" x14ac:dyDescent="0.25">
      <c r="A29" s="73">
        <v>20</v>
      </c>
      <c r="B29" s="74">
        <v>5.86</v>
      </c>
    </row>
    <row r="30" spans="1:6" x14ac:dyDescent="0.25">
      <c r="A30" s="73">
        <v>21</v>
      </c>
      <c r="B30" s="74">
        <v>6.07</v>
      </c>
    </row>
    <row r="31" spans="1:6" x14ac:dyDescent="0.25">
      <c r="A31" s="73">
        <v>22</v>
      </c>
      <c r="B31" s="74">
        <v>6.28</v>
      </c>
    </row>
    <row r="32" spans="1:6" x14ac:dyDescent="0.25">
      <c r="A32" s="73">
        <v>23</v>
      </c>
      <c r="B32" s="74">
        <v>6.5</v>
      </c>
    </row>
    <row r="33" spans="1:2" x14ac:dyDescent="0.25">
      <c r="A33" s="73">
        <v>24</v>
      </c>
      <c r="B33" s="74">
        <v>6.72</v>
      </c>
    </row>
    <row r="34" spans="1:2" x14ac:dyDescent="0.25">
      <c r="A34" s="73">
        <v>25</v>
      </c>
      <c r="B34" s="74">
        <v>6.96</v>
      </c>
    </row>
    <row r="35" spans="1:2" x14ac:dyDescent="0.25">
      <c r="A35" s="73">
        <v>26</v>
      </c>
      <c r="B35" s="74">
        <v>7.2</v>
      </c>
    </row>
    <row r="36" spans="1:2" x14ac:dyDescent="0.25">
      <c r="A36" s="73">
        <v>27</v>
      </c>
      <c r="B36" s="74">
        <v>7.45</v>
      </c>
    </row>
    <row r="37" spans="1:2" x14ac:dyDescent="0.25">
      <c r="A37" s="73">
        <v>28</v>
      </c>
      <c r="B37" s="74">
        <v>7.71</v>
      </c>
    </row>
    <row r="38" spans="1:2" x14ac:dyDescent="0.25">
      <c r="A38" s="73">
        <v>29</v>
      </c>
      <c r="B38" s="74">
        <v>7.98</v>
      </c>
    </row>
    <row r="39" spans="1:2" x14ac:dyDescent="0.25">
      <c r="A39" s="73">
        <v>30</v>
      </c>
      <c r="B39" s="74">
        <v>8.26</v>
      </c>
    </row>
    <row r="40" spans="1:2" x14ac:dyDescent="0.25">
      <c r="A40" s="73">
        <v>31</v>
      </c>
      <c r="B40" s="74">
        <v>8.5399999999999991</v>
      </c>
    </row>
    <row r="41" spans="1:2" x14ac:dyDescent="0.25">
      <c r="A41" s="73">
        <v>32</v>
      </c>
      <c r="B41" s="74">
        <v>8.84</v>
      </c>
    </row>
    <row r="42" spans="1:2" x14ac:dyDescent="0.25">
      <c r="A42" s="73">
        <v>33</v>
      </c>
      <c r="B42" s="74">
        <v>9.14</v>
      </c>
    </row>
    <row r="43" spans="1:2" x14ac:dyDescent="0.25">
      <c r="A43" s="73">
        <v>34</v>
      </c>
      <c r="B43" s="74">
        <v>9.4600000000000009</v>
      </c>
    </row>
    <row r="44" spans="1:2" x14ac:dyDescent="0.25">
      <c r="A44" s="73">
        <v>35</v>
      </c>
      <c r="B44" s="74">
        <v>9.7799999999999994</v>
      </c>
    </row>
    <row r="45" spans="1:2" x14ac:dyDescent="0.25">
      <c r="A45" s="73">
        <v>36</v>
      </c>
      <c r="B45" s="74">
        <v>10.119999999999999</v>
      </c>
    </row>
    <row r="46" spans="1:2" x14ac:dyDescent="0.25">
      <c r="A46" s="73">
        <v>37</v>
      </c>
      <c r="B46" s="74">
        <v>10.46</v>
      </c>
    </row>
    <row r="47" spans="1:2" x14ac:dyDescent="0.25">
      <c r="A47" s="73">
        <v>38</v>
      </c>
      <c r="B47" s="74">
        <v>10.82</v>
      </c>
    </row>
    <row r="48" spans="1:2" x14ac:dyDescent="0.25">
      <c r="A48" s="73">
        <v>39</v>
      </c>
      <c r="B48" s="74">
        <v>11.19</v>
      </c>
    </row>
    <row r="49" spans="1:2" x14ac:dyDescent="0.25">
      <c r="A49" s="73">
        <v>40</v>
      </c>
      <c r="B49" s="74">
        <v>11.57</v>
      </c>
    </row>
    <row r="50" spans="1:2" x14ac:dyDescent="0.25">
      <c r="A50" s="73">
        <v>41</v>
      </c>
      <c r="B50" s="74">
        <v>11.96</v>
      </c>
    </row>
    <row r="51" spans="1:2" x14ac:dyDescent="0.25">
      <c r="A51" s="73">
        <v>42</v>
      </c>
      <c r="B51" s="74">
        <v>12.36</v>
      </c>
    </row>
    <row r="52" spans="1:2" x14ac:dyDescent="0.25">
      <c r="A52" s="73">
        <v>43</v>
      </c>
      <c r="B52" s="74">
        <v>12.78</v>
      </c>
    </row>
    <row r="53" spans="1:2" x14ac:dyDescent="0.25">
      <c r="A53" s="73">
        <v>44</v>
      </c>
      <c r="B53" s="74">
        <v>13.21</v>
      </c>
    </row>
    <row r="54" spans="1:2" x14ac:dyDescent="0.25">
      <c r="A54" s="73">
        <v>45</v>
      </c>
      <c r="B54" s="74">
        <v>13.65</v>
      </c>
    </row>
    <row r="55" spans="1:2" x14ac:dyDescent="0.25">
      <c r="A55" s="73">
        <v>46</v>
      </c>
      <c r="B55" s="74">
        <v>14.1</v>
      </c>
    </row>
    <row r="56" spans="1:2" x14ac:dyDescent="0.25">
      <c r="A56" s="73">
        <v>47</v>
      </c>
      <c r="B56" s="74">
        <v>14.57</v>
      </c>
    </row>
    <row r="57" spans="1:2" x14ac:dyDescent="0.25">
      <c r="A57" s="73">
        <v>48</v>
      </c>
      <c r="B57" s="74">
        <v>15.05</v>
      </c>
    </row>
    <row r="58" spans="1:2" x14ac:dyDescent="0.25">
      <c r="A58" s="73">
        <v>49</v>
      </c>
      <c r="B58" s="74">
        <v>15.55</v>
      </c>
    </row>
    <row r="59" spans="1:2" x14ac:dyDescent="0.25">
      <c r="A59" s="73">
        <v>50</v>
      </c>
      <c r="B59" s="74">
        <v>16.059999999999999</v>
      </c>
    </row>
    <row r="60" spans="1:2" x14ac:dyDescent="0.25">
      <c r="A60" s="73">
        <v>51</v>
      </c>
      <c r="B60" s="74">
        <v>16.59</v>
      </c>
    </row>
    <row r="61" spans="1:2" x14ac:dyDescent="0.25">
      <c r="A61" s="73">
        <v>52</v>
      </c>
      <c r="B61" s="74">
        <v>17.14</v>
      </c>
    </row>
    <row r="62" spans="1:2" x14ac:dyDescent="0.25">
      <c r="A62" s="73">
        <v>53</v>
      </c>
      <c r="B62" s="74">
        <v>17.7</v>
      </c>
    </row>
    <row r="63" spans="1:2" x14ac:dyDescent="0.25">
      <c r="A63" s="73">
        <v>54</v>
      </c>
      <c r="B63" s="74">
        <v>18.29</v>
      </c>
    </row>
    <row r="64" spans="1:2" x14ac:dyDescent="0.25">
      <c r="A64" s="73">
        <v>55</v>
      </c>
      <c r="B64" s="74">
        <v>18.899999999999999</v>
      </c>
    </row>
    <row r="65" spans="1:2" x14ac:dyDescent="0.25">
      <c r="A65" s="73">
        <v>56</v>
      </c>
      <c r="B65" s="74">
        <v>19.53</v>
      </c>
    </row>
    <row r="66" spans="1:2" x14ac:dyDescent="0.25">
      <c r="A66" s="73">
        <v>57</v>
      </c>
      <c r="B66" s="74">
        <v>20.2</v>
      </c>
    </row>
    <row r="67" spans="1:2" x14ac:dyDescent="0.25">
      <c r="A67" s="73">
        <v>58</v>
      </c>
      <c r="B67" s="74">
        <v>20.9</v>
      </c>
    </row>
    <row r="68" spans="1:2" x14ac:dyDescent="0.25">
      <c r="A68" s="73">
        <v>59</v>
      </c>
      <c r="B68" s="74">
        <v>21.64</v>
      </c>
    </row>
  </sheetData>
  <sheetProtection algorithmName="SHA-512" hashValue="Y3DVVLrDeT0zstFmKPA6rlMhG94+FqKZAvNsBWepSgKTuTthw5hOZ1acfXEw+udU0yKuyAyLpcSFltCDU0Y4Fg==" saltValue="xotnOSm37vKImgkGokeIOw==" spinCount="100000" sheet="1" objects="1" scenarios="1"/>
  <conditionalFormatting sqref="A6:A21">
    <cfRule type="expression" dxfId="29" priority="21" stopIfTrue="1">
      <formula>MOD(ROW(),2)=0</formula>
    </cfRule>
    <cfRule type="expression" dxfId="28" priority="22" stopIfTrue="1">
      <formula>MOD(ROW(),2)&lt;&gt;0</formula>
    </cfRule>
  </conditionalFormatting>
  <conditionalFormatting sqref="A26:A68">
    <cfRule type="expression" dxfId="27" priority="35" stopIfTrue="1">
      <formula>MOD(ROW(),2)=0</formula>
    </cfRule>
    <cfRule type="expression" dxfId="26" priority="36" stopIfTrue="1">
      <formula>MOD(ROW(),2)&lt;&gt;0</formula>
    </cfRule>
  </conditionalFormatting>
  <conditionalFormatting sqref="B6:B21">
    <cfRule type="expression" dxfId="25" priority="41" stopIfTrue="1">
      <formula>MOD(ROW(),2)=0</formula>
    </cfRule>
    <cfRule type="expression" dxfId="24" priority="42" stopIfTrue="1">
      <formula>MOD(ROW(),2)&lt;&gt;0</formula>
    </cfRule>
  </conditionalFormatting>
  <conditionalFormatting sqref="B17:B21">
    <cfRule type="expression" dxfId="23" priority="33" stopIfTrue="1">
      <formula>MOD(ROW(),2)=0</formula>
    </cfRule>
    <cfRule type="expression" dxfId="22" priority="34" stopIfTrue="1">
      <formula>MOD(ROW(),2)&lt;&gt;0</formula>
    </cfRule>
  </conditionalFormatting>
  <conditionalFormatting sqref="B26:B68">
    <cfRule type="expression" dxfId="21" priority="37" stopIfTrue="1">
      <formula>MOD(ROW(),2)=0</formula>
    </cfRule>
    <cfRule type="expression" dxfId="20" priority="38" stopIfTrue="1">
      <formula>MOD(ROW(),2)&lt;&gt;0</formula>
    </cfRule>
  </conditionalFormatting>
  <conditionalFormatting sqref="E6:E21">
    <cfRule type="expression" dxfId="19" priority="9" stopIfTrue="1">
      <formula>MOD(ROW(),2)=0</formula>
    </cfRule>
    <cfRule type="expression" dxfId="18" priority="10" stopIfTrue="1">
      <formula>MOD(ROW(),2)&lt;&gt;0</formula>
    </cfRule>
  </conditionalFormatting>
  <conditionalFormatting sqref="E26:E27">
    <cfRule type="expression" dxfId="17" priority="1" stopIfTrue="1">
      <formula>MOD(ROW(),2)=0</formula>
    </cfRule>
    <cfRule type="expression" dxfId="16" priority="2" stopIfTrue="1">
      <formula>MOD(ROW(),2)&lt;&gt;0</formula>
    </cfRule>
  </conditionalFormatting>
  <conditionalFormatting sqref="F6:F21">
    <cfRule type="expression" dxfId="15" priority="17" stopIfTrue="1">
      <formula>MOD(ROW(),2)=0</formula>
    </cfRule>
    <cfRule type="expression" dxfId="14" priority="18" stopIfTrue="1">
      <formula>MOD(ROW(),2)&lt;&gt;0</formula>
    </cfRule>
  </conditionalFormatting>
  <conditionalFormatting sqref="F17:F21">
    <cfRule type="expression" dxfId="13" priority="13" stopIfTrue="1">
      <formula>MOD(ROW(),2)=0</formula>
    </cfRule>
    <cfRule type="expression" dxfId="12" priority="14" stopIfTrue="1">
      <formula>MOD(ROW(),2)&lt;&gt;0</formula>
    </cfRule>
  </conditionalFormatting>
  <conditionalFormatting sqref="F26:F27">
    <cfRule type="expression" dxfId="11" priority="5" stopIfTrue="1">
      <formula>MOD(ROW(),2)=0</formula>
    </cfRule>
    <cfRule type="expression" dxfId="10"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57"/>
  <dimension ref="A1:I67"/>
  <sheetViews>
    <sheetView showGridLines="0" zoomScale="85" zoomScaleNormal="85" workbookViewId="0">
      <selection activeCell="B23" sqref="B23"/>
    </sheetView>
  </sheetViews>
  <sheetFormatPr defaultColWidth="10" defaultRowHeight="13.2" x14ac:dyDescent="0.25"/>
  <cols>
    <col min="1" max="1" width="31.88671875" style="27" customWidth="1"/>
    <col min="2" max="2" width="27.44140625" style="27" customWidth="1"/>
    <col min="3" max="3" width="10.1093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Fire_S - Added Pension &amp; CPD Factors</v>
      </c>
      <c r="B2" s="42"/>
      <c r="C2" s="42"/>
      <c r="D2" s="42"/>
      <c r="E2" s="42"/>
      <c r="F2" s="42"/>
      <c r="G2" s="42"/>
      <c r="H2" s="42"/>
      <c r="I2" s="42"/>
    </row>
    <row r="3" spans="1:9" ht="15.6" x14ac:dyDescent="0.3">
      <c r="A3" s="43" t="str">
        <f>TABLE_FACTOR_TYPE_1&amp;" - x-"&amp;TABLE_SERIES_NUMBER_1</f>
        <v>Added pension - x-702</v>
      </c>
      <c r="B3" s="42"/>
      <c r="C3" s="42"/>
      <c r="D3" s="42"/>
      <c r="E3" s="42"/>
      <c r="F3" s="42"/>
      <c r="G3" s="42"/>
      <c r="H3" s="42"/>
      <c r="I3" s="42"/>
    </row>
    <row r="4" spans="1:9" x14ac:dyDescent="0.25">
      <c r="A4" s="44"/>
    </row>
    <row r="6" spans="1:9" x14ac:dyDescent="0.25">
      <c r="A6" s="75" t="s">
        <v>484</v>
      </c>
      <c r="B6" s="162" t="s">
        <v>485</v>
      </c>
    </row>
    <row r="7" spans="1:9" x14ac:dyDescent="0.25">
      <c r="A7" s="76" t="s">
        <v>486</v>
      </c>
      <c r="B7" s="162" t="s">
        <v>81</v>
      </c>
    </row>
    <row r="8" spans="1:9" x14ac:dyDescent="0.25">
      <c r="A8" s="76" t="s">
        <v>282</v>
      </c>
      <c r="B8" s="162">
        <v>2015</v>
      </c>
    </row>
    <row r="9" spans="1:9" x14ac:dyDescent="0.25">
      <c r="A9" s="76" t="s">
        <v>283</v>
      </c>
      <c r="B9" s="162" t="s">
        <v>478</v>
      </c>
    </row>
    <row r="10" spans="1:9" x14ac:dyDescent="0.25">
      <c r="A10" s="76" t="s">
        <v>6</v>
      </c>
      <c r="B10" s="162" t="s">
        <v>481</v>
      </c>
    </row>
    <row r="11" spans="1:9" x14ac:dyDescent="0.25">
      <c r="A11" s="76" t="s">
        <v>284</v>
      </c>
      <c r="B11" s="162" t="s">
        <v>349</v>
      </c>
    </row>
    <row r="12" spans="1:9" x14ac:dyDescent="0.25">
      <c r="A12" s="76" t="s">
        <v>285</v>
      </c>
      <c r="B12" s="162" t="s">
        <v>482</v>
      </c>
    </row>
    <row r="13" spans="1:9" hidden="1" x14ac:dyDescent="0.25">
      <c r="A13" s="76" t="s">
        <v>493</v>
      </c>
      <c r="B13" s="162">
        <v>0</v>
      </c>
    </row>
    <row r="14" spans="1:9" hidden="1" x14ac:dyDescent="0.25">
      <c r="A14" s="76" t="s">
        <v>287</v>
      </c>
      <c r="B14" s="162">
        <v>702</v>
      </c>
    </row>
    <row r="15" spans="1:9" x14ac:dyDescent="0.25">
      <c r="A15" s="76" t="s">
        <v>496</v>
      </c>
      <c r="B15" s="162" t="s">
        <v>483</v>
      </c>
    </row>
    <row r="16" spans="1:9" x14ac:dyDescent="0.25">
      <c r="A16" s="76" t="s">
        <v>288</v>
      </c>
      <c r="B16" s="162" t="s">
        <v>405</v>
      </c>
    </row>
    <row r="17" spans="1:2" ht="78.599999999999994" customHeight="1" x14ac:dyDescent="0.25">
      <c r="A17" s="165" t="s">
        <v>568</v>
      </c>
      <c r="B17" s="162"/>
    </row>
    <row r="18" spans="1:2" x14ac:dyDescent="0.25">
      <c r="A18" s="165" t="s">
        <v>500</v>
      </c>
      <c r="B18" s="164">
        <v>45196</v>
      </c>
    </row>
    <row r="19" spans="1:2" x14ac:dyDescent="0.25">
      <c r="A19" s="165" t="s">
        <v>290</v>
      </c>
      <c r="B19" s="164">
        <v>45383</v>
      </c>
    </row>
    <row r="20" spans="1:2" x14ac:dyDescent="0.25">
      <c r="A20" s="165" t="s">
        <v>291</v>
      </c>
      <c r="B20" s="162" t="s">
        <v>298</v>
      </c>
    </row>
    <row r="21" spans="1:2" x14ac:dyDescent="0.25">
      <c r="A21" s="150" t="s">
        <v>569</v>
      </c>
      <c r="B21" s="162" t="s">
        <v>297</v>
      </c>
    </row>
    <row r="23" spans="1:2" x14ac:dyDescent="0.25">
      <c r="B23" s="91" t="str">
        <f>HYPERLINK("#'Factor List'!A1","Back to Factor List")</f>
        <v>Back to Factor List</v>
      </c>
    </row>
    <row r="24" spans="1:2" x14ac:dyDescent="0.25">
      <c r="B24" s="91" t="str">
        <f>HYPERLINK("#'Assumptions'!A1","Assumptions")</f>
        <v>Assumptions</v>
      </c>
    </row>
    <row r="26" spans="1:2" ht="26.4" x14ac:dyDescent="0.25">
      <c r="A26" s="72" t="s">
        <v>482</v>
      </c>
      <c r="B26" s="72" t="s">
        <v>647</v>
      </c>
    </row>
    <row r="27" spans="1:2" x14ac:dyDescent="0.25">
      <c r="A27" s="73">
        <v>0</v>
      </c>
      <c r="B27" s="74">
        <v>1</v>
      </c>
    </row>
    <row r="28" spans="1:2" x14ac:dyDescent="0.25">
      <c r="A28" s="73">
        <v>1</v>
      </c>
      <c r="B28" s="74">
        <v>1.02</v>
      </c>
    </row>
    <row r="29" spans="1:2" x14ac:dyDescent="0.25">
      <c r="A29" s="73">
        <v>2</v>
      </c>
      <c r="B29" s="74">
        <v>1.04</v>
      </c>
    </row>
    <row r="30" spans="1:2" x14ac:dyDescent="0.25">
      <c r="A30" s="73">
        <v>3</v>
      </c>
      <c r="B30" s="74">
        <v>1.06</v>
      </c>
    </row>
    <row r="31" spans="1:2" x14ac:dyDescent="0.25">
      <c r="A31" s="73">
        <v>4</v>
      </c>
      <c r="B31" s="74">
        <v>1.08</v>
      </c>
    </row>
    <row r="32" spans="1:2" x14ac:dyDescent="0.25">
      <c r="A32" s="73">
        <v>5</v>
      </c>
      <c r="B32" s="74">
        <v>1.1000000000000001</v>
      </c>
    </row>
    <row r="33" spans="1:2" x14ac:dyDescent="0.25">
      <c r="A33" s="73">
        <v>6</v>
      </c>
      <c r="B33" s="74">
        <v>1.1299999999999999</v>
      </c>
    </row>
    <row r="34" spans="1:2" x14ac:dyDescent="0.25">
      <c r="A34" s="73">
        <v>7</v>
      </c>
      <c r="B34" s="74">
        <v>1.1499999999999999</v>
      </c>
    </row>
    <row r="35" spans="1:2" x14ac:dyDescent="0.25">
      <c r="A35" s="73">
        <v>8</v>
      </c>
      <c r="B35" s="74">
        <v>1.17</v>
      </c>
    </row>
    <row r="36" spans="1:2" x14ac:dyDescent="0.25">
      <c r="A36" s="73">
        <v>9</v>
      </c>
      <c r="B36" s="74">
        <v>1.2</v>
      </c>
    </row>
    <row r="37" spans="1:2" x14ac:dyDescent="0.25">
      <c r="A37" s="73">
        <v>10</v>
      </c>
      <c r="B37" s="74">
        <v>1.22</v>
      </c>
    </row>
    <row r="38" spans="1:2" x14ac:dyDescent="0.25">
      <c r="A38" s="73">
        <v>11</v>
      </c>
      <c r="B38" s="74">
        <v>1.24</v>
      </c>
    </row>
    <row r="39" spans="1:2" x14ac:dyDescent="0.25">
      <c r="A39" s="73">
        <v>12</v>
      </c>
      <c r="B39" s="74">
        <v>1.27</v>
      </c>
    </row>
    <row r="40" spans="1:2" x14ac:dyDescent="0.25">
      <c r="A40" s="73">
        <v>13</v>
      </c>
      <c r="B40" s="74">
        <v>1.29</v>
      </c>
    </row>
    <row r="41" spans="1:2" x14ac:dyDescent="0.25">
      <c r="A41" s="73">
        <v>14</v>
      </c>
      <c r="B41" s="74">
        <v>1.32</v>
      </c>
    </row>
    <row r="42" spans="1:2" x14ac:dyDescent="0.25">
      <c r="A42" s="73">
        <v>15</v>
      </c>
      <c r="B42" s="74">
        <v>1.35</v>
      </c>
    </row>
    <row r="43" spans="1:2" x14ac:dyDescent="0.25">
      <c r="A43" s="73">
        <v>16</v>
      </c>
      <c r="B43" s="74">
        <v>1.37</v>
      </c>
    </row>
    <row r="44" spans="1:2" x14ac:dyDescent="0.25">
      <c r="A44" s="73">
        <v>17</v>
      </c>
      <c r="B44" s="74">
        <v>1.4</v>
      </c>
    </row>
    <row r="45" spans="1:2" x14ac:dyDescent="0.25">
      <c r="A45" s="73">
        <v>18</v>
      </c>
      <c r="B45" s="74">
        <v>1.43</v>
      </c>
    </row>
    <row r="46" spans="1:2" x14ac:dyDescent="0.25">
      <c r="A46" s="73">
        <v>19</v>
      </c>
      <c r="B46" s="74">
        <v>1.46</v>
      </c>
    </row>
    <row r="47" spans="1:2" x14ac:dyDescent="0.25">
      <c r="A47" s="73">
        <v>20</v>
      </c>
      <c r="B47" s="74">
        <v>1.49</v>
      </c>
    </row>
    <row r="48" spans="1:2" x14ac:dyDescent="0.25">
      <c r="A48" s="73">
        <v>21</v>
      </c>
      <c r="B48" s="74">
        <v>1.52</v>
      </c>
    </row>
    <row r="49" spans="1:2" x14ac:dyDescent="0.25">
      <c r="A49" s="73">
        <v>22</v>
      </c>
      <c r="B49" s="74">
        <v>1.55</v>
      </c>
    </row>
    <row r="50" spans="1:2" x14ac:dyDescent="0.25">
      <c r="A50" s="73">
        <v>23</v>
      </c>
      <c r="B50" s="74">
        <v>1.58</v>
      </c>
    </row>
    <row r="51" spans="1:2" x14ac:dyDescent="0.25">
      <c r="A51" s="73">
        <v>24</v>
      </c>
      <c r="B51" s="74">
        <v>1.61</v>
      </c>
    </row>
    <row r="52" spans="1:2" x14ac:dyDescent="0.25">
      <c r="A52" s="73">
        <v>25</v>
      </c>
      <c r="B52" s="74">
        <v>1.64</v>
      </c>
    </row>
    <row r="53" spans="1:2" x14ac:dyDescent="0.25">
      <c r="A53" s="73">
        <v>26</v>
      </c>
      <c r="B53" s="74">
        <v>1.67</v>
      </c>
    </row>
    <row r="54" spans="1:2" x14ac:dyDescent="0.25">
      <c r="A54" s="73">
        <v>27</v>
      </c>
      <c r="B54" s="74">
        <v>1.71</v>
      </c>
    </row>
    <row r="55" spans="1:2" x14ac:dyDescent="0.25">
      <c r="A55" s="73">
        <v>28</v>
      </c>
      <c r="B55" s="74">
        <v>1.74</v>
      </c>
    </row>
    <row r="56" spans="1:2" x14ac:dyDescent="0.25">
      <c r="A56" s="73">
        <v>29</v>
      </c>
      <c r="B56" s="74">
        <v>1.78</v>
      </c>
    </row>
    <row r="57" spans="1:2" x14ac:dyDescent="0.25">
      <c r="A57" s="73">
        <v>30</v>
      </c>
      <c r="B57" s="74">
        <v>1.81</v>
      </c>
    </row>
    <row r="58" spans="1:2" x14ac:dyDescent="0.25">
      <c r="A58" s="73">
        <v>31</v>
      </c>
      <c r="B58" s="74">
        <v>1.85</v>
      </c>
    </row>
    <row r="59" spans="1:2" x14ac:dyDescent="0.25">
      <c r="A59" s="73">
        <v>32</v>
      </c>
      <c r="B59" s="74">
        <v>1.88</v>
      </c>
    </row>
    <row r="60" spans="1:2" x14ac:dyDescent="0.25">
      <c r="A60" s="73">
        <v>33</v>
      </c>
      <c r="B60" s="74">
        <v>1.92</v>
      </c>
    </row>
    <row r="61" spans="1:2" x14ac:dyDescent="0.25">
      <c r="A61" s="73">
        <v>34</v>
      </c>
      <c r="B61" s="74">
        <v>1.96</v>
      </c>
    </row>
    <row r="62" spans="1:2" x14ac:dyDescent="0.25">
      <c r="A62" s="73">
        <v>35</v>
      </c>
      <c r="B62" s="74">
        <v>2</v>
      </c>
    </row>
    <row r="63" spans="1:2" x14ac:dyDescent="0.25">
      <c r="A63" s="73">
        <v>36</v>
      </c>
      <c r="B63" s="74">
        <v>2.04</v>
      </c>
    </row>
    <row r="64" spans="1:2" x14ac:dyDescent="0.25">
      <c r="A64" s="73">
        <v>37</v>
      </c>
      <c r="B64" s="74">
        <v>2.08</v>
      </c>
    </row>
    <row r="65" spans="1:2" x14ac:dyDescent="0.25">
      <c r="A65" s="73">
        <v>38</v>
      </c>
      <c r="B65" s="74">
        <v>2.12</v>
      </c>
    </row>
    <row r="66" spans="1:2" x14ac:dyDescent="0.25">
      <c r="A66" s="73">
        <v>39</v>
      </c>
      <c r="B66" s="74">
        <v>2.16</v>
      </c>
    </row>
    <row r="67" spans="1:2" x14ac:dyDescent="0.25">
      <c r="A67" s="73">
        <v>40</v>
      </c>
      <c r="B67" s="74">
        <v>2.21</v>
      </c>
    </row>
  </sheetData>
  <sheetProtection algorithmName="SHA-512" hashValue="22iie+RVcnbcKKnAyWBx/bZluqBCu9p872jiB7TnvBDmP1f6s6jn41sLd6YxYCq8PdsMhZWK+aWiYNx815HbTw==" saltValue="s+biuX8ZvlBwXIzuYYgXsQ==" spinCount="100000" sheet="1" objects="1" scenarios="1"/>
  <conditionalFormatting sqref="A6:A21">
    <cfRule type="expression" dxfId="9" priority="3" stopIfTrue="1">
      <formula>MOD(ROW(),2)=0</formula>
    </cfRule>
    <cfRule type="expression" dxfId="8" priority="4" stopIfTrue="1">
      <formula>MOD(ROW(),2)&lt;&gt;0</formula>
    </cfRule>
  </conditionalFormatting>
  <conditionalFormatting sqref="A26:A67">
    <cfRule type="expression" dxfId="7" priority="11" stopIfTrue="1">
      <formula>MOD(ROW(),2)=0</formula>
    </cfRule>
    <cfRule type="expression" dxfId="6" priority="12" stopIfTrue="1">
      <formula>MOD(ROW(),2)&lt;&gt;0</formula>
    </cfRule>
  </conditionalFormatting>
  <conditionalFormatting sqref="B6:B21">
    <cfRule type="expression" dxfId="5" priority="17" stopIfTrue="1">
      <formula>MOD(ROW(),2)=0</formula>
    </cfRule>
    <cfRule type="expression" dxfId="4" priority="18" stopIfTrue="1">
      <formula>MOD(ROW(),2)&lt;&gt;0</formula>
    </cfRule>
  </conditionalFormatting>
  <conditionalFormatting sqref="B17:B21">
    <cfRule type="expression" dxfId="3" priority="9" stopIfTrue="1">
      <formula>MOD(ROW(),2)=0</formula>
    </cfRule>
    <cfRule type="expression" dxfId="2" priority="10" stopIfTrue="1">
      <formula>MOD(ROW(),2)&lt;&gt;0</formula>
    </cfRule>
  </conditionalFormatting>
  <conditionalFormatting sqref="B26:B67">
    <cfRule type="expression" dxfId="1" priority="13" stopIfTrue="1">
      <formula>MOD(ROW(),2)=0</formula>
    </cfRule>
    <cfRule type="expression" dxfId="0"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GADWRKGRPACTUA-1580777631-136371</_dlc_DocId>
    <HMT_LegacySensitive xmlns="f69fd3ce-e1df-49de-b78d-1d800e75d0a3">false</HMT_LegacySensitive>
    <_dlc_DocIdUrl xmlns="f69fd3ce-e1df-49de-b78d-1d800e75d0a3">
      <Url>https://tris42.sharepoint.com/sites/gad_wrkgrp_actuarial/_layouts/15/DocIdRedir.aspx?ID=GADWRKGRPACTUA-1580777631-136371</Url>
      <Description>GADWRKGRPACTUA-1580777631-136371</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PrimeCorrectedByUser xmlns="f69fd3ce-e1df-49de-b78d-1d800e75d0a3" xsi:nil="true"/>
    <PrimeClassificationStatus xmlns="f69fd3ce-e1df-49de-b78d-1d800e75d0a3" xsi:nil="true"/>
    <PrimeClassificationStatusDetails xmlns="f69fd3ce-e1df-49de-b78d-1d800e75d0a3" xsi:nil="true"/>
    <PrimeLastClassified xmlns="f69fd3ce-e1df-49de-b78d-1d800e75d0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b5d48989e559b760262ea2bf7d5f03ab">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3d49a0053a9cee834e1e7742f2fa30c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3;#Other|309840bd-9611-477c-8426-e4d34e375949" ma:fieldId="{64e205a0-0872-4e26-9aef-64ca7bdb5848}" ma:sspId="9002b6cd-6bc3-456d-8dd0-19fe32dddaf9" ma:termSetId="c36ff786-df0b-46ec-ab35-f424d135f718" ma:anchorId="84d27c01-21cd-4a2c-876e-186caec2f556"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6F4A71-1162-4233-89B4-26D46B3466CB}">
  <ds:schemaRefs>
    <ds:schemaRef ds:uri="http://schemas.microsoft.com/sharepoint/v3/contenttype/forms"/>
  </ds:schemaRefs>
</ds:datastoreItem>
</file>

<file path=customXml/itemProps2.xml><?xml version="1.0" encoding="utf-8"?>
<ds:datastoreItem xmlns:ds="http://schemas.openxmlformats.org/officeDocument/2006/customXml" ds:itemID="{8A819163-3709-46D5-83E6-E24AD38F78BB}">
  <ds:schemaRefs>
    <ds:schemaRef ds:uri="http://schemas.microsoft.com/sharepoint/v3"/>
    <ds:schemaRef ds:uri="http://schemas.microsoft.com/office/2006/documentManagement/types"/>
    <ds:schemaRef ds:uri="f69fd3ce-e1df-49de-b78d-1d800e75d0a3"/>
    <ds:schemaRef ds:uri="http://purl.org/dc/elements/1.1/"/>
    <ds:schemaRef ds:uri="62c7038d-3aec-4dd4-8afa-8b92667eb25d"/>
    <ds:schemaRef ds:uri="http://purl.org/dc/dcmitype/"/>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DF885D6C-6C0F-4B94-857A-85758214C8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83CBFA-133E-4CAA-8B85-47512A65308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93</vt:i4>
      </vt:variant>
      <vt:variant>
        <vt:lpstr>Named Ranges</vt:lpstr>
      </vt:variant>
      <vt:variant>
        <vt:i4>1579</vt:i4>
      </vt:variant>
    </vt:vector>
  </HeadingPairs>
  <TitlesOfParts>
    <vt:vector size="1672" baseType="lpstr">
      <vt:lpstr>Cover</vt:lpstr>
      <vt:lpstr>Purpose of spreadsheet</vt:lpstr>
      <vt:lpstr>Version Control</vt:lpstr>
      <vt:lpstr>Summary - Fire_S</vt:lpstr>
      <vt:lpstr>AnnGenHiddenLists</vt:lpstr>
      <vt:lpstr>Factor List</vt:lpstr>
      <vt:lpstr>x-Series Number</vt:lpstr>
      <vt:lpstr>Assumptions</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x-220</vt:lpstr>
      <vt:lpstr>x-221</vt:lpstr>
      <vt:lpstr>x-301</vt:lpstr>
      <vt:lpstr>x-302</vt:lpstr>
      <vt:lpstr>x-303</vt:lpstr>
      <vt:lpstr>x-304</vt:lpstr>
      <vt:lpstr>x-305</vt:lpstr>
      <vt:lpstr>x-306</vt:lpstr>
      <vt:lpstr>x-307</vt:lpstr>
      <vt:lpstr>x-308</vt:lpstr>
      <vt:lpstr>x-309</vt:lpstr>
      <vt:lpstr>x-310</vt:lpstr>
      <vt:lpstr>x-311</vt:lpstr>
      <vt:lpstr>x-312</vt:lpstr>
      <vt:lpstr>x-313</vt:lpstr>
      <vt:lpstr>x-314</vt:lpstr>
      <vt:lpstr>x-315</vt:lpstr>
      <vt:lpstr>x-316</vt:lpstr>
      <vt:lpstr>x-321</vt:lpstr>
      <vt:lpstr>x-317</vt:lpstr>
      <vt:lpstr>x-322</vt:lpstr>
      <vt:lpstr>x-323</vt:lpstr>
      <vt:lpstr>x-324</vt:lpstr>
      <vt:lpstr>x-325</vt:lpstr>
      <vt:lpstr>x-326</vt:lpstr>
      <vt:lpstr>x-327</vt:lpstr>
      <vt:lpstr>x-328</vt:lpstr>
      <vt:lpstr>x-329</vt:lpstr>
      <vt:lpstr>x-330</vt:lpstr>
      <vt:lpstr>x-331</vt:lpstr>
      <vt:lpstr>x-401</vt:lpstr>
      <vt:lpstr>x-402</vt:lpstr>
      <vt:lpstr>x-403</vt:lpstr>
      <vt:lpstr>x-404</vt:lpstr>
      <vt:lpstr>x-405</vt:lpstr>
      <vt:lpstr>x-406 </vt:lpstr>
      <vt:lpstr>x-407</vt:lpstr>
      <vt:lpstr>x-501</vt:lpstr>
      <vt:lpstr>x-502</vt:lpstr>
      <vt:lpstr>x-503</vt:lpstr>
      <vt:lpstr>x-504</vt:lpstr>
      <vt:lpstr>x-505</vt:lpstr>
      <vt:lpstr>x-506</vt:lpstr>
      <vt:lpstr>x-507</vt:lpstr>
      <vt:lpstr>x-601</vt:lpstr>
      <vt:lpstr>x-602</vt:lpstr>
      <vt:lpstr>x-603</vt:lpstr>
      <vt:lpstr>x-604</vt:lpstr>
      <vt:lpstr>x-605</vt:lpstr>
      <vt:lpstr>x-606</vt:lpstr>
      <vt:lpstr>x-607</vt:lpstr>
      <vt:lpstr>x-608</vt:lpstr>
      <vt:lpstr>x-609</vt:lpstr>
      <vt:lpstr>x-610</vt:lpstr>
      <vt:lpstr>x-611</vt:lpstr>
      <vt:lpstr>x-612</vt:lpstr>
      <vt:lpstr>x-613</vt:lpstr>
      <vt:lpstr>x-614</vt:lpstr>
      <vt:lpstr>x-615</vt:lpstr>
      <vt:lpstr>x-616</vt:lpstr>
      <vt:lpstr>x-617</vt:lpstr>
      <vt:lpstr>x-618</vt:lpstr>
      <vt:lpstr>x-619</vt:lpstr>
      <vt:lpstr>x-620</vt:lpstr>
      <vt:lpstr>x-621</vt:lpstr>
      <vt:lpstr>x-622</vt:lpstr>
      <vt:lpstr>x-626</vt:lpstr>
      <vt:lpstr>x-627</vt:lpstr>
      <vt:lpstr>x-701</vt:lpstr>
      <vt:lpstr>x-702</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FACTOR_LIST_TIMESTAMP</vt:lpstr>
      <vt:lpstr>ImprovementsList</vt:lpstr>
      <vt:lpstr>new_title</vt:lpstr>
      <vt:lpstr>new_title_2</vt:lpstr>
      <vt:lpstr>new_title_3</vt:lpstr>
      <vt:lpstr>'Summary - Fire_S'!Print_Area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'x-210'!Print_Area</vt:lpstr>
      <vt:lpstr>'x-211'!Print_Area</vt:lpstr>
      <vt:lpstr>'x-212'!Print_Area</vt:lpstr>
      <vt:lpstr>'x-213'!Print_Area</vt:lpstr>
      <vt:lpstr>'x-214'!Print_Area</vt:lpstr>
      <vt:lpstr>'x-215'!Print_Area</vt:lpstr>
      <vt:lpstr>'x-220'!Print_Area</vt:lpstr>
      <vt:lpstr>'x-221'!Print_Area</vt:lpstr>
      <vt:lpstr>'x-301'!Print_Area</vt:lpstr>
      <vt:lpstr>'x-302'!Print_Area</vt:lpstr>
      <vt:lpstr>'x-303'!Print_Area</vt:lpstr>
      <vt:lpstr>'x-304'!Print_Area</vt:lpstr>
      <vt:lpstr>'x-305'!Print_Area</vt:lpstr>
      <vt:lpstr>'x-306'!Print_Area</vt:lpstr>
      <vt:lpstr>'x-307'!Print_Area</vt:lpstr>
      <vt:lpstr>'x-308'!Print_Area</vt:lpstr>
      <vt:lpstr>'x-309'!Print_Area</vt:lpstr>
      <vt:lpstr>'x-310'!Print_Area</vt:lpstr>
      <vt:lpstr>'x-311'!Print_Area</vt:lpstr>
      <vt:lpstr>'x-312'!Print_Area</vt:lpstr>
      <vt:lpstr>'x-313'!Print_Area</vt:lpstr>
      <vt:lpstr>'x-314'!Print_Area</vt:lpstr>
      <vt:lpstr>'x-315'!Print_Area</vt:lpstr>
      <vt:lpstr>'x-316'!Print_Area</vt:lpstr>
      <vt:lpstr>'x-317'!Print_Area</vt:lpstr>
      <vt:lpstr>'x-321'!Print_Area</vt:lpstr>
      <vt:lpstr>'x-322'!Print_Area</vt:lpstr>
      <vt:lpstr>'x-323'!Print_Area</vt:lpstr>
      <vt:lpstr>'x-324'!Print_Area</vt:lpstr>
      <vt:lpstr>'x-325'!Print_Area</vt:lpstr>
      <vt:lpstr>'x-326'!Print_Area</vt:lpstr>
      <vt:lpstr>'x-327'!Print_Area</vt:lpstr>
      <vt:lpstr>'x-328'!Print_Area</vt:lpstr>
      <vt:lpstr>'x-329'!Print_Area</vt:lpstr>
      <vt:lpstr>'x-330'!Print_Area</vt:lpstr>
      <vt:lpstr>'x-331'!Print_Area</vt:lpstr>
      <vt:lpstr>'x-401'!Print_Area</vt:lpstr>
      <vt:lpstr>'x-402'!Print_Area</vt:lpstr>
      <vt:lpstr>'x-403'!Print_Area</vt:lpstr>
      <vt:lpstr>'x-404'!Print_Area</vt:lpstr>
      <vt:lpstr>'x-405'!Print_Area</vt:lpstr>
      <vt:lpstr>'x-406 '!Print_Area</vt:lpstr>
      <vt:lpstr>'x-407'!Print_Area</vt:lpstr>
      <vt:lpstr>'x-501'!Print_Area</vt:lpstr>
      <vt:lpstr>'x-502'!Print_Area</vt:lpstr>
      <vt:lpstr>'x-503'!Print_Area</vt:lpstr>
      <vt:lpstr>'x-504'!Print_Area</vt:lpstr>
      <vt:lpstr>'x-601'!Print_Area</vt:lpstr>
      <vt:lpstr>'x-602'!Print_Area</vt:lpstr>
      <vt:lpstr>'x-603'!Print_Area</vt:lpstr>
      <vt:lpstr>'x-604'!Print_Area</vt:lpstr>
      <vt:lpstr>'x-605'!Print_Area</vt:lpstr>
      <vt:lpstr>'x-606'!Print_Area</vt:lpstr>
      <vt:lpstr>'x-607'!Print_Area</vt:lpstr>
      <vt:lpstr>'x-608'!Print_Area</vt:lpstr>
      <vt:lpstr>'x-609'!Print_Area</vt:lpstr>
      <vt:lpstr>'x-610'!Print_Area</vt:lpstr>
      <vt:lpstr>'x-611'!Print_Area</vt:lpstr>
      <vt:lpstr>'x-612'!Print_Area</vt:lpstr>
      <vt:lpstr>'x-613'!Print_Area</vt:lpstr>
      <vt:lpstr>'x-614'!Print_Area</vt:lpstr>
      <vt:lpstr>'x-615'!Print_Area</vt:lpstr>
      <vt:lpstr>'x-616'!Print_Area</vt:lpstr>
      <vt:lpstr>'x-617'!Print_Area</vt:lpstr>
      <vt:lpstr>'x-618'!Print_Area</vt:lpstr>
      <vt:lpstr>'x-619'!Print_Area</vt:lpstr>
      <vt:lpstr>'x-620'!Print_Area</vt:lpstr>
      <vt:lpstr>'x-621'!Print_Area</vt:lpstr>
      <vt:lpstr>'x-622'!Print_Area</vt:lpstr>
      <vt:lpstr>'x-626'!Print_Area</vt:lpstr>
      <vt:lpstr>'x-627'!Print_Area</vt:lpstr>
      <vt:lpstr>'x-701'!Print_Area</vt:lpstr>
      <vt:lpstr>'x-702'!Print_Area</vt:lpstr>
      <vt:lpstr>'x-Series Number'!Print_Area</vt:lpstr>
      <vt:lpstr>TABLE_AGE_DEF</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'x-220'!TABLE_AGE_DEF_1</vt:lpstr>
      <vt:lpstr>'x-221'!TABLE_AGE_DEF_1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'x-310'!TABLE_AGE_DEF_1</vt:lpstr>
      <vt:lpstr>'x-311'!TABLE_AGE_DEF_1</vt:lpstr>
      <vt:lpstr>'x-312'!TABLE_AGE_DEF_1</vt:lpstr>
      <vt:lpstr>'x-313'!TABLE_AGE_DEF_1</vt:lpstr>
      <vt:lpstr>'x-314'!TABLE_AGE_DEF_1</vt:lpstr>
      <vt:lpstr>'x-315'!TABLE_AGE_DEF_1</vt:lpstr>
      <vt:lpstr>'x-316'!TABLE_AGE_DEF_1</vt:lpstr>
      <vt:lpstr>'x-317'!TABLE_AGE_DEF_1</vt:lpstr>
      <vt:lpstr>'x-321'!TABLE_AGE_DEF_1</vt:lpstr>
      <vt:lpstr>'x-322'!TABLE_AGE_DEF_1</vt:lpstr>
      <vt:lpstr>'x-323'!TABLE_AGE_DEF_1</vt:lpstr>
      <vt:lpstr>'x-324'!TABLE_AGE_DEF_1</vt:lpstr>
      <vt:lpstr>'x-325'!TABLE_AGE_DEF_1</vt:lpstr>
      <vt:lpstr>'x-326'!TABLE_AGE_DEF_1</vt:lpstr>
      <vt:lpstr>'x-327'!TABLE_AGE_DEF_1</vt:lpstr>
      <vt:lpstr>'x-328'!TABLE_AGE_DEF_1</vt:lpstr>
      <vt:lpstr>'x-329'!TABLE_AGE_DEF_1</vt:lpstr>
      <vt:lpstr>'x-330'!TABLE_AGE_DEF_1</vt:lpstr>
      <vt:lpstr>'x-331'!TABLE_AGE_DEF_1</vt:lpstr>
      <vt:lpstr>'x-401'!TABLE_AGE_DEF_1</vt:lpstr>
      <vt:lpstr>'x-402'!TABLE_AGE_DEF_1</vt:lpstr>
      <vt:lpstr>'x-403'!TABLE_AGE_DEF_1</vt:lpstr>
      <vt:lpstr>'x-404'!TABLE_AGE_DEF_1</vt:lpstr>
      <vt:lpstr>'x-405'!TABLE_AGE_DEF_1</vt:lpstr>
      <vt:lpstr>'x-406 '!TABLE_AGE_DEF_1</vt:lpstr>
      <vt:lpstr>'x-407'!TABLE_AGE_DEF_1</vt:lpstr>
      <vt:lpstr>'x-501'!TABLE_AGE_DEF_1</vt:lpstr>
      <vt:lpstr>'x-502'!TABLE_AGE_DEF_1</vt:lpstr>
      <vt:lpstr>'x-503'!TABLE_AGE_DEF_1</vt:lpstr>
      <vt:lpstr>'x-504'!TABLE_AGE_DEF_1</vt:lpstr>
      <vt:lpstr>'x-505'!TABLE_AGE_DEF_1</vt:lpstr>
      <vt:lpstr>'x-506'!TABLE_AGE_DEF_1</vt:lpstr>
      <vt:lpstr>'x-507'!TABLE_AGE_DEF_1</vt:lpstr>
      <vt:lpstr>'x-601'!TABLE_AGE_DEF_1</vt:lpstr>
      <vt:lpstr>'x-602'!TABLE_AGE_DEF_1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'x-616'!TABLE_AGE_DEF_1</vt:lpstr>
      <vt:lpstr>'x-617'!TABLE_AGE_DEF_1</vt:lpstr>
      <vt:lpstr>'x-618'!TABLE_AGE_DEF_1</vt:lpstr>
      <vt:lpstr>'x-619'!TABLE_AGE_DEF_1</vt:lpstr>
      <vt:lpstr>'x-620'!TABLE_AGE_DEF_1</vt:lpstr>
      <vt:lpstr>'x-621'!TABLE_AGE_DEF_1</vt:lpstr>
      <vt:lpstr>'x-622'!TABLE_AGE_DEF_1</vt:lpstr>
      <vt:lpstr>'x-626'!TABLE_AGE_DEF_1</vt:lpstr>
      <vt:lpstr>'x-627'!TABLE_AGE_DEF_1</vt:lpstr>
      <vt:lpstr>'x-701'!TABLE_AGE_DEF_1</vt:lpstr>
      <vt:lpstr>'x-702'!TABLE_AGE_DEF_1</vt:lpstr>
      <vt:lpstr>'x-701'!TABLE_AGE_DEF_2</vt:lpstr>
      <vt:lpstr>'x-626'!TABLE_AREA</vt:lpstr>
      <vt:lpstr>TABLE_AREA</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'x-220'!TABLE_AREA_1</vt:lpstr>
      <vt:lpstr>'x-221'!TABLE_AREA_1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'x-310'!TABLE_AREA_1</vt:lpstr>
      <vt:lpstr>'x-311'!TABLE_AREA_1</vt:lpstr>
      <vt:lpstr>'x-312'!TABLE_AREA_1</vt:lpstr>
      <vt:lpstr>'x-313'!TABLE_AREA_1</vt:lpstr>
      <vt:lpstr>'x-314'!TABLE_AREA_1</vt:lpstr>
      <vt:lpstr>'x-315'!TABLE_AREA_1</vt:lpstr>
      <vt:lpstr>'x-316'!TABLE_AREA_1</vt:lpstr>
      <vt:lpstr>'x-317'!TABLE_AREA_1</vt:lpstr>
      <vt:lpstr>'x-321'!TABLE_AREA_1</vt:lpstr>
      <vt:lpstr>'x-322'!TABLE_AREA_1</vt:lpstr>
      <vt:lpstr>'x-323'!TABLE_AREA_1</vt:lpstr>
      <vt:lpstr>'x-324'!TABLE_AREA_1</vt:lpstr>
      <vt:lpstr>'x-325'!TABLE_AREA_1</vt:lpstr>
      <vt:lpstr>'x-326'!TABLE_AREA_1</vt:lpstr>
      <vt:lpstr>'x-327'!TABLE_AREA_1</vt:lpstr>
      <vt:lpstr>'x-328'!TABLE_AREA_1</vt:lpstr>
      <vt:lpstr>'x-329'!TABLE_AREA_1</vt:lpstr>
      <vt:lpstr>'x-330'!TABLE_AREA_1</vt:lpstr>
      <vt:lpstr>'x-331'!TABLE_AREA_1</vt:lpstr>
      <vt:lpstr>'x-401'!TABLE_AREA_1</vt:lpstr>
      <vt:lpstr>'x-402'!TABLE_AREA_1</vt:lpstr>
      <vt:lpstr>'x-403'!TABLE_AREA_1</vt:lpstr>
      <vt:lpstr>'x-404'!TABLE_AREA_1</vt:lpstr>
      <vt:lpstr>'x-405'!TABLE_AREA_1</vt:lpstr>
      <vt:lpstr>'x-406 '!TABLE_AREA_1</vt:lpstr>
      <vt:lpstr>'x-407'!TABLE_AREA_1</vt:lpstr>
      <vt:lpstr>'x-501'!TABLE_AREA_1</vt:lpstr>
      <vt:lpstr>'x-502'!TABLE_AREA_1</vt:lpstr>
      <vt:lpstr>'x-503'!TABLE_AREA_1</vt:lpstr>
      <vt:lpstr>'x-504'!TABLE_AREA_1</vt:lpstr>
      <vt:lpstr>'x-505'!TABLE_AREA_1</vt:lpstr>
      <vt:lpstr>'x-507'!TABLE_AREA_1</vt:lpstr>
      <vt:lpstr>'x-601'!TABLE_AREA_1</vt:lpstr>
      <vt:lpstr>'x-602'!TABLE_AREA_1</vt:lpstr>
      <vt:lpstr>'x-603'!TABLE_AREA_1</vt:lpstr>
      <vt:lpstr>'x-604'!TABLE_AREA_1</vt:lpstr>
      <vt:lpstr>'x-605'!TABLE_AREA_1</vt:lpstr>
      <vt:lpstr>'x-608'!TABLE_AREA_1</vt:lpstr>
      <vt:lpstr>'x-609'!TABLE_AREA_1</vt:lpstr>
      <vt:lpstr>'x-610'!TABLE_AREA_1</vt:lpstr>
      <vt:lpstr>'x-611'!TABLE_AREA_1</vt:lpstr>
      <vt:lpstr>'x-612'!TABLE_AREA_1</vt:lpstr>
      <vt:lpstr>'x-613'!TABLE_AREA_1</vt:lpstr>
      <vt:lpstr>'x-614'!TABLE_AREA_1</vt:lpstr>
      <vt:lpstr>'x-617'!TABLE_AREA_1</vt:lpstr>
      <vt:lpstr>'x-618'!TABLE_AREA_1</vt:lpstr>
      <vt:lpstr>'x-619'!TABLE_AREA_1</vt:lpstr>
      <vt:lpstr>'x-620'!TABLE_AREA_1</vt:lpstr>
      <vt:lpstr>'x-621'!TABLE_AREA_1</vt:lpstr>
      <vt:lpstr>'x-622'!TABLE_AREA_1</vt:lpstr>
      <vt:lpstr>'x-701'!TABLE_AREA_1</vt:lpstr>
      <vt:lpstr>'x-702'!TABLE_AREA_1</vt:lpstr>
      <vt:lpstr>'x-701'!TABLE_AREA_2</vt:lpstr>
      <vt:lpstr>'x-201'!TABLE_ASSUMPTION_SET_1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'x-210'!TABLE_ASSUMPTION_SET_1</vt:lpstr>
      <vt:lpstr>'x-211'!TABLE_ASSUMPTION_SET_1</vt:lpstr>
      <vt:lpstr>'x-212'!TABLE_ASSUMPTION_SET_1</vt:lpstr>
      <vt:lpstr>'x-213'!TABLE_ASSUMPTION_SET_1</vt:lpstr>
      <vt:lpstr>'x-214'!TABLE_ASSUMPTION_SET_1</vt:lpstr>
      <vt:lpstr>'x-215'!TABLE_ASSUMPTION_SET_1</vt:lpstr>
      <vt:lpstr>'x-220'!TABLE_ASSUMPTION_SET_1</vt:lpstr>
      <vt:lpstr>'x-221'!TABLE_ASSUMPTION_SET_1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'x-308'!TABLE_ASSUMPTION_SET_1</vt:lpstr>
      <vt:lpstr>'x-309'!TABLE_ASSUMPTION_SET_1</vt:lpstr>
      <vt:lpstr>'x-310'!TABLE_ASSUMPTION_SET_1</vt:lpstr>
      <vt:lpstr>'x-311'!TABLE_ASSUMPTION_SET_1</vt:lpstr>
      <vt:lpstr>'x-312'!TABLE_ASSUMPTION_SET_1</vt:lpstr>
      <vt:lpstr>'x-313'!TABLE_ASSUMPTION_SET_1</vt:lpstr>
      <vt:lpstr>'x-314'!TABLE_ASSUMPTION_SET_1</vt:lpstr>
      <vt:lpstr>'x-315'!TABLE_ASSUMPTION_SET_1</vt:lpstr>
      <vt:lpstr>'x-316'!TABLE_ASSUMPTION_SET_1</vt:lpstr>
      <vt:lpstr>'x-317'!TABLE_ASSUMPTION_SET_1</vt:lpstr>
      <vt:lpstr>'x-321'!TABLE_ASSUMPTION_SET_1</vt:lpstr>
      <vt:lpstr>'x-322'!TABLE_ASSUMPTION_SET_1</vt:lpstr>
      <vt:lpstr>'x-323'!TABLE_ASSUMPTION_SET_1</vt:lpstr>
      <vt:lpstr>'x-324'!TABLE_ASSUMPTION_SET_1</vt:lpstr>
      <vt:lpstr>'x-325'!TABLE_ASSUMPTION_SET_1</vt:lpstr>
      <vt:lpstr>'x-326'!TABLE_ASSUMPTION_SET_1</vt:lpstr>
      <vt:lpstr>'x-327'!TABLE_ASSUMPTION_SET_1</vt:lpstr>
      <vt:lpstr>'x-328'!TABLE_ASSUMPTION_SET_1</vt:lpstr>
      <vt:lpstr>'x-329'!TABLE_ASSUMPTION_SET_1</vt:lpstr>
      <vt:lpstr>'x-330'!TABLE_ASSUMPTION_SET_1</vt:lpstr>
      <vt:lpstr>'x-331'!TABLE_ASSUMPTION_SET_1</vt:lpstr>
      <vt:lpstr>'x-401'!TABLE_ASSUMPTION_SET_1</vt:lpstr>
      <vt:lpstr>'x-402'!TABLE_ASSUMPTION_SET_1</vt:lpstr>
      <vt:lpstr>'x-403'!TABLE_ASSUMPTION_SET_1</vt:lpstr>
      <vt:lpstr>'x-404'!TABLE_ASSUMPTION_SET_1</vt:lpstr>
      <vt:lpstr>'x-405'!TABLE_ASSUMPTION_SET_1</vt:lpstr>
      <vt:lpstr>'x-406 '!TABLE_ASSUMPTION_SET_1</vt:lpstr>
      <vt:lpstr>'x-407'!TABLE_ASSUMPTION_SET_1</vt:lpstr>
      <vt:lpstr>'x-501'!TABLE_ASSUMPTION_SET_1</vt:lpstr>
      <vt:lpstr>'x-502'!TABLE_ASSUMPTION_SET_1</vt:lpstr>
      <vt:lpstr>'x-503'!TABLE_ASSUMPTION_SET_1</vt:lpstr>
      <vt:lpstr>'x-504'!TABLE_ASSUMPTION_SET_1</vt:lpstr>
      <vt:lpstr>'x-505'!TABLE_ASSUMPTION_SET_1</vt:lpstr>
      <vt:lpstr>'x-506'!TABLE_ASSUMPTION_SET_1</vt:lpstr>
      <vt:lpstr>'x-507'!TABLE_ASSUMPTION_SET_1</vt:lpstr>
      <vt:lpstr>'x-601'!TABLE_ASSUMPTION_SET_1</vt:lpstr>
      <vt:lpstr>'x-602'!TABLE_ASSUMPTION_SET_1</vt:lpstr>
      <vt:lpstr>'x-603'!TABLE_ASSUMPTION_SET_1</vt:lpstr>
      <vt:lpstr>'x-604'!TABLE_ASSUMPTION_SET_1</vt:lpstr>
      <vt:lpstr>'x-605'!TABLE_ASSUMPTION_SET_1</vt:lpstr>
      <vt:lpstr>'x-606'!TABLE_ASSUMPTION_SET_1</vt:lpstr>
      <vt:lpstr>'x-607'!TABLE_ASSUMPTION_SET_1</vt:lpstr>
      <vt:lpstr>'x-608'!TABLE_ASSUMPTION_SET_1</vt:lpstr>
      <vt:lpstr>'x-609'!TABLE_ASSUMPTION_SET_1</vt:lpstr>
      <vt:lpstr>'x-610'!TABLE_ASSUMPTION_SET_1</vt:lpstr>
      <vt:lpstr>'x-611'!TABLE_ASSUMPTION_SET_1</vt:lpstr>
      <vt:lpstr>'x-612'!TABLE_ASSUMPTION_SET_1</vt:lpstr>
      <vt:lpstr>'x-613'!TABLE_ASSUMPTION_SET_1</vt:lpstr>
      <vt:lpstr>'x-614'!TABLE_ASSUMPTION_SET_1</vt:lpstr>
      <vt:lpstr>'x-615'!TABLE_ASSUMPTION_SET_1</vt:lpstr>
      <vt:lpstr>'x-616'!TABLE_ASSUMPTION_SET_1</vt:lpstr>
      <vt:lpstr>'x-617'!TABLE_ASSUMPTION_SET_1</vt:lpstr>
      <vt:lpstr>'x-618'!TABLE_ASSUMPTION_SET_1</vt:lpstr>
      <vt:lpstr>'x-619'!TABLE_ASSUMPTION_SET_1</vt:lpstr>
      <vt:lpstr>'x-620'!TABLE_ASSUMPTION_SET_1</vt:lpstr>
      <vt:lpstr>'x-621'!TABLE_ASSUMPTION_SET_1</vt:lpstr>
      <vt:lpstr>'x-622'!TABLE_ASSUMPTION_SET_1</vt:lpstr>
      <vt:lpstr>'x-626'!TABLE_ASSUMPTION_SET_1</vt:lpstr>
      <vt:lpstr>'x-627'!TABLE_ASSUMPTION_SET_1</vt:lpstr>
      <vt:lpstr>'x-701'!TABLE_ASSUMPTION_SET_1</vt:lpstr>
      <vt:lpstr>'x-702'!TABLE_ASSUMPTION_SET_1</vt:lpstr>
      <vt:lpstr>'x-701'!TABLE_ASSUMPTION_SET_2</vt:lpstr>
      <vt:lpstr>TABLE_CLIENT</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'x-220'!TABLE_CLIENT_1</vt:lpstr>
      <vt:lpstr>'x-221'!TABLE_CLIENT_1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'x-310'!TABLE_CLIENT_1</vt:lpstr>
      <vt:lpstr>'x-311'!TABLE_CLIENT_1</vt:lpstr>
      <vt:lpstr>'x-312'!TABLE_CLIENT_1</vt:lpstr>
      <vt:lpstr>'x-313'!TABLE_CLIENT_1</vt:lpstr>
      <vt:lpstr>'x-314'!TABLE_CLIENT_1</vt:lpstr>
      <vt:lpstr>'x-315'!TABLE_CLIENT_1</vt:lpstr>
      <vt:lpstr>'x-316'!TABLE_CLIENT_1</vt:lpstr>
      <vt:lpstr>'x-317'!TABLE_CLIENT_1</vt:lpstr>
      <vt:lpstr>'x-321'!TABLE_CLIENT_1</vt:lpstr>
      <vt:lpstr>'x-322'!TABLE_CLIENT_1</vt:lpstr>
      <vt:lpstr>'x-323'!TABLE_CLIENT_1</vt:lpstr>
      <vt:lpstr>'x-324'!TABLE_CLIENT_1</vt:lpstr>
      <vt:lpstr>'x-325'!TABLE_CLIENT_1</vt:lpstr>
      <vt:lpstr>'x-326'!TABLE_CLIENT_1</vt:lpstr>
      <vt:lpstr>'x-327'!TABLE_CLIENT_1</vt:lpstr>
      <vt:lpstr>'x-328'!TABLE_CLIENT_1</vt:lpstr>
      <vt:lpstr>'x-329'!TABLE_CLIENT_1</vt:lpstr>
      <vt:lpstr>'x-330'!TABLE_CLIENT_1</vt:lpstr>
      <vt:lpstr>'x-331'!TABLE_CLIENT_1</vt:lpstr>
      <vt:lpstr>'x-401'!TABLE_CLIENT_1</vt:lpstr>
      <vt:lpstr>'x-402'!TABLE_CLIENT_1</vt:lpstr>
      <vt:lpstr>'x-403'!TABLE_CLIENT_1</vt:lpstr>
      <vt:lpstr>'x-404'!TABLE_CLIENT_1</vt:lpstr>
      <vt:lpstr>'x-405'!TABLE_CLIENT_1</vt:lpstr>
      <vt:lpstr>'x-406 '!TABLE_CLIENT_1</vt:lpstr>
      <vt:lpstr>'x-407'!TABLE_CLIENT_1</vt:lpstr>
      <vt:lpstr>'x-501'!TABLE_CLIENT_1</vt:lpstr>
      <vt:lpstr>'x-502'!TABLE_CLIENT_1</vt:lpstr>
      <vt:lpstr>'x-503'!TABLE_CLIENT_1</vt:lpstr>
      <vt:lpstr>'x-504'!TABLE_CLIENT_1</vt:lpstr>
      <vt:lpstr>'x-505'!TABLE_CLIENT_1</vt:lpstr>
      <vt:lpstr>'x-506'!TABLE_CLIENT_1</vt:lpstr>
      <vt:lpstr>'x-507'!TABLE_CLIENT_1</vt:lpstr>
      <vt:lpstr>'x-601'!TABLE_CLIENT_1</vt:lpstr>
      <vt:lpstr>'x-602'!TABLE_CLIENT_1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'x-616'!TABLE_CLIENT_1</vt:lpstr>
      <vt:lpstr>'x-617'!TABLE_CLIENT_1</vt:lpstr>
      <vt:lpstr>'x-618'!TABLE_CLIENT_1</vt:lpstr>
      <vt:lpstr>'x-619'!TABLE_CLIENT_1</vt:lpstr>
      <vt:lpstr>'x-620'!TABLE_CLIENT_1</vt:lpstr>
      <vt:lpstr>'x-621'!TABLE_CLIENT_1</vt:lpstr>
      <vt:lpstr>'x-622'!TABLE_CLIENT_1</vt:lpstr>
      <vt:lpstr>'x-626'!TABLE_CLIENT_1</vt:lpstr>
      <vt:lpstr>'x-627'!TABLE_CLIENT_1</vt:lpstr>
      <vt:lpstr>'x-701'!TABLE_CLIENT_1</vt:lpstr>
      <vt:lpstr>'x-702'!TABLE_CLIENT_1</vt:lpstr>
      <vt:lpstr>'x-701'!TABLE_CLIENT_2</vt:lpstr>
      <vt:lpstr>TABLE_DATE_IMPLEMENTED</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'x-220'!TABLE_DATE_IMPLEMENTED_1</vt:lpstr>
      <vt:lpstr>'x-221'!TABLE_DATE_IMPLEMENTED_1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'x-310'!TABLE_DATE_IMPLEMENTED_1</vt:lpstr>
      <vt:lpstr>'x-311'!TABLE_DATE_IMPLEMENTED_1</vt:lpstr>
      <vt:lpstr>'x-312'!TABLE_DATE_IMPLEMENTED_1</vt:lpstr>
      <vt:lpstr>'x-313'!TABLE_DATE_IMPLEMENTED_1</vt:lpstr>
      <vt:lpstr>'x-314'!TABLE_DATE_IMPLEMENTED_1</vt:lpstr>
      <vt:lpstr>'x-315'!TABLE_DATE_IMPLEMENTED_1</vt:lpstr>
      <vt:lpstr>'x-316'!TABLE_DATE_IMPLEMENTED_1</vt:lpstr>
      <vt:lpstr>'x-317'!TABLE_DATE_IMPLEMENTED_1</vt:lpstr>
      <vt:lpstr>'x-321'!TABLE_DATE_IMPLEMENTED_1</vt:lpstr>
      <vt:lpstr>'x-322'!TABLE_DATE_IMPLEMENTED_1</vt:lpstr>
      <vt:lpstr>'x-323'!TABLE_DATE_IMPLEMENTED_1</vt:lpstr>
      <vt:lpstr>'x-324'!TABLE_DATE_IMPLEMENTED_1</vt:lpstr>
      <vt:lpstr>'x-325'!TABLE_DATE_IMPLEMENTED_1</vt:lpstr>
      <vt:lpstr>'x-326'!TABLE_DATE_IMPLEMENTED_1</vt:lpstr>
      <vt:lpstr>'x-327'!TABLE_DATE_IMPLEMENTED_1</vt:lpstr>
      <vt:lpstr>'x-328'!TABLE_DATE_IMPLEMENTED_1</vt:lpstr>
      <vt:lpstr>'x-329'!TABLE_DATE_IMPLEMENTED_1</vt:lpstr>
      <vt:lpstr>'x-330'!TABLE_DATE_IMPLEMENTED_1</vt:lpstr>
      <vt:lpstr>'x-331'!TABLE_DATE_IMPLEMENTED_1</vt:lpstr>
      <vt:lpstr>'x-401'!TABLE_DATE_IMPLEMENTED_1</vt:lpstr>
      <vt:lpstr>'x-402'!TABLE_DATE_IMPLEMENTED_1</vt:lpstr>
      <vt:lpstr>'x-403'!TABLE_DATE_IMPLEMENTED_1</vt:lpstr>
      <vt:lpstr>'x-404'!TABLE_DATE_IMPLEMENTED_1</vt:lpstr>
      <vt:lpstr>'x-405'!TABLE_DATE_IMPLEMENTED_1</vt:lpstr>
      <vt:lpstr>'x-406 '!TABLE_DATE_IMPLEMENTED_1</vt:lpstr>
      <vt:lpstr>'x-407'!TABLE_DATE_IMPLEMENTED_1</vt:lpstr>
      <vt:lpstr>'x-501'!TABLE_DATE_IMPLEMENTED_1</vt:lpstr>
      <vt:lpstr>'x-502'!TABLE_DATE_IMPLEMENTED_1</vt:lpstr>
      <vt:lpstr>'x-503'!TABLE_DATE_IMPLEMENTED_1</vt:lpstr>
      <vt:lpstr>'x-504'!TABLE_DATE_IMPLEMENTED_1</vt:lpstr>
      <vt:lpstr>'x-505'!TABLE_DATE_IMPLEMENTED_1</vt:lpstr>
      <vt:lpstr>'x-506'!TABLE_DATE_IMPLEMENTED_1</vt:lpstr>
      <vt:lpstr>'x-507'!TABLE_DATE_IMPLEMENTED_1</vt:lpstr>
      <vt:lpstr>'x-601'!TABLE_DATE_IMPLEMENTED_1</vt:lpstr>
      <vt:lpstr>'x-602'!TABLE_DATE_IMPLEMENTED_1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'x-616'!TABLE_DATE_IMPLEMENTED_1</vt:lpstr>
      <vt:lpstr>'x-617'!TABLE_DATE_IMPLEMENTED_1</vt:lpstr>
      <vt:lpstr>'x-618'!TABLE_DATE_IMPLEMENTED_1</vt:lpstr>
      <vt:lpstr>'x-619'!TABLE_DATE_IMPLEMENTED_1</vt:lpstr>
      <vt:lpstr>'x-620'!TABLE_DATE_IMPLEMENTED_1</vt:lpstr>
      <vt:lpstr>'x-621'!TABLE_DATE_IMPLEMENTED_1</vt:lpstr>
      <vt:lpstr>'x-622'!TABLE_DATE_IMPLEMENTED_1</vt:lpstr>
      <vt:lpstr>'x-626'!TABLE_DATE_IMPLEMENTED_1</vt:lpstr>
      <vt:lpstr>'x-627'!TABLE_DATE_IMPLEMENTED_1</vt:lpstr>
      <vt:lpstr>'x-701'!TABLE_DATE_IMPLEMENTED_1</vt:lpstr>
      <vt:lpstr>'x-702'!TABLE_DATE_IMPLEMENTED_1</vt:lpstr>
      <vt:lpstr>'x-701'!TABLE_DATE_IMPLEMENTED_2</vt:lpstr>
      <vt:lpstr>TABLE_DATE_ISSUED</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'x-220'!TABLE_DATE_ISSUED_1</vt:lpstr>
      <vt:lpstr>'x-221'!TABLE_DATE_ISSUED_1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'x-310'!TABLE_DATE_ISSUED_1</vt:lpstr>
      <vt:lpstr>'x-311'!TABLE_DATE_ISSUED_1</vt:lpstr>
      <vt:lpstr>'x-312'!TABLE_DATE_ISSUED_1</vt:lpstr>
      <vt:lpstr>'x-313'!TABLE_DATE_ISSUED_1</vt:lpstr>
      <vt:lpstr>'x-314'!TABLE_DATE_ISSUED_1</vt:lpstr>
      <vt:lpstr>'x-315'!TABLE_DATE_ISSUED_1</vt:lpstr>
      <vt:lpstr>'x-316'!TABLE_DATE_ISSUED_1</vt:lpstr>
      <vt:lpstr>'x-317'!TABLE_DATE_ISSUED_1</vt:lpstr>
      <vt:lpstr>'x-321'!TABLE_DATE_ISSUED_1</vt:lpstr>
      <vt:lpstr>'x-322'!TABLE_DATE_ISSUED_1</vt:lpstr>
      <vt:lpstr>'x-323'!TABLE_DATE_ISSUED_1</vt:lpstr>
      <vt:lpstr>'x-324'!TABLE_DATE_ISSUED_1</vt:lpstr>
      <vt:lpstr>'x-325'!TABLE_DATE_ISSUED_1</vt:lpstr>
      <vt:lpstr>'x-326'!TABLE_DATE_ISSUED_1</vt:lpstr>
      <vt:lpstr>'x-327'!TABLE_DATE_ISSUED_1</vt:lpstr>
      <vt:lpstr>'x-328'!TABLE_DATE_ISSUED_1</vt:lpstr>
      <vt:lpstr>'x-329'!TABLE_DATE_ISSUED_1</vt:lpstr>
      <vt:lpstr>'x-330'!TABLE_DATE_ISSUED_1</vt:lpstr>
      <vt:lpstr>'x-331'!TABLE_DATE_ISSUED_1</vt:lpstr>
      <vt:lpstr>'x-401'!TABLE_DATE_ISSUED_1</vt:lpstr>
      <vt:lpstr>'x-402'!TABLE_DATE_ISSUED_1</vt:lpstr>
      <vt:lpstr>'x-403'!TABLE_DATE_ISSUED_1</vt:lpstr>
      <vt:lpstr>'x-404'!TABLE_DATE_ISSUED_1</vt:lpstr>
      <vt:lpstr>'x-405'!TABLE_DATE_ISSUED_1</vt:lpstr>
      <vt:lpstr>'x-406 '!TABLE_DATE_ISSUED_1</vt:lpstr>
      <vt:lpstr>'x-407'!TABLE_DATE_ISSUED_1</vt:lpstr>
      <vt:lpstr>'x-501'!TABLE_DATE_ISSUED_1</vt:lpstr>
      <vt:lpstr>'x-502'!TABLE_DATE_ISSUED_1</vt:lpstr>
      <vt:lpstr>'x-503'!TABLE_DATE_ISSUED_1</vt:lpstr>
      <vt:lpstr>'x-504'!TABLE_DATE_ISSUED_1</vt:lpstr>
      <vt:lpstr>'x-505'!TABLE_DATE_ISSUED_1</vt:lpstr>
      <vt:lpstr>'x-506'!TABLE_DATE_ISSUED_1</vt:lpstr>
      <vt:lpstr>'x-507'!TABLE_DATE_ISSUED_1</vt:lpstr>
      <vt:lpstr>'x-601'!TABLE_DATE_ISSUED_1</vt:lpstr>
      <vt:lpstr>'x-602'!TABLE_DATE_ISSUED_1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'x-616'!TABLE_DATE_ISSUED_1</vt:lpstr>
      <vt:lpstr>'x-617'!TABLE_DATE_ISSUED_1</vt:lpstr>
      <vt:lpstr>'x-618'!TABLE_DATE_ISSUED_1</vt:lpstr>
      <vt:lpstr>'x-619'!TABLE_DATE_ISSUED_1</vt:lpstr>
      <vt:lpstr>'x-620'!TABLE_DATE_ISSUED_1</vt:lpstr>
      <vt:lpstr>'x-621'!TABLE_DATE_ISSUED_1</vt:lpstr>
      <vt:lpstr>'x-622'!TABLE_DATE_ISSUED_1</vt:lpstr>
      <vt:lpstr>'x-626'!TABLE_DATE_ISSUED_1</vt:lpstr>
      <vt:lpstr>'x-627'!TABLE_DATE_ISSUED_1</vt:lpstr>
      <vt:lpstr>'x-701'!TABLE_DATE_ISSUED_1</vt:lpstr>
      <vt:lpstr>'x-702'!TABLE_DATE_ISSUED_1</vt:lpstr>
      <vt:lpstr>'x-701'!TABLE_DATE_ISSUED_2</vt:lpstr>
      <vt:lpstr>TABLE_DESCRIPTION</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'x-220'!TABLE_DESCRIPTION_1</vt:lpstr>
      <vt:lpstr>'x-221'!TABLE_DESCRIPTION_1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'x-310'!TABLE_DESCRIPTION_1</vt:lpstr>
      <vt:lpstr>'x-311'!TABLE_DESCRIPTION_1</vt:lpstr>
      <vt:lpstr>'x-312'!TABLE_DESCRIPTION_1</vt:lpstr>
      <vt:lpstr>'x-313'!TABLE_DESCRIPTION_1</vt:lpstr>
      <vt:lpstr>'x-314'!TABLE_DESCRIPTION_1</vt:lpstr>
      <vt:lpstr>'x-315'!TABLE_DESCRIPTION_1</vt:lpstr>
      <vt:lpstr>'x-316'!TABLE_DESCRIPTION_1</vt:lpstr>
      <vt:lpstr>'x-317'!TABLE_DESCRIPTION_1</vt:lpstr>
      <vt:lpstr>'x-321'!TABLE_DESCRIPTION_1</vt:lpstr>
      <vt:lpstr>'x-322'!TABLE_DESCRIPTION_1</vt:lpstr>
      <vt:lpstr>'x-323'!TABLE_DESCRIPTION_1</vt:lpstr>
      <vt:lpstr>'x-324'!TABLE_DESCRIPTION_1</vt:lpstr>
      <vt:lpstr>'x-325'!TABLE_DESCRIPTION_1</vt:lpstr>
      <vt:lpstr>'x-326'!TABLE_DESCRIPTION_1</vt:lpstr>
      <vt:lpstr>'x-327'!TABLE_DESCRIPTION_1</vt:lpstr>
      <vt:lpstr>'x-328'!TABLE_DESCRIPTION_1</vt:lpstr>
      <vt:lpstr>'x-329'!TABLE_DESCRIPTION_1</vt:lpstr>
      <vt:lpstr>'x-330'!TABLE_DESCRIPTION_1</vt:lpstr>
      <vt:lpstr>'x-331'!TABLE_DESCRIPTION_1</vt:lpstr>
      <vt:lpstr>'x-401'!TABLE_DESCRIPTION_1</vt:lpstr>
      <vt:lpstr>'x-402'!TABLE_DESCRIPTION_1</vt:lpstr>
      <vt:lpstr>'x-403'!TABLE_DESCRIPTION_1</vt:lpstr>
      <vt:lpstr>'x-404'!TABLE_DESCRIPTION_1</vt:lpstr>
      <vt:lpstr>'x-405'!TABLE_DESCRIPTION_1</vt:lpstr>
      <vt:lpstr>'x-406 '!TABLE_DESCRIPTION_1</vt:lpstr>
      <vt:lpstr>'x-407'!TABLE_DESCRIPTION_1</vt:lpstr>
      <vt:lpstr>'x-501'!TABLE_DESCRIPTION_1</vt:lpstr>
      <vt:lpstr>'x-502'!TABLE_DESCRIPTION_1</vt:lpstr>
      <vt:lpstr>'x-503'!TABLE_DESCRIPTION_1</vt:lpstr>
      <vt:lpstr>'x-504'!TABLE_DESCRIPTION_1</vt:lpstr>
      <vt:lpstr>'x-505'!TABLE_DESCRIPTION_1</vt:lpstr>
      <vt:lpstr>'x-506'!TABLE_DESCRIPTION_1</vt:lpstr>
      <vt:lpstr>'x-507'!TABLE_DESCRIPTION_1</vt:lpstr>
      <vt:lpstr>'x-601'!TABLE_DESCRIPTION_1</vt:lpstr>
      <vt:lpstr>'x-602'!TABLE_DESCRIPTION_1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'x-616'!TABLE_DESCRIPTION_1</vt:lpstr>
      <vt:lpstr>'x-617'!TABLE_DESCRIPTION_1</vt:lpstr>
      <vt:lpstr>'x-618'!TABLE_DESCRIPTION_1</vt:lpstr>
      <vt:lpstr>'x-619'!TABLE_DESCRIPTION_1</vt:lpstr>
      <vt:lpstr>'x-620'!TABLE_DESCRIPTION_1</vt:lpstr>
      <vt:lpstr>'x-621'!TABLE_DESCRIPTION_1</vt:lpstr>
      <vt:lpstr>'x-622'!TABLE_DESCRIPTION_1</vt:lpstr>
      <vt:lpstr>'x-626'!TABLE_DESCRIPTION_1</vt:lpstr>
      <vt:lpstr>'x-627'!TABLE_DESCRIPTION_1</vt:lpstr>
      <vt:lpstr>'x-701'!TABLE_DESCRIPTION_1</vt:lpstr>
      <vt:lpstr>'x-702'!TABLE_DESCRIPTION_1</vt:lpstr>
      <vt:lpstr>'x-701'!TABLE_DESCRIPTION_2</vt:lpstr>
      <vt:lpstr>TABLE_FACTOR_STATUS</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'x-220'!TABLE_FACTOR_STATUS_1</vt:lpstr>
      <vt:lpstr>'x-221'!TABLE_FACTOR_STATUS_1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'x-310'!TABLE_FACTOR_STATUS_1</vt:lpstr>
      <vt:lpstr>'x-311'!TABLE_FACTOR_STATUS_1</vt:lpstr>
      <vt:lpstr>'x-312'!TABLE_FACTOR_STATUS_1</vt:lpstr>
      <vt:lpstr>'x-313'!TABLE_FACTOR_STATUS_1</vt:lpstr>
      <vt:lpstr>'x-314'!TABLE_FACTOR_STATUS_1</vt:lpstr>
      <vt:lpstr>'x-315'!TABLE_FACTOR_STATUS_1</vt:lpstr>
      <vt:lpstr>'x-316'!TABLE_FACTOR_STATUS_1</vt:lpstr>
      <vt:lpstr>'x-317'!TABLE_FACTOR_STATUS_1</vt:lpstr>
      <vt:lpstr>'x-321'!TABLE_FACTOR_STATUS_1</vt:lpstr>
      <vt:lpstr>'x-322'!TABLE_FACTOR_STATUS_1</vt:lpstr>
      <vt:lpstr>'x-323'!TABLE_FACTOR_STATUS_1</vt:lpstr>
      <vt:lpstr>'x-324'!TABLE_FACTOR_STATUS_1</vt:lpstr>
      <vt:lpstr>'x-325'!TABLE_FACTOR_STATUS_1</vt:lpstr>
      <vt:lpstr>'x-326'!TABLE_FACTOR_STATUS_1</vt:lpstr>
      <vt:lpstr>'x-327'!TABLE_FACTOR_STATUS_1</vt:lpstr>
      <vt:lpstr>'x-328'!TABLE_FACTOR_STATUS_1</vt:lpstr>
      <vt:lpstr>'x-329'!TABLE_FACTOR_STATUS_1</vt:lpstr>
      <vt:lpstr>'x-330'!TABLE_FACTOR_STATUS_1</vt:lpstr>
      <vt:lpstr>'x-331'!TABLE_FACTOR_STATUS_1</vt:lpstr>
      <vt:lpstr>'x-401'!TABLE_FACTOR_STATUS_1</vt:lpstr>
      <vt:lpstr>'x-402'!TABLE_FACTOR_STATUS_1</vt:lpstr>
      <vt:lpstr>'x-403'!TABLE_FACTOR_STATUS_1</vt:lpstr>
      <vt:lpstr>'x-404'!TABLE_FACTOR_STATUS_1</vt:lpstr>
      <vt:lpstr>'x-405'!TABLE_FACTOR_STATUS_1</vt:lpstr>
      <vt:lpstr>'x-406 '!TABLE_FACTOR_STATUS_1</vt:lpstr>
      <vt:lpstr>'x-407'!TABLE_FACTOR_STATUS_1</vt:lpstr>
      <vt:lpstr>'x-501'!TABLE_FACTOR_STATUS_1</vt:lpstr>
      <vt:lpstr>'x-502'!TABLE_FACTOR_STATUS_1</vt:lpstr>
      <vt:lpstr>'x-503'!TABLE_FACTOR_STATUS_1</vt:lpstr>
      <vt:lpstr>'x-504'!TABLE_FACTOR_STATUS_1</vt:lpstr>
      <vt:lpstr>'x-505'!TABLE_FACTOR_STATUS_1</vt:lpstr>
      <vt:lpstr>'x-506'!TABLE_FACTOR_STATUS_1</vt:lpstr>
      <vt:lpstr>'x-507'!TABLE_FACTOR_STATUS_1</vt:lpstr>
      <vt:lpstr>'x-601'!TABLE_FACTOR_STATUS_1</vt:lpstr>
      <vt:lpstr>'x-602'!TABLE_FACTOR_STATUS_1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'x-616'!TABLE_FACTOR_STATUS_1</vt:lpstr>
      <vt:lpstr>'x-617'!TABLE_FACTOR_STATUS_1</vt:lpstr>
      <vt:lpstr>'x-618'!TABLE_FACTOR_STATUS_1</vt:lpstr>
      <vt:lpstr>'x-619'!TABLE_FACTOR_STATUS_1</vt:lpstr>
      <vt:lpstr>'x-620'!TABLE_FACTOR_STATUS_1</vt:lpstr>
      <vt:lpstr>'x-621'!TABLE_FACTOR_STATUS_1</vt:lpstr>
      <vt:lpstr>'x-622'!TABLE_FACTOR_STATUS_1</vt:lpstr>
      <vt:lpstr>'x-626'!TABLE_FACTOR_STATUS_1</vt:lpstr>
      <vt:lpstr>'x-627'!TABLE_FACTOR_STATUS_1</vt:lpstr>
      <vt:lpstr>'x-701'!TABLE_FACTOR_STATUS_1</vt:lpstr>
      <vt:lpstr>'x-702'!TABLE_FACTOR_STATUS_1</vt:lpstr>
      <vt:lpstr>'x-701'!TABLE_FACTOR_STATUS_2</vt:lpstr>
      <vt:lpstr>TABLE_FACTOR_TYPE</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'x-220'!TABLE_FACTOR_TYPE_1</vt:lpstr>
      <vt:lpstr>'x-221'!TABLE_FACTOR_TYPE_1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'x-310'!TABLE_FACTOR_TYPE_1</vt:lpstr>
      <vt:lpstr>'x-311'!TABLE_FACTOR_TYPE_1</vt:lpstr>
      <vt:lpstr>'x-312'!TABLE_FACTOR_TYPE_1</vt:lpstr>
      <vt:lpstr>'x-313'!TABLE_FACTOR_TYPE_1</vt:lpstr>
      <vt:lpstr>'x-314'!TABLE_FACTOR_TYPE_1</vt:lpstr>
      <vt:lpstr>'x-315'!TABLE_FACTOR_TYPE_1</vt:lpstr>
      <vt:lpstr>'x-316'!TABLE_FACTOR_TYPE_1</vt:lpstr>
      <vt:lpstr>'x-317'!TABLE_FACTOR_TYPE_1</vt:lpstr>
      <vt:lpstr>'x-321'!TABLE_FACTOR_TYPE_1</vt:lpstr>
      <vt:lpstr>'x-322'!TABLE_FACTOR_TYPE_1</vt:lpstr>
      <vt:lpstr>'x-323'!TABLE_FACTOR_TYPE_1</vt:lpstr>
      <vt:lpstr>'x-324'!TABLE_FACTOR_TYPE_1</vt:lpstr>
      <vt:lpstr>'x-325'!TABLE_FACTOR_TYPE_1</vt:lpstr>
      <vt:lpstr>'x-326'!TABLE_FACTOR_TYPE_1</vt:lpstr>
      <vt:lpstr>'x-327'!TABLE_FACTOR_TYPE_1</vt:lpstr>
      <vt:lpstr>'x-328'!TABLE_FACTOR_TYPE_1</vt:lpstr>
      <vt:lpstr>'x-329'!TABLE_FACTOR_TYPE_1</vt:lpstr>
      <vt:lpstr>'x-330'!TABLE_FACTOR_TYPE_1</vt:lpstr>
      <vt:lpstr>'x-331'!TABLE_FACTOR_TYPE_1</vt:lpstr>
      <vt:lpstr>'x-401'!TABLE_FACTOR_TYPE_1</vt:lpstr>
      <vt:lpstr>'x-402'!TABLE_FACTOR_TYPE_1</vt:lpstr>
      <vt:lpstr>'x-403'!TABLE_FACTOR_TYPE_1</vt:lpstr>
      <vt:lpstr>'x-404'!TABLE_FACTOR_TYPE_1</vt:lpstr>
      <vt:lpstr>'x-405'!TABLE_FACTOR_TYPE_1</vt:lpstr>
      <vt:lpstr>'x-406 '!TABLE_FACTOR_TYPE_1</vt:lpstr>
      <vt:lpstr>'x-407'!TABLE_FACTOR_TYPE_1</vt:lpstr>
      <vt:lpstr>'x-501'!TABLE_FACTOR_TYPE_1</vt:lpstr>
      <vt:lpstr>'x-502'!TABLE_FACTOR_TYPE_1</vt:lpstr>
      <vt:lpstr>'x-503'!TABLE_FACTOR_TYPE_1</vt:lpstr>
      <vt:lpstr>'x-504'!TABLE_FACTOR_TYPE_1</vt:lpstr>
      <vt:lpstr>'x-505'!TABLE_FACTOR_TYPE_1</vt:lpstr>
      <vt:lpstr>'x-506'!TABLE_FACTOR_TYPE_1</vt:lpstr>
      <vt:lpstr>'x-507'!TABLE_FACTOR_TYPE_1</vt:lpstr>
      <vt:lpstr>'x-601'!TABLE_FACTOR_TYPE_1</vt:lpstr>
      <vt:lpstr>'x-602'!TABLE_FACTOR_TYPE_1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'x-616'!TABLE_FACTOR_TYPE_1</vt:lpstr>
      <vt:lpstr>'x-617'!TABLE_FACTOR_TYPE_1</vt:lpstr>
      <vt:lpstr>'x-618'!TABLE_FACTOR_TYPE_1</vt:lpstr>
      <vt:lpstr>'x-619'!TABLE_FACTOR_TYPE_1</vt:lpstr>
      <vt:lpstr>'x-620'!TABLE_FACTOR_TYPE_1</vt:lpstr>
      <vt:lpstr>'x-621'!TABLE_FACTOR_TYPE_1</vt:lpstr>
      <vt:lpstr>'x-622'!TABLE_FACTOR_TYPE_1</vt:lpstr>
      <vt:lpstr>'x-626'!TABLE_FACTOR_TYPE_1</vt:lpstr>
      <vt:lpstr>'x-627'!TABLE_FACTOR_TYPE_1</vt:lpstr>
      <vt:lpstr>'x-701'!TABLE_FACTOR_TYPE_1</vt:lpstr>
      <vt:lpstr>'x-702'!TABLE_FACTOR_TYPE_1</vt:lpstr>
      <vt:lpstr>'x-701'!TABLE_FACTOR_TYPE_2</vt:lpstr>
      <vt:lpstr>TABLE_GENDER</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'x-220'!TABLE_GENDER_1</vt:lpstr>
      <vt:lpstr>'x-221'!TABLE_GENDER_1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'x-310'!TABLE_GENDER_1</vt:lpstr>
      <vt:lpstr>'x-311'!TABLE_GENDER_1</vt:lpstr>
      <vt:lpstr>'x-312'!TABLE_GENDER_1</vt:lpstr>
      <vt:lpstr>'x-313'!TABLE_GENDER_1</vt:lpstr>
      <vt:lpstr>'x-314'!TABLE_GENDER_1</vt:lpstr>
      <vt:lpstr>'x-315'!TABLE_GENDER_1</vt:lpstr>
      <vt:lpstr>'x-316'!TABLE_GENDER_1</vt:lpstr>
      <vt:lpstr>'x-317'!TABLE_GENDER_1</vt:lpstr>
      <vt:lpstr>'x-321'!TABLE_GENDER_1</vt:lpstr>
      <vt:lpstr>'x-322'!TABLE_GENDER_1</vt:lpstr>
      <vt:lpstr>'x-323'!TABLE_GENDER_1</vt:lpstr>
      <vt:lpstr>'x-324'!TABLE_GENDER_1</vt:lpstr>
      <vt:lpstr>'x-325'!TABLE_GENDER_1</vt:lpstr>
      <vt:lpstr>'x-326'!TABLE_GENDER_1</vt:lpstr>
      <vt:lpstr>'x-327'!TABLE_GENDER_1</vt:lpstr>
      <vt:lpstr>'x-328'!TABLE_GENDER_1</vt:lpstr>
      <vt:lpstr>'x-329'!TABLE_GENDER_1</vt:lpstr>
      <vt:lpstr>'x-330'!TABLE_GENDER_1</vt:lpstr>
      <vt:lpstr>'x-331'!TABLE_GENDER_1</vt:lpstr>
      <vt:lpstr>'x-401'!TABLE_GENDER_1</vt:lpstr>
      <vt:lpstr>'x-402'!TABLE_GENDER_1</vt:lpstr>
      <vt:lpstr>'x-403'!TABLE_GENDER_1</vt:lpstr>
      <vt:lpstr>'x-404'!TABLE_GENDER_1</vt:lpstr>
      <vt:lpstr>'x-405'!TABLE_GENDER_1</vt:lpstr>
      <vt:lpstr>'x-406 '!TABLE_GENDER_1</vt:lpstr>
      <vt:lpstr>'x-407'!TABLE_GENDER_1</vt:lpstr>
      <vt:lpstr>'x-501'!TABLE_GENDER_1</vt:lpstr>
      <vt:lpstr>'x-502'!TABLE_GENDER_1</vt:lpstr>
      <vt:lpstr>'x-503'!TABLE_GENDER_1</vt:lpstr>
      <vt:lpstr>'x-504'!TABLE_GENDER_1</vt:lpstr>
      <vt:lpstr>'x-505'!TABLE_GENDER_1</vt:lpstr>
      <vt:lpstr>'x-506'!TABLE_GENDER_1</vt:lpstr>
      <vt:lpstr>'x-507'!TABLE_GENDER_1</vt:lpstr>
      <vt:lpstr>'x-601'!TABLE_GENDER_1</vt:lpstr>
      <vt:lpstr>'x-602'!TABLE_GENDER_1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'x-616'!TABLE_GENDER_1</vt:lpstr>
      <vt:lpstr>'x-617'!TABLE_GENDER_1</vt:lpstr>
      <vt:lpstr>'x-618'!TABLE_GENDER_1</vt:lpstr>
      <vt:lpstr>'x-619'!TABLE_GENDER_1</vt:lpstr>
      <vt:lpstr>'x-620'!TABLE_GENDER_1</vt:lpstr>
      <vt:lpstr>'x-621'!TABLE_GENDER_1</vt:lpstr>
      <vt:lpstr>'x-622'!TABLE_GENDER_1</vt:lpstr>
      <vt:lpstr>'x-626'!TABLE_GENDER_1</vt:lpstr>
      <vt:lpstr>'x-627'!TABLE_GENDER_1</vt:lpstr>
      <vt:lpstr>'x-701'!TABLE_GENDER_1</vt:lpstr>
      <vt:lpstr>'x-702'!TABLE_GENDER_1</vt:lpstr>
      <vt:lpstr>'x-701'!TABLE_GENDER_2</vt:lpstr>
      <vt:lpstr>TABLE_INFO</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'x-220'!TABLE_INFO_1</vt:lpstr>
      <vt:lpstr>'x-221'!TABLE_INFO_1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'x-310'!TABLE_INFO_1</vt:lpstr>
      <vt:lpstr>'x-311'!TABLE_INFO_1</vt:lpstr>
      <vt:lpstr>'x-312'!TABLE_INFO_1</vt:lpstr>
      <vt:lpstr>'x-313'!TABLE_INFO_1</vt:lpstr>
      <vt:lpstr>'x-314'!TABLE_INFO_1</vt:lpstr>
      <vt:lpstr>'x-315'!TABLE_INFO_1</vt:lpstr>
      <vt:lpstr>'x-316'!TABLE_INFO_1</vt:lpstr>
      <vt:lpstr>'x-317'!TABLE_INFO_1</vt:lpstr>
      <vt:lpstr>'x-321'!TABLE_INFO_1</vt:lpstr>
      <vt:lpstr>'x-322'!TABLE_INFO_1</vt:lpstr>
      <vt:lpstr>'x-323'!TABLE_INFO_1</vt:lpstr>
      <vt:lpstr>'x-324'!TABLE_INFO_1</vt:lpstr>
      <vt:lpstr>'x-325'!TABLE_INFO_1</vt:lpstr>
      <vt:lpstr>'x-326'!TABLE_INFO_1</vt:lpstr>
      <vt:lpstr>'x-327'!TABLE_INFO_1</vt:lpstr>
      <vt:lpstr>'x-328'!TABLE_INFO_1</vt:lpstr>
      <vt:lpstr>'x-329'!TABLE_INFO_1</vt:lpstr>
      <vt:lpstr>'x-330'!TABLE_INFO_1</vt:lpstr>
      <vt:lpstr>'x-331'!TABLE_INFO_1</vt:lpstr>
      <vt:lpstr>'x-401'!TABLE_INFO_1</vt:lpstr>
      <vt:lpstr>'x-402'!TABLE_INFO_1</vt:lpstr>
      <vt:lpstr>'x-403'!TABLE_INFO_1</vt:lpstr>
      <vt:lpstr>'x-404'!TABLE_INFO_1</vt:lpstr>
      <vt:lpstr>'x-405'!TABLE_INFO_1</vt:lpstr>
      <vt:lpstr>'x-406 '!TABLE_INFO_1</vt:lpstr>
      <vt:lpstr>'x-407'!TABLE_INFO_1</vt:lpstr>
      <vt:lpstr>'x-501'!TABLE_INFO_1</vt:lpstr>
      <vt:lpstr>'x-502'!TABLE_INFO_1</vt:lpstr>
      <vt:lpstr>'x-503'!TABLE_INFO_1</vt:lpstr>
      <vt:lpstr>'x-504'!TABLE_INFO_1</vt:lpstr>
      <vt:lpstr>'x-505'!TABLE_INFO_1</vt:lpstr>
      <vt:lpstr>'x-506'!TABLE_INFO_1</vt:lpstr>
      <vt:lpstr>'x-507'!TABLE_INFO_1</vt:lpstr>
      <vt:lpstr>'x-601'!TABLE_INFO_1</vt:lpstr>
      <vt:lpstr>'x-602'!TABLE_INFO_1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'x-616'!TABLE_INFO_1</vt:lpstr>
      <vt:lpstr>'x-617'!TABLE_INFO_1</vt:lpstr>
      <vt:lpstr>'x-618'!TABLE_INFO_1</vt:lpstr>
      <vt:lpstr>'x-619'!TABLE_INFO_1</vt:lpstr>
      <vt:lpstr>'x-620'!TABLE_INFO_1</vt:lpstr>
      <vt:lpstr>'x-621'!TABLE_INFO_1</vt:lpstr>
      <vt:lpstr>'x-622'!TABLE_INFO_1</vt:lpstr>
      <vt:lpstr>'x-626'!TABLE_INFO_1</vt:lpstr>
      <vt:lpstr>'x-627'!TABLE_INFO_1</vt:lpstr>
      <vt:lpstr>'x-701'!TABLE_INFO_1</vt:lpstr>
      <vt:lpstr>'x-702'!TABLE_INFO_1</vt:lpstr>
      <vt:lpstr>'x-701'!TABLE_INFO_2</vt:lpstr>
      <vt:lpstr>TABLE_REFERENCE</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'x-220'!TABLE_REFERENCE_1</vt:lpstr>
      <vt:lpstr>'x-221'!TABLE_REFERENCE_1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'x-310'!TABLE_REFERENCE_1</vt:lpstr>
      <vt:lpstr>'x-311'!TABLE_REFERENCE_1</vt:lpstr>
      <vt:lpstr>'x-312'!TABLE_REFERENCE_1</vt:lpstr>
      <vt:lpstr>'x-313'!TABLE_REFERENCE_1</vt:lpstr>
      <vt:lpstr>'x-314'!TABLE_REFERENCE_1</vt:lpstr>
      <vt:lpstr>'x-315'!TABLE_REFERENCE_1</vt:lpstr>
      <vt:lpstr>'x-316'!TABLE_REFERENCE_1</vt:lpstr>
      <vt:lpstr>'x-317'!TABLE_REFERENCE_1</vt:lpstr>
      <vt:lpstr>'x-321'!TABLE_REFERENCE_1</vt:lpstr>
      <vt:lpstr>'x-322'!TABLE_REFERENCE_1</vt:lpstr>
      <vt:lpstr>'x-323'!TABLE_REFERENCE_1</vt:lpstr>
      <vt:lpstr>'x-324'!TABLE_REFERENCE_1</vt:lpstr>
      <vt:lpstr>'x-325'!TABLE_REFERENCE_1</vt:lpstr>
      <vt:lpstr>'x-326'!TABLE_REFERENCE_1</vt:lpstr>
      <vt:lpstr>'x-327'!TABLE_REFERENCE_1</vt:lpstr>
      <vt:lpstr>'x-328'!TABLE_REFERENCE_1</vt:lpstr>
      <vt:lpstr>'x-329'!TABLE_REFERENCE_1</vt:lpstr>
      <vt:lpstr>'x-330'!TABLE_REFERENCE_1</vt:lpstr>
      <vt:lpstr>'x-331'!TABLE_REFERENCE_1</vt:lpstr>
      <vt:lpstr>'x-401'!TABLE_REFERENCE_1</vt:lpstr>
      <vt:lpstr>'x-402'!TABLE_REFERENCE_1</vt:lpstr>
      <vt:lpstr>'x-403'!TABLE_REFERENCE_1</vt:lpstr>
      <vt:lpstr>'x-404'!TABLE_REFERENCE_1</vt:lpstr>
      <vt:lpstr>'x-405'!TABLE_REFERENCE_1</vt:lpstr>
      <vt:lpstr>'x-406 '!TABLE_REFERENCE_1</vt:lpstr>
      <vt:lpstr>'x-407'!TABLE_REFERENCE_1</vt:lpstr>
      <vt:lpstr>'x-501'!TABLE_REFERENCE_1</vt:lpstr>
      <vt:lpstr>'x-502'!TABLE_REFERENCE_1</vt:lpstr>
      <vt:lpstr>'x-503'!TABLE_REFERENCE_1</vt:lpstr>
      <vt:lpstr>'x-504'!TABLE_REFERENCE_1</vt:lpstr>
      <vt:lpstr>'x-505'!TABLE_REFERENCE_1</vt:lpstr>
      <vt:lpstr>'x-506'!TABLE_REFERENCE_1</vt:lpstr>
      <vt:lpstr>'x-507'!TABLE_REFERENCE_1</vt:lpstr>
      <vt:lpstr>'x-601'!TABLE_REFERENCE_1</vt:lpstr>
      <vt:lpstr>'x-602'!TABLE_REFERENCE_1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'x-616'!TABLE_REFERENCE_1</vt:lpstr>
      <vt:lpstr>'x-617'!TABLE_REFERENCE_1</vt:lpstr>
      <vt:lpstr>'x-618'!TABLE_REFERENCE_1</vt:lpstr>
      <vt:lpstr>'x-619'!TABLE_REFERENCE_1</vt:lpstr>
      <vt:lpstr>'x-620'!TABLE_REFERENCE_1</vt:lpstr>
      <vt:lpstr>'x-621'!TABLE_REFERENCE_1</vt:lpstr>
      <vt:lpstr>'x-622'!TABLE_REFERENCE_1</vt:lpstr>
      <vt:lpstr>'x-626'!TABLE_REFERENCE_1</vt:lpstr>
      <vt:lpstr>'x-627'!TABLE_REFERENCE_1</vt:lpstr>
      <vt:lpstr>'x-701'!TABLE_REFERENCE_1</vt:lpstr>
      <vt:lpstr>'x-702'!TABLE_REFERENCE_1</vt:lpstr>
      <vt:lpstr>'x-701'!TABLE_REFERENCE_2</vt:lpstr>
      <vt:lpstr>TABLE_REFERENCE_GUIDANCE</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'x-220'!TABLE_REFERENCE_GUIDANCE_1</vt:lpstr>
      <vt:lpstr>'x-221'!TABLE_REFERENCE_GUIDANCE_1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'x-310'!TABLE_REFERENCE_GUIDANCE_1</vt:lpstr>
      <vt:lpstr>'x-311'!TABLE_REFERENCE_GUIDANCE_1</vt:lpstr>
      <vt:lpstr>'x-312'!TABLE_REFERENCE_GUIDANCE_1</vt:lpstr>
      <vt:lpstr>'x-313'!TABLE_REFERENCE_GUIDANCE_1</vt:lpstr>
      <vt:lpstr>'x-314'!TABLE_REFERENCE_GUIDANCE_1</vt:lpstr>
      <vt:lpstr>'x-315'!TABLE_REFERENCE_GUIDANCE_1</vt:lpstr>
      <vt:lpstr>'x-316'!TABLE_REFERENCE_GUIDANCE_1</vt:lpstr>
      <vt:lpstr>'x-317'!TABLE_REFERENCE_GUIDANCE_1</vt:lpstr>
      <vt:lpstr>'x-321'!TABLE_REFERENCE_GUIDANCE_1</vt:lpstr>
      <vt:lpstr>'x-322'!TABLE_REFERENCE_GUIDANCE_1</vt:lpstr>
      <vt:lpstr>'x-323'!TABLE_REFERENCE_GUIDANCE_1</vt:lpstr>
      <vt:lpstr>'x-324'!TABLE_REFERENCE_GUIDANCE_1</vt:lpstr>
      <vt:lpstr>'x-325'!TABLE_REFERENCE_GUIDANCE_1</vt:lpstr>
      <vt:lpstr>'x-326'!TABLE_REFERENCE_GUIDANCE_1</vt:lpstr>
      <vt:lpstr>'x-327'!TABLE_REFERENCE_GUIDANCE_1</vt:lpstr>
      <vt:lpstr>'x-328'!TABLE_REFERENCE_GUIDANCE_1</vt:lpstr>
      <vt:lpstr>'x-329'!TABLE_REFERENCE_GUIDANCE_1</vt:lpstr>
      <vt:lpstr>'x-330'!TABLE_REFERENCE_GUIDANCE_1</vt:lpstr>
      <vt:lpstr>'x-331'!TABLE_REFERENCE_GUIDANCE_1</vt:lpstr>
      <vt:lpstr>'x-401'!TABLE_REFERENCE_GUIDANCE_1</vt:lpstr>
      <vt:lpstr>'x-402'!TABLE_REFERENCE_GUIDANCE_1</vt:lpstr>
      <vt:lpstr>'x-403'!TABLE_REFERENCE_GUIDANCE_1</vt:lpstr>
      <vt:lpstr>'x-404'!TABLE_REFERENCE_GUIDANCE_1</vt:lpstr>
      <vt:lpstr>'x-405'!TABLE_REFERENCE_GUIDANCE_1</vt:lpstr>
      <vt:lpstr>'x-406 '!TABLE_REFERENCE_GUIDANCE_1</vt:lpstr>
      <vt:lpstr>'x-407'!TABLE_REFERENCE_GUIDANCE_1</vt:lpstr>
      <vt:lpstr>'x-501'!TABLE_REFERENCE_GUIDANCE_1</vt:lpstr>
      <vt:lpstr>'x-502'!TABLE_REFERENCE_GUIDANCE_1</vt:lpstr>
      <vt:lpstr>'x-503'!TABLE_REFERENCE_GUIDANCE_1</vt:lpstr>
      <vt:lpstr>'x-504'!TABLE_REFERENCE_GUIDANCE_1</vt:lpstr>
      <vt:lpstr>'x-505'!TABLE_REFERENCE_GUIDANCE_1</vt:lpstr>
      <vt:lpstr>'x-506'!TABLE_REFERENCE_GUIDANCE_1</vt:lpstr>
      <vt:lpstr>'x-507'!TABLE_REFERENCE_GUIDANCE_1</vt:lpstr>
      <vt:lpstr>'x-601'!TABLE_REFERENCE_GUIDANCE_1</vt:lpstr>
      <vt:lpstr>'x-602'!TABLE_REFERENCE_GUIDANCE_1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'x-616'!TABLE_REFERENCE_GUIDANCE_1</vt:lpstr>
      <vt:lpstr>'x-617'!TABLE_REFERENCE_GUIDANCE_1</vt:lpstr>
      <vt:lpstr>'x-618'!TABLE_REFERENCE_GUIDANCE_1</vt:lpstr>
      <vt:lpstr>'x-619'!TABLE_REFERENCE_GUIDANCE_1</vt:lpstr>
      <vt:lpstr>'x-620'!TABLE_REFERENCE_GUIDANCE_1</vt:lpstr>
      <vt:lpstr>'x-621'!TABLE_REFERENCE_GUIDANCE_1</vt:lpstr>
      <vt:lpstr>'x-622'!TABLE_REFERENCE_GUIDANCE_1</vt:lpstr>
      <vt:lpstr>'x-626'!TABLE_REFERENCE_GUIDANCE_1</vt:lpstr>
      <vt:lpstr>'x-627'!TABLE_REFERENCE_GUIDANCE_1</vt:lpstr>
      <vt:lpstr>'x-701'!TABLE_REFERENCE_GUIDANCE_1</vt:lpstr>
      <vt:lpstr>'x-702'!TABLE_REFERENCE_GUIDANCE_1</vt:lpstr>
      <vt:lpstr>'x-701'!TABLE_REFERENCE_GUIDANCE_2</vt:lpstr>
      <vt:lpstr>TABLE_RELATED</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'x-220'!TABLE_RELATED_1</vt:lpstr>
      <vt:lpstr>'x-221'!TABLE_RELATED_1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'x-310'!TABLE_RELATED_1</vt:lpstr>
      <vt:lpstr>'x-311'!TABLE_RELATED_1</vt:lpstr>
      <vt:lpstr>'x-312'!TABLE_RELATED_1</vt:lpstr>
      <vt:lpstr>'x-313'!TABLE_RELATED_1</vt:lpstr>
      <vt:lpstr>'x-314'!TABLE_RELATED_1</vt:lpstr>
      <vt:lpstr>'x-315'!TABLE_RELATED_1</vt:lpstr>
      <vt:lpstr>'x-316'!TABLE_RELATED_1</vt:lpstr>
      <vt:lpstr>'x-317'!TABLE_RELATED_1</vt:lpstr>
      <vt:lpstr>'x-321'!TABLE_RELATED_1</vt:lpstr>
      <vt:lpstr>'x-322'!TABLE_RELATED_1</vt:lpstr>
      <vt:lpstr>'x-323'!TABLE_RELATED_1</vt:lpstr>
      <vt:lpstr>'x-324'!TABLE_RELATED_1</vt:lpstr>
      <vt:lpstr>'x-325'!TABLE_RELATED_1</vt:lpstr>
      <vt:lpstr>'x-326'!TABLE_RELATED_1</vt:lpstr>
      <vt:lpstr>'x-327'!TABLE_RELATED_1</vt:lpstr>
      <vt:lpstr>'x-328'!TABLE_RELATED_1</vt:lpstr>
      <vt:lpstr>'x-329'!TABLE_RELATED_1</vt:lpstr>
      <vt:lpstr>'x-330'!TABLE_RELATED_1</vt:lpstr>
      <vt:lpstr>'x-331'!TABLE_RELATED_1</vt:lpstr>
      <vt:lpstr>'x-401'!TABLE_RELATED_1</vt:lpstr>
      <vt:lpstr>'x-402'!TABLE_RELATED_1</vt:lpstr>
      <vt:lpstr>'x-403'!TABLE_RELATED_1</vt:lpstr>
      <vt:lpstr>'x-404'!TABLE_RELATED_1</vt:lpstr>
      <vt:lpstr>'x-405'!TABLE_RELATED_1</vt:lpstr>
      <vt:lpstr>'x-406 '!TABLE_RELATED_1</vt:lpstr>
      <vt:lpstr>'x-407'!TABLE_RELATED_1</vt:lpstr>
      <vt:lpstr>'x-501'!TABLE_RELATED_1</vt:lpstr>
      <vt:lpstr>'x-502'!TABLE_RELATED_1</vt:lpstr>
      <vt:lpstr>'x-503'!TABLE_RELATED_1</vt:lpstr>
      <vt:lpstr>'x-504'!TABLE_RELATED_1</vt:lpstr>
      <vt:lpstr>'x-505'!TABLE_RELATED_1</vt:lpstr>
      <vt:lpstr>'x-506'!TABLE_RELATED_1</vt:lpstr>
      <vt:lpstr>'x-507'!TABLE_RELATED_1</vt:lpstr>
      <vt:lpstr>'x-601'!TABLE_RELATED_1</vt:lpstr>
      <vt:lpstr>'x-602'!TABLE_RELATED_1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'x-616'!TABLE_RELATED_1</vt:lpstr>
      <vt:lpstr>'x-617'!TABLE_RELATED_1</vt:lpstr>
      <vt:lpstr>'x-618'!TABLE_RELATED_1</vt:lpstr>
      <vt:lpstr>'x-619'!TABLE_RELATED_1</vt:lpstr>
      <vt:lpstr>'x-620'!TABLE_RELATED_1</vt:lpstr>
      <vt:lpstr>'x-621'!TABLE_RELATED_1</vt:lpstr>
      <vt:lpstr>'x-622'!TABLE_RELATED_1</vt:lpstr>
      <vt:lpstr>'x-626'!TABLE_RELATED_1</vt:lpstr>
      <vt:lpstr>'x-627'!TABLE_RELATED_1</vt:lpstr>
      <vt:lpstr>'x-701'!TABLE_RELATED_1</vt:lpstr>
      <vt:lpstr>'x-702'!TABLE_RELATED_1</vt:lpstr>
      <vt:lpstr>'x-701'!TABLE_RELATED_2</vt:lpstr>
      <vt:lpstr>TABLE_SECTION</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'x-220'!TABLE_SECTION_1</vt:lpstr>
      <vt:lpstr>'x-221'!TABLE_SECTION_1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'x-310'!TABLE_SECTION_1</vt:lpstr>
      <vt:lpstr>'x-311'!TABLE_SECTION_1</vt:lpstr>
      <vt:lpstr>'x-312'!TABLE_SECTION_1</vt:lpstr>
      <vt:lpstr>'x-313'!TABLE_SECTION_1</vt:lpstr>
      <vt:lpstr>'x-314'!TABLE_SECTION_1</vt:lpstr>
      <vt:lpstr>'x-315'!TABLE_SECTION_1</vt:lpstr>
      <vt:lpstr>'x-316'!TABLE_SECTION_1</vt:lpstr>
      <vt:lpstr>'x-317'!TABLE_SECTION_1</vt:lpstr>
      <vt:lpstr>'x-321'!TABLE_SECTION_1</vt:lpstr>
      <vt:lpstr>'x-322'!TABLE_SECTION_1</vt:lpstr>
      <vt:lpstr>'x-323'!TABLE_SECTION_1</vt:lpstr>
      <vt:lpstr>'x-324'!TABLE_SECTION_1</vt:lpstr>
      <vt:lpstr>'x-325'!TABLE_SECTION_1</vt:lpstr>
      <vt:lpstr>'x-326'!TABLE_SECTION_1</vt:lpstr>
      <vt:lpstr>'x-327'!TABLE_SECTION_1</vt:lpstr>
      <vt:lpstr>'x-328'!TABLE_SECTION_1</vt:lpstr>
      <vt:lpstr>'x-329'!TABLE_SECTION_1</vt:lpstr>
      <vt:lpstr>'x-330'!TABLE_SECTION_1</vt:lpstr>
      <vt:lpstr>'x-331'!TABLE_SECTION_1</vt:lpstr>
      <vt:lpstr>'x-401'!TABLE_SECTION_1</vt:lpstr>
      <vt:lpstr>'x-402'!TABLE_SECTION_1</vt:lpstr>
      <vt:lpstr>'x-403'!TABLE_SECTION_1</vt:lpstr>
      <vt:lpstr>'x-404'!TABLE_SECTION_1</vt:lpstr>
      <vt:lpstr>'x-405'!TABLE_SECTION_1</vt:lpstr>
      <vt:lpstr>'x-406 '!TABLE_SECTION_1</vt:lpstr>
      <vt:lpstr>'x-407'!TABLE_SECTION_1</vt:lpstr>
      <vt:lpstr>'x-501'!TABLE_SECTION_1</vt:lpstr>
      <vt:lpstr>'x-502'!TABLE_SECTION_1</vt:lpstr>
      <vt:lpstr>'x-503'!TABLE_SECTION_1</vt:lpstr>
      <vt:lpstr>'x-504'!TABLE_SECTION_1</vt:lpstr>
      <vt:lpstr>'x-505'!TABLE_SECTION_1</vt:lpstr>
      <vt:lpstr>'x-506'!TABLE_SECTION_1</vt:lpstr>
      <vt:lpstr>'x-507'!TABLE_SECTION_1</vt:lpstr>
      <vt:lpstr>'x-601'!TABLE_SECTION_1</vt:lpstr>
      <vt:lpstr>'x-602'!TABLE_SECTION_1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'x-616'!TABLE_SECTION_1</vt:lpstr>
      <vt:lpstr>'x-617'!TABLE_SECTION_1</vt:lpstr>
      <vt:lpstr>'x-618'!TABLE_SECTION_1</vt:lpstr>
      <vt:lpstr>'x-619'!TABLE_SECTION_1</vt:lpstr>
      <vt:lpstr>'x-620'!TABLE_SECTION_1</vt:lpstr>
      <vt:lpstr>'x-621'!TABLE_SECTION_1</vt:lpstr>
      <vt:lpstr>'x-622'!TABLE_SECTION_1</vt:lpstr>
      <vt:lpstr>'x-626'!TABLE_SECTION_1</vt:lpstr>
      <vt:lpstr>'x-627'!TABLE_SECTION_1</vt:lpstr>
      <vt:lpstr>'x-701'!TABLE_SECTION_1</vt:lpstr>
      <vt:lpstr>'x-702'!TABLE_SECTION_1</vt:lpstr>
      <vt:lpstr>'x-701'!TABLE_SECTION_2</vt:lpstr>
      <vt:lpstr>TABLE_SECTION_NUMBER</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'x-220'!TABLE_SECTION_NUMBER_1</vt:lpstr>
      <vt:lpstr>'x-221'!TABLE_SECTION_NUMBER_1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'x-310'!TABLE_SECTION_NUMBER_1</vt:lpstr>
      <vt:lpstr>'x-311'!TABLE_SECTION_NUMBER_1</vt:lpstr>
      <vt:lpstr>'x-312'!TABLE_SECTION_NUMBER_1</vt:lpstr>
      <vt:lpstr>'x-313'!TABLE_SECTION_NUMBER_1</vt:lpstr>
      <vt:lpstr>'x-314'!TABLE_SECTION_NUMBER_1</vt:lpstr>
      <vt:lpstr>'x-315'!TABLE_SECTION_NUMBER_1</vt:lpstr>
      <vt:lpstr>'x-316'!TABLE_SECTION_NUMBER_1</vt:lpstr>
      <vt:lpstr>'x-317'!TABLE_SECTION_NUMBER_1</vt:lpstr>
      <vt:lpstr>'x-321'!TABLE_SECTION_NUMBER_1</vt:lpstr>
      <vt:lpstr>'x-322'!TABLE_SECTION_NUMBER_1</vt:lpstr>
      <vt:lpstr>'x-323'!TABLE_SECTION_NUMBER_1</vt:lpstr>
      <vt:lpstr>'x-324'!TABLE_SECTION_NUMBER_1</vt:lpstr>
      <vt:lpstr>'x-325'!TABLE_SECTION_NUMBER_1</vt:lpstr>
      <vt:lpstr>'x-326'!TABLE_SECTION_NUMBER_1</vt:lpstr>
      <vt:lpstr>'x-327'!TABLE_SECTION_NUMBER_1</vt:lpstr>
      <vt:lpstr>'x-328'!TABLE_SECTION_NUMBER_1</vt:lpstr>
      <vt:lpstr>'x-329'!TABLE_SECTION_NUMBER_1</vt:lpstr>
      <vt:lpstr>'x-330'!TABLE_SECTION_NUMBER_1</vt:lpstr>
      <vt:lpstr>'x-331'!TABLE_SECTION_NUMBER_1</vt:lpstr>
      <vt:lpstr>'x-401'!TABLE_SECTION_NUMBER_1</vt:lpstr>
      <vt:lpstr>'x-402'!TABLE_SECTION_NUMBER_1</vt:lpstr>
      <vt:lpstr>'x-403'!TABLE_SECTION_NUMBER_1</vt:lpstr>
      <vt:lpstr>'x-404'!TABLE_SECTION_NUMBER_1</vt:lpstr>
      <vt:lpstr>'x-405'!TABLE_SECTION_NUMBER_1</vt:lpstr>
      <vt:lpstr>'x-406 '!TABLE_SECTION_NUMBER_1</vt:lpstr>
      <vt:lpstr>'x-407'!TABLE_SECTION_NUMBER_1</vt:lpstr>
      <vt:lpstr>'x-501'!TABLE_SECTION_NUMBER_1</vt:lpstr>
      <vt:lpstr>'x-502'!TABLE_SECTION_NUMBER_1</vt:lpstr>
      <vt:lpstr>'x-503'!TABLE_SECTION_NUMBER_1</vt:lpstr>
      <vt:lpstr>'x-504'!TABLE_SECTION_NUMBER_1</vt:lpstr>
      <vt:lpstr>'x-505'!TABLE_SECTION_NUMBER_1</vt:lpstr>
      <vt:lpstr>'x-506'!TABLE_SECTION_NUMBER_1</vt:lpstr>
      <vt:lpstr>'x-507'!TABLE_SECTION_NUMBER_1</vt:lpstr>
      <vt:lpstr>'x-601'!TABLE_SECTION_NUMBER_1</vt:lpstr>
      <vt:lpstr>'x-602'!TABLE_SECTION_NUMBER_1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'x-616'!TABLE_SECTION_NUMBER_1</vt:lpstr>
      <vt:lpstr>'x-617'!TABLE_SECTION_NUMBER_1</vt:lpstr>
      <vt:lpstr>'x-618'!TABLE_SECTION_NUMBER_1</vt:lpstr>
      <vt:lpstr>'x-619'!TABLE_SECTION_NUMBER_1</vt:lpstr>
      <vt:lpstr>'x-620'!TABLE_SECTION_NUMBER_1</vt:lpstr>
      <vt:lpstr>'x-621'!TABLE_SECTION_NUMBER_1</vt:lpstr>
      <vt:lpstr>'x-622'!TABLE_SECTION_NUMBER_1</vt:lpstr>
      <vt:lpstr>'x-626'!TABLE_SECTION_NUMBER_1</vt:lpstr>
      <vt:lpstr>'x-627'!TABLE_SECTION_NUMBER_1</vt:lpstr>
      <vt:lpstr>'x-701'!TABLE_SECTION_NUMBER_1</vt:lpstr>
      <vt:lpstr>'x-702'!TABLE_SECTION_NUMBER_1</vt:lpstr>
      <vt:lpstr>'x-701'!TABLE_SECTION_NUMBER_2</vt:lpstr>
      <vt:lpstr>TABLE_SERIES_NUMBER</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'x-220'!TABLE_SERIES_NUMBER_1</vt:lpstr>
      <vt:lpstr>'x-221'!TABLE_SERIES_NUMBER_1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'x-310'!TABLE_SERIES_NUMBER_1</vt:lpstr>
      <vt:lpstr>'x-311'!TABLE_SERIES_NUMBER_1</vt:lpstr>
      <vt:lpstr>'x-312'!TABLE_SERIES_NUMBER_1</vt:lpstr>
      <vt:lpstr>'x-313'!TABLE_SERIES_NUMBER_1</vt:lpstr>
      <vt:lpstr>'x-314'!TABLE_SERIES_NUMBER_1</vt:lpstr>
      <vt:lpstr>'x-315'!TABLE_SERIES_NUMBER_1</vt:lpstr>
      <vt:lpstr>'x-316'!TABLE_SERIES_NUMBER_1</vt:lpstr>
      <vt:lpstr>'x-317'!TABLE_SERIES_NUMBER_1</vt:lpstr>
      <vt:lpstr>'x-321'!TABLE_SERIES_NUMBER_1</vt:lpstr>
      <vt:lpstr>'x-322'!TABLE_SERIES_NUMBER_1</vt:lpstr>
      <vt:lpstr>'x-323'!TABLE_SERIES_NUMBER_1</vt:lpstr>
      <vt:lpstr>'x-324'!TABLE_SERIES_NUMBER_1</vt:lpstr>
      <vt:lpstr>'x-325'!TABLE_SERIES_NUMBER_1</vt:lpstr>
      <vt:lpstr>'x-326'!TABLE_SERIES_NUMBER_1</vt:lpstr>
      <vt:lpstr>'x-327'!TABLE_SERIES_NUMBER_1</vt:lpstr>
      <vt:lpstr>'x-328'!TABLE_SERIES_NUMBER_1</vt:lpstr>
      <vt:lpstr>'x-329'!TABLE_SERIES_NUMBER_1</vt:lpstr>
      <vt:lpstr>'x-330'!TABLE_SERIES_NUMBER_1</vt:lpstr>
      <vt:lpstr>'x-331'!TABLE_SERIES_NUMBER_1</vt:lpstr>
      <vt:lpstr>'x-401'!TABLE_SERIES_NUMBER_1</vt:lpstr>
      <vt:lpstr>'x-402'!TABLE_SERIES_NUMBER_1</vt:lpstr>
      <vt:lpstr>'x-403'!TABLE_SERIES_NUMBER_1</vt:lpstr>
      <vt:lpstr>'x-404'!TABLE_SERIES_NUMBER_1</vt:lpstr>
      <vt:lpstr>'x-405'!TABLE_SERIES_NUMBER_1</vt:lpstr>
      <vt:lpstr>'x-406 '!TABLE_SERIES_NUMBER_1</vt:lpstr>
      <vt:lpstr>'x-407'!TABLE_SERIES_NUMBER_1</vt:lpstr>
      <vt:lpstr>'x-501'!TABLE_SERIES_NUMBER_1</vt:lpstr>
      <vt:lpstr>'x-502'!TABLE_SERIES_NUMBER_1</vt:lpstr>
      <vt:lpstr>'x-503'!TABLE_SERIES_NUMBER_1</vt:lpstr>
      <vt:lpstr>'x-504'!TABLE_SERIES_NUMBER_1</vt:lpstr>
      <vt:lpstr>'x-505'!TABLE_SERIES_NUMBER_1</vt:lpstr>
      <vt:lpstr>'x-506'!TABLE_SERIES_NUMBER_1</vt:lpstr>
      <vt:lpstr>'x-507'!TABLE_SERIES_NUMBER_1</vt:lpstr>
      <vt:lpstr>'x-601'!TABLE_SERIES_NUMBER_1</vt:lpstr>
      <vt:lpstr>'x-602'!TABLE_SERIES_NUMBER_1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'x-616'!TABLE_SERIES_NUMBER_1</vt:lpstr>
      <vt:lpstr>'x-617'!TABLE_SERIES_NUMBER_1</vt:lpstr>
      <vt:lpstr>'x-618'!TABLE_SERIES_NUMBER_1</vt:lpstr>
      <vt:lpstr>'x-619'!TABLE_SERIES_NUMBER_1</vt:lpstr>
      <vt:lpstr>'x-620'!TABLE_SERIES_NUMBER_1</vt:lpstr>
      <vt:lpstr>'x-621'!TABLE_SERIES_NUMBER_1</vt:lpstr>
      <vt:lpstr>'x-622'!TABLE_SERIES_NUMBER_1</vt:lpstr>
      <vt:lpstr>'x-626'!TABLE_SERIES_NUMBER_1</vt:lpstr>
      <vt:lpstr>'x-627'!TABLE_SERIES_NUMBER_1</vt:lpstr>
      <vt:lpstr>'x-701'!TABLE_SERIES_NUMBER_1</vt:lpstr>
      <vt:lpstr>'x-702'!TABLE_SERIES_NUMBER_1</vt:lpstr>
      <vt:lpstr>'x-701'!TABLE_SERIES_NUMBER_2</vt:lpstr>
      <vt:lpstr>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 S Consolidated Factors 2025-02.xlsm</dc:title>
  <dc:subject/>
  <dc:creator>Brian Allan</dc:creator>
  <cp:keywords/>
  <dc:description/>
  <cp:lastModifiedBy>Colley, Peter - GAD</cp:lastModifiedBy>
  <cp:revision/>
  <dcterms:created xsi:type="dcterms:W3CDTF">2007-01-30T12:07:56Z</dcterms:created>
  <dcterms:modified xsi:type="dcterms:W3CDTF">2026-03-17T12:05:12Z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1f4cd5fa-52b3-4c31-b76f-c23ce6689c5c</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