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28035C84-E87E-44F3-AC66-88C6B88665DA}" xr6:coauthVersionLast="47" xr6:coauthVersionMax="47" xr10:uidLastSave="{00000000-0000-0000-0000-000000000000}"/>
  <bookViews>
    <workbookView xWindow="-108" yWindow="-108" windowWidth="30936" windowHeight="16776" tabRatio="675" firstSheet="5" activeTab="5" xr2:uid="{A6140721-4D68-4EA1-81D9-6C1D78CB2FDE}"/>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Assumptions" sheetId="192"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32" r:id="rId24"/>
    <sheet name="x-221" sheetId="133"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34" r:id="rId38"/>
    <sheet name="x-314" sheetId="135" r:id="rId39"/>
    <sheet name="x-315" sheetId="136" r:id="rId40"/>
    <sheet name="x-316" sheetId="137" r:id="rId41"/>
    <sheet name="x-317" sheetId="138" r:id="rId42"/>
    <sheet name="x-318" sheetId="139" r:id="rId43"/>
    <sheet name="x-319" sheetId="140" r:id="rId44"/>
    <sheet name="x-320" sheetId="141" r:id="rId45"/>
    <sheet name="x-321" sheetId="142" r:id="rId46"/>
    <sheet name="x-322" sheetId="143" r:id="rId47"/>
    <sheet name="x-323" sheetId="144" r:id="rId48"/>
    <sheet name="x-324" sheetId="145" r:id="rId49"/>
    <sheet name="x-325" sheetId="146" r:id="rId50"/>
    <sheet name="x-326" sheetId="147" r:id="rId51"/>
    <sheet name="x-327" sheetId="148" r:id="rId52"/>
    <sheet name="x-328" sheetId="149" r:id="rId53"/>
    <sheet name="x-401" sheetId="150" r:id="rId54"/>
    <sheet name="x-402" sheetId="151" r:id="rId55"/>
    <sheet name="x-403" sheetId="152" r:id="rId56"/>
    <sheet name="x-404" sheetId="153" r:id="rId57"/>
    <sheet name="x-405" sheetId="154" r:id="rId58"/>
    <sheet name="x-406" sheetId="155" r:id="rId59"/>
    <sheet name="x-407" sheetId="156" r:id="rId60"/>
    <sheet name="x-501" sheetId="157" r:id="rId61"/>
    <sheet name="x-502" sheetId="158" r:id="rId62"/>
    <sheet name="x-503" sheetId="159" r:id="rId63"/>
    <sheet name="x-504" sheetId="160" r:id="rId64"/>
    <sheet name="x-505" sheetId="191" r:id="rId65"/>
    <sheet name="x-506" sheetId="195" r:id="rId66"/>
    <sheet name="x-603" sheetId="161" r:id="rId67"/>
    <sheet name="x-604" sheetId="162" r:id="rId68"/>
    <sheet name="x-605" sheetId="163" r:id="rId69"/>
    <sheet name="x-606" sheetId="164" r:id="rId70"/>
    <sheet name="x-607" sheetId="165" r:id="rId71"/>
    <sheet name="x-608" sheetId="166" r:id="rId72"/>
    <sheet name="x-609" sheetId="167" r:id="rId73"/>
    <sheet name="x-610" sheetId="168" r:id="rId74"/>
    <sheet name="x-611" sheetId="169" r:id="rId75"/>
    <sheet name="x-612" sheetId="170" r:id="rId76"/>
    <sheet name="x-613" sheetId="171" r:id="rId77"/>
    <sheet name="x-614" sheetId="172" r:id="rId78"/>
    <sheet name="x-615" sheetId="173" r:id="rId79"/>
    <sheet name="x-616" sheetId="174" r:id="rId80"/>
    <sheet name="x-617" sheetId="175" r:id="rId81"/>
    <sheet name="x-618" sheetId="176" r:id="rId82"/>
    <sheet name="x-619" sheetId="177" r:id="rId83"/>
    <sheet name="x-620" sheetId="178" r:id="rId84"/>
    <sheet name="x-621" sheetId="179" r:id="rId85"/>
    <sheet name="x-622" sheetId="180" r:id="rId86"/>
    <sheet name="x-623" sheetId="181" r:id="rId87"/>
    <sheet name="x-624" sheetId="182" r:id="rId88"/>
    <sheet name="x-625" sheetId="183" r:id="rId89"/>
    <sheet name="x-626" sheetId="184" r:id="rId90"/>
    <sheet name="x-627" sheetId="185" r:id="rId91"/>
    <sheet name="x-701" sheetId="186" r:id="rId92"/>
    <sheet name="x-702" sheetId="187" r:id="rId93"/>
    <sheet name="x-802" sheetId="194" r:id="rId94"/>
  </sheets>
  <externalReferences>
    <externalReference r:id="rId95"/>
    <externalReference r:id="rId96"/>
    <externalReference r:id="rId97"/>
    <externalReference r:id="rId98"/>
    <externalReference r:id="rId99"/>
    <externalReference r:id="rId100"/>
  </externalReferences>
  <definedNames>
    <definedName name="_xlnm._FilterDatabase" localSheetId="7" hidden="1">Assumptions!#REF!</definedName>
    <definedName name="_xlnm._FilterDatabase" localSheetId="5" hidden="1">'Factor List'!$A$7:$W$7</definedName>
    <definedName name="age_rng" localSheetId="65">#REF!</definedName>
    <definedName name="age_rng" localSheetId="93">#REF!</definedName>
    <definedName name="age_rng">#REF!</definedName>
    <definedName name="BaseTablesList">AnnGenHiddenLists!$A$4:$A$190</definedName>
    <definedName name="DATE_MODIFIED">'Version Control'!$C$17</definedName>
    <definedName name="FACTOR_LIST_AGE_DEF" localSheetId="7">Assumptions!#REF!</definedName>
    <definedName name="FACTOR_LIST_AGE_DEF">'Factor List'!$G$7</definedName>
    <definedName name="FACTOR_LIST_CLIENT" localSheetId="7">Assumptions!#REF!</definedName>
    <definedName name="FACTOR_LIST_CLIENT">'Factor List'!$B$7</definedName>
    <definedName name="FACTOR_LIST_DATE_IMPLEMENTED" localSheetId="7">Assumptions!#REF!</definedName>
    <definedName name="FACTOR_LIST_DATE_IMPLEMENTED">'Factor List'!$N$7</definedName>
    <definedName name="FACTOR_LIST_DATE_ISSUED" localSheetId="7">Assumptions!#REF!</definedName>
    <definedName name="FACTOR_LIST_DATE_ISSUED">'Factor List'!$M$7</definedName>
    <definedName name="FACTOR_LIST_DESCRIPTION" localSheetId="7">Assumptions!#REF!</definedName>
    <definedName name="FACTOR_LIST_DESCRIPTION">'Factor List'!$E$7</definedName>
    <definedName name="FACTOR_LIST_FACTOR_STATUS" localSheetId="7">Assumptions!#REF!</definedName>
    <definedName name="FACTOR_LIST_FACTOR_STATUS" localSheetId="93">'[1]Factor List'!#REF!</definedName>
    <definedName name="FACTOR_LIST_FACTOR_STATUS">'Factor List'!$O$7</definedName>
    <definedName name="FACTOR_LIST_FACTOR_TYPE" localSheetId="7">Assumptions!#REF!</definedName>
    <definedName name="FACTOR_LIST_FACTOR_TYPE">'Factor List'!$D$7</definedName>
    <definedName name="FACTOR_LIST_GENDER" localSheetId="7">Assumptions!#REF!</definedName>
    <definedName name="FACTOR_LIST_GENDER">'Factor List'!$F$7</definedName>
    <definedName name="FACTOR_LIST_HEADINGS" localSheetId="7">Assumptions!#REF!</definedName>
    <definedName name="FACTOR_LIST_HEADINGS">'Factor List'!$B$7:$Q$7</definedName>
    <definedName name="FACTOR_LIST_REFERENCE" localSheetId="7">Assumptions!#REF!</definedName>
    <definedName name="FACTOR_LIST_REFERENCE">'Factor List'!$J$7</definedName>
    <definedName name="FACTOR_LIST_REFERENCE_GUIDANCE" localSheetId="7">Assumptions!#REF!</definedName>
    <definedName name="FACTOR_LIST_REFERENCE_GUIDANCE">'Factor List'!$K$7</definedName>
    <definedName name="FACTOR_LIST_RELATED" localSheetId="7">Assumptions!#REF!</definedName>
    <definedName name="FACTOR_LIST_RELATED">'Factor List'!$L$7</definedName>
    <definedName name="FACTOR_LIST_SECTION" localSheetId="7">Assumptions!#REF!</definedName>
    <definedName name="FACTOR_LIST_SECTION">'Factor List'!$C$7</definedName>
    <definedName name="FACTOR_LIST_SECTION_NUMBER" localSheetId="7">Assumptions!#REF!</definedName>
    <definedName name="FACTOR_LIST_SECTION_NUMBER">'Factor List'!$H$7</definedName>
    <definedName name="FACTOR_LIST_SERIES_NUMBER" localSheetId="7">Assumptions!#REF!</definedName>
    <definedName name="FACTOR_LIST_SERIES_NUMBER">'Factor List'!$I$7</definedName>
    <definedName name="FACTOR_LIST_SOURCE" localSheetId="7">Assumptions!#REF!</definedName>
    <definedName name="FACTOR_LIST_SOURCE">'Factor List'!#REF!</definedName>
    <definedName name="FACTOR_LIST_TABLE_ID" localSheetId="7">Assumptions!#REF!</definedName>
    <definedName name="FACTOR_LIST_TABLE_ID">'Factor List'!#REF!</definedName>
    <definedName name="FACTOR_LIST_TIMESTAMP" localSheetId="7">Assumptions!#REF!</definedName>
    <definedName name="FACTOR_LIST_TIMESTAMP">'Factor List'!$Q$7</definedName>
    <definedName name="FACTOR_LIST_USER_ID" localSheetId="7">Assumptions!#REF!</definedName>
    <definedName name="FACTOR_LIST_USER_ID">'Factor List'!#REF!</definedName>
    <definedName name="factor_table" localSheetId="65">#REF!</definedName>
    <definedName name="factor_table" localSheetId="93">#REF!</definedName>
    <definedName name="factor_table">#REF!</definedName>
    <definedName name="i_e">[2]Assumptions!$G$14</definedName>
    <definedName name="ImprovementsList">AnnGenHiddenLists!$C$4:$C$42</definedName>
    <definedName name="new_title_3">[3]Cover!$A$2</definedName>
    <definedName name="NoD" localSheetId="64">#REF!</definedName>
    <definedName name="NoD" localSheetId="65">#REF!</definedName>
    <definedName name="NoD" localSheetId="93">#REF!</definedName>
    <definedName name="NoD">#REF!</definedName>
    <definedName name="_xlnm.Print_Area" localSheetId="4">'Summary - Fire_E'!$A$1:$H$224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'x-220'!$A$26:$J$48</definedName>
    <definedName name="_xlnm.Print_Area" localSheetId="24">'x-221'!$A$26:$J$48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1">'x-317'!$A$26:$N$48</definedName>
    <definedName name="_xlnm.Print_Area" localSheetId="42">'x-318'!$A$26:$M$48</definedName>
    <definedName name="_xlnm.Print_Area" localSheetId="43">'x-319'!$A$26:$J$48</definedName>
    <definedName name="_xlnm.Print_Area" localSheetId="44">'x-320'!$A$26:$N$48</definedName>
    <definedName name="_xlnm.Print_Area" localSheetId="45">'x-321'!$A$26:$M$48</definedName>
    <definedName name="_xlnm.Print_Area" localSheetId="46">'x-322'!$A$26:$M$48</definedName>
    <definedName name="_xlnm.Print_Area" localSheetId="47">'x-323'!$A$26:$N$48</definedName>
    <definedName name="_xlnm.Print_Area" localSheetId="48">'x-324'!$A$26:$N$48</definedName>
    <definedName name="_xlnm.Print_Area" localSheetId="49">'x-325'!$A$26:$N$48</definedName>
    <definedName name="_xlnm.Print_Area" localSheetId="50">'x-326'!$A$26:$N$48</definedName>
    <definedName name="_xlnm.Print_Area" localSheetId="51">'x-327'!$A$26:$N$48</definedName>
    <definedName name="_xlnm.Print_Area" localSheetId="52">'x-328'!$A$26:$N$48</definedName>
    <definedName name="_xlnm.Print_Area" localSheetId="53">'x-401'!$A$26:$N$47</definedName>
    <definedName name="_xlnm.Print_Area" localSheetId="54">'x-402'!$A$26:$N$48</definedName>
    <definedName name="_xlnm.Print_Area" localSheetId="55">'x-403'!$A$26:$N$49</definedName>
    <definedName name="_xlnm.Print_Area" localSheetId="56">'x-404'!$A$26:$M$48</definedName>
    <definedName name="_xlnm.Print_Area" localSheetId="57">'x-405'!$A$26:$M$48</definedName>
    <definedName name="_xlnm.Print_Area" localSheetId="58">'x-406'!$A$26:$N$48</definedName>
    <definedName name="_xlnm.Print_Area" localSheetId="59">'x-407'!$A$26:$N$48</definedName>
    <definedName name="_xlnm.Print_Area" localSheetId="60">'x-501'!$A$26:$N$48</definedName>
    <definedName name="_xlnm.Print_Area" localSheetId="61">'x-502'!$A$26:$N$48</definedName>
    <definedName name="_xlnm.Print_Area" localSheetId="62">'x-503'!$A$26:$N$48</definedName>
    <definedName name="_xlnm.Print_Area" localSheetId="63">'x-504'!$A$26:$N$48</definedName>
    <definedName name="_xlnm.Print_Area" localSheetId="64">'x-505'!$A$26:$N$47</definedName>
    <definedName name="_xlnm.Print_Area" localSheetId="65">'x-506'!#REF!</definedName>
    <definedName name="_xlnm.Print_Area" localSheetId="66">'x-603'!$A$26:$N$48</definedName>
    <definedName name="_xlnm.Print_Area" localSheetId="67">'x-604'!$A$26:$N$48</definedName>
    <definedName name="_xlnm.Print_Area" localSheetId="68">'x-605'!$A$26:$N$48</definedName>
    <definedName name="_xlnm.Print_Area" localSheetId="69">'x-606'!$A$26:$N$48</definedName>
    <definedName name="_xlnm.Print_Area" localSheetId="70">'x-607'!$A$26:$N$48</definedName>
    <definedName name="_xlnm.Print_Area" localSheetId="71">'x-608'!$A$26:$N$48</definedName>
    <definedName name="_xlnm.Print_Area" localSheetId="72">'x-609'!$A$26:$N$48</definedName>
    <definedName name="_xlnm.Print_Area" localSheetId="73">'x-610'!$A$26:$N$48</definedName>
    <definedName name="_xlnm.Print_Area" localSheetId="74">'x-611'!$A$26:$M$48</definedName>
    <definedName name="_xlnm.Print_Area" localSheetId="75">'x-612'!$A$26:$M$48</definedName>
    <definedName name="_xlnm.Print_Area" localSheetId="76">'x-613'!$A$26:$N$48</definedName>
    <definedName name="_xlnm.Print_Area" localSheetId="77">'x-614'!$A$26:$M$48</definedName>
    <definedName name="_xlnm.Print_Area" localSheetId="78">'x-615'!$A$26:$M$48</definedName>
    <definedName name="_xlnm.Print_Area" localSheetId="79">'x-616'!$A$26:$M$48</definedName>
    <definedName name="_xlnm.Print_Area" localSheetId="80">'x-617'!$A$26:$M$48</definedName>
    <definedName name="_xlnm.Print_Area" localSheetId="81">'x-618'!$A$26:$N$48</definedName>
    <definedName name="_xlnm.Print_Area" localSheetId="82">'x-619'!$A$26:$N$48</definedName>
    <definedName name="_xlnm.Print_Area" localSheetId="83">'x-620'!$A$26:$B$77</definedName>
    <definedName name="_xlnm.Print_Area" localSheetId="84">'x-621'!$A$26:$N$48</definedName>
    <definedName name="_xlnm.Print_Area" localSheetId="85">'x-622'!$A$26:$K$48</definedName>
    <definedName name="_xlnm.Print_Area" localSheetId="86">'x-623'!$A$26:$K$48</definedName>
    <definedName name="_xlnm.Print_Area" localSheetId="87">'x-624'!$A$26:$K$48</definedName>
    <definedName name="_xlnm.Print_Area" localSheetId="88">'x-625'!$A$26:$K$48</definedName>
    <definedName name="_xlnm.Print_Area" localSheetId="89">'x-626'!$A$26:$K$48</definedName>
    <definedName name="_xlnm.Print_Area" localSheetId="90">'x-627'!$A$26:$K$48</definedName>
    <definedName name="_xlnm.Print_Area" localSheetId="91">'x-701'!$A$26:$N$48</definedName>
    <definedName name="_xlnm.Print_Area" localSheetId="92">'x-702'!$A$26:$N$48</definedName>
    <definedName name="_xlnm.Print_Area" localSheetId="93">'x-802'!$A$26:$P$48</definedName>
    <definedName name="_xlnm.Print_Area" localSheetId="6">'x-Series Number'!$A$25:$N$47</definedName>
    <definedName name="t">Cover!$A$2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1">'x-317'!$B$12</definedName>
    <definedName name="TABLE_AGE_DEF_1" localSheetId="42">'x-318'!$B$12</definedName>
    <definedName name="TABLE_AGE_DEF_1" localSheetId="43">'x-319'!$B$12</definedName>
    <definedName name="TABLE_AGE_DEF_1" localSheetId="44">'x-320'!$B$12</definedName>
    <definedName name="TABLE_AGE_DEF_1" localSheetId="45">'x-321'!$B$12</definedName>
    <definedName name="TABLE_AGE_DEF_1" localSheetId="46">'x-322'!$B$12</definedName>
    <definedName name="TABLE_AGE_DEF_1" localSheetId="47">'x-323'!$B$12</definedName>
    <definedName name="TABLE_AGE_DEF_1" localSheetId="48">'x-324'!$B$12</definedName>
    <definedName name="TABLE_AGE_DEF_1" localSheetId="49">'x-325'!$B$12</definedName>
    <definedName name="TABLE_AGE_DEF_1" localSheetId="50">'x-326'!$B$12</definedName>
    <definedName name="TABLE_AGE_DEF_1" localSheetId="51">'x-327'!$B$12</definedName>
    <definedName name="TABLE_AGE_DEF_1" localSheetId="52">'x-328'!$B$12</definedName>
    <definedName name="TABLE_AGE_DEF_1" localSheetId="53">'x-401'!$B$12</definedName>
    <definedName name="TABLE_AGE_DEF_1" localSheetId="54">'x-402'!$B$12</definedName>
    <definedName name="TABLE_AGE_DEF_1" localSheetId="55">'x-403'!$B$12</definedName>
    <definedName name="TABLE_AGE_DEF_1" localSheetId="56">'x-404'!$B$12</definedName>
    <definedName name="TABLE_AGE_DEF_1" localSheetId="57">'x-405'!$B$12</definedName>
    <definedName name="TABLE_AGE_DEF_1" localSheetId="58">'x-406'!$B$12</definedName>
    <definedName name="TABLE_AGE_DEF_1" localSheetId="59">'x-407'!$B$12</definedName>
    <definedName name="TABLE_AGE_DEF_1" localSheetId="60">'x-501'!$B$12</definedName>
    <definedName name="TABLE_AGE_DEF_1" localSheetId="61">'x-502'!$B$12</definedName>
    <definedName name="TABLE_AGE_DEF_1" localSheetId="62">'x-503'!$B$12</definedName>
    <definedName name="TABLE_AGE_DEF_1" localSheetId="63">'x-504'!$B$12</definedName>
    <definedName name="TABLE_AGE_DEF_1" localSheetId="64">'x-505'!$B$12</definedName>
    <definedName name="TABLE_AGE_DEF_1" localSheetId="65">'x-506'!$B$12</definedName>
    <definedName name="TABLE_AGE_DEF_1" localSheetId="66">'x-603'!$B$12</definedName>
    <definedName name="TABLE_AGE_DEF_1" localSheetId="67">'x-604'!$B$12</definedName>
    <definedName name="TABLE_AGE_DEF_1" localSheetId="68">'x-605'!$B$12</definedName>
    <definedName name="TABLE_AGE_DEF_1" localSheetId="69">'x-606'!$B$12</definedName>
    <definedName name="TABLE_AGE_DEF_1" localSheetId="70">'x-607'!$B$12</definedName>
    <definedName name="TABLE_AGE_DEF_1" localSheetId="71">'x-608'!$B$12</definedName>
    <definedName name="TABLE_AGE_DEF_1" localSheetId="72">'x-609'!$B$12</definedName>
    <definedName name="TABLE_AGE_DEF_1" localSheetId="73">'x-610'!$B$12</definedName>
    <definedName name="TABLE_AGE_DEF_1" localSheetId="74">'x-611'!$B$12</definedName>
    <definedName name="TABLE_AGE_DEF_1" localSheetId="75">'x-612'!$B$12</definedName>
    <definedName name="TABLE_AGE_DEF_1" localSheetId="76">'x-613'!$B$12</definedName>
    <definedName name="TABLE_AGE_DEF_1" localSheetId="77">'x-614'!$B$12</definedName>
    <definedName name="TABLE_AGE_DEF_1" localSheetId="78">'x-615'!$B$12</definedName>
    <definedName name="TABLE_AGE_DEF_1" localSheetId="79">'x-616'!$B$12</definedName>
    <definedName name="TABLE_AGE_DEF_1" localSheetId="80">'x-617'!$B$12</definedName>
    <definedName name="TABLE_AGE_DEF_1" localSheetId="81">'x-618'!$B$12</definedName>
    <definedName name="TABLE_AGE_DEF_1" localSheetId="82">'x-619'!$B$12</definedName>
    <definedName name="TABLE_AGE_DEF_1" localSheetId="83">'x-620'!$B$12</definedName>
    <definedName name="TABLE_AGE_DEF_1" localSheetId="84">'x-621'!$B$12</definedName>
    <definedName name="TABLE_AGE_DEF_1" localSheetId="85">'x-622'!$B$12</definedName>
    <definedName name="TABLE_AGE_DEF_1" localSheetId="86">'x-623'!$B$12</definedName>
    <definedName name="TABLE_AGE_DEF_1" localSheetId="87">'x-624'!$B$12</definedName>
    <definedName name="TABLE_AGE_DEF_1" localSheetId="88">'x-625'!$B$12</definedName>
    <definedName name="TABLE_AGE_DEF_1" localSheetId="89">'x-626'!$B$12</definedName>
    <definedName name="TABLE_AGE_DEF_1" localSheetId="90">'x-627'!$B$12</definedName>
    <definedName name="TABLE_AGE_DEF_1" localSheetId="91">'x-701'!$B$12</definedName>
    <definedName name="TABLE_AGE_DEF_1" localSheetId="92">'x-702'!$B$12</definedName>
    <definedName name="TABLE_AGE_DEF_1" localSheetId="93">'x-802'!$B$12</definedName>
    <definedName name="TABLE_AGE_DEF_2" localSheetId="91">'x-701'!$F$12</definedName>
    <definedName name="TABLE_AGE_DEF_2" localSheetId="93">'x-802'!$G$12</definedName>
    <definedName name="TABLE_AGE_DEF_3" localSheetId="93">'x-802'!$K$12</definedName>
    <definedName name="TABLE_AREA" localSheetId="65">'x-506'!#REF!</definedName>
    <definedName name="TABLE_AREA" localSheetId="85">'x-622'!#REF!</definedName>
    <definedName name="TABLE_AREA" localSheetId="86">'x-623'!#REF!</definedName>
    <definedName name="TABLE_AREA" localSheetId="87">'x-624'!$A$61:$B$65</definedName>
    <definedName name="TABLE_AREA" localSheetId="88">'x-625'!#REF!</definedName>
    <definedName name="TABLE_AREA" localSheetId="89">'x-626'!$A$64:$B$65</definedName>
    <definedName name="TABLE_AREA" localSheetId="90">'x-627'!#REF!</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'x-220'!$A$26:$C$68</definedName>
    <definedName name="TABLE_AREA_1" localSheetId="24">'x-221'!$A$26:$C$68</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1">'x-317'!$A$26:$E$94</definedName>
    <definedName name="TABLE_AREA_1" localSheetId="42">'x-318'!$A$26:$K$38</definedName>
    <definedName name="TABLE_AREA_1" localSheetId="43">'x-319'!$A$26:$G$38</definedName>
    <definedName name="TABLE_AREA_1" localSheetId="44">'x-320'!$A$26:$AQ$38</definedName>
    <definedName name="TABLE_AREA_1" localSheetId="45">'x-321'!$A$26:$K$38</definedName>
    <definedName name="TABLE_AREA_1" localSheetId="46">'x-322'!$A$26:$F$38</definedName>
    <definedName name="TABLE_AREA_1" localSheetId="47">'x-323'!$A$26:$K$38</definedName>
    <definedName name="TABLE_AREA_1" localSheetId="48">'x-324'!$A$26:$K$38</definedName>
    <definedName name="TABLE_AREA_1" localSheetId="49">'x-325'!$A$26:$AV$38</definedName>
    <definedName name="TABLE_AREA_1" localSheetId="50">'x-326'!$A$26:$AQ$38</definedName>
    <definedName name="TABLE_AREA_1" localSheetId="51">'x-327'!$A$26:$B$39</definedName>
    <definedName name="TABLE_AREA_1" localSheetId="52">'x-328'!$A$26:$B$77</definedName>
    <definedName name="TABLE_AREA_1" localSheetId="53">'x-401'!$A$26:$M$36</definedName>
    <definedName name="TABLE_AREA_1" localSheetId="54">'x-402'!$A$26:$M$32</definedName>
    <definedName name="TABLE_AREA_1" localSheetId="55">'x-403'!$A$26:$M$40</definedName>
    <definedName name="TABLE_AREA_1" localSheetId="56">'x-404'!$A$26:$K$38</definedName>
    <definedName name="TABLE_AREA_1" localSheetId="57">'x-405'!$A$26:$K$38</definedName>
    <definedName name="TABLE_AREA_1" localSheetId="58">'x-406'!$A$26:$L$38</definedName>
    <definedName name="TABLE_AREA_1" localSheetId="59">'x-407'!$A$26:$L$38</definedName>
    <definedName name="TABLE_AREA_1" localSheetId="60">'x-501'!$A$26:$C$41</definedName>
    <definedName name="TABLE_AREA_1" localSheetId="61">'x-502'!$A$26:$B$101</definedName>
    <definedName name="TABLE_AREA_1" localSheetId="62">'x-503'!$A$26:$C$46</definedName>
    <definedName name="TABLE_AREA_1" localSheetId="63">'x-504'!$A$26:$B$101</definedName>
    <definedName name="TABLE_AREA_1" localSheetId="64">'x-505'!$A$26:$M$53</definedName>
    <definedName name="TABLE_AREA_1" localSheetId="65">'x-506'!$A$26:$B$27</definedName>
    <definedName name="TABLE_AREA_1" localSheetId="66">'x-603'!$A$26:$C$68</definedName>
    <definedName name="TABLE_AREA_1" localSheetId="67">'x-604'!$A$26:$C$41</definedName>
    <definedName name="TABLE_AREA_1" localSheetId="68">'x-605'!$A$26:$E$73</definedName>
    <definedName name="TABLE_AREA_1" localSheetId="69">'x-606'!$A$26:$E$41</definedName>
    <definedName name="TABLE_AREA_1" localSheetId="70">'x-607'!$A$26:$E$76</definedName>
    <definedName name="TABLE_AREA_1" localSheetId="71">'x-608'!$A$26:$E$76</definedName>
    <definedName name="TABLE_AREA_1" localSheetId="72">'x-609'!$A$26:$C$47</definedName>
    <definedName name="TABLE_AREA_1" localSheetId="73">'x-610'!$A$26:$C$82</definedName>
    <definedName name="TABLE_AREA_1" localSheetId="74">'x-611'!$A$26:$K$38</definedName>
    <definedName name="TABLE_AREA_1" localSheetId="75">'x-612'!$A$26:$G$38</definedName>
    <definedName name="TABLE_AREA_1" localSheetId="76">'x-613'!$A$26:$AQ$38</definedName>
    <definedName name="TABLE_AREA_1" localSheetId="77">'x-614'!$A$26:$K$38</definedName>
    <definedName name="TABLE_AREA_1" localSheetId="78">'x-615'!$A$26:$K$38</definedName>
    <definedName name="TABLE_AREA_1" localSheetId="79">'x-616'!$A$26:$F$38</definedName>
    <definedName name="TABLE_AREA_1" localSheetId="80">'x-617'!$A$26:$K$38</definedName>
    <definedName name="TABLE_AREA_1" localSheetId="81">'x-618'!$A$26:$AV$38</definedName>
    <definedName name="TABLE_AREA_1" localSheetId="82">'x-619'!$A$26:$AQ$38</definedName>
    <definedName name="TABLE_AREA_1" localSheetId="83">'x-620'!$A$26:$B$77</definedName>
    <definedName name="TABLE_AREA_1" localSheetId="84">'x-621'!$A$26:$B$39</definedName>
    <definedName name="TABLE_AREA_1" localSheetId="85">'x-622'!#REF!</definedName>
    <definedName name="TABLE_AREA_1" localSheetId="86">'x-623'!#REF!</definedName>
    <definedName name="TABLE_AREA_1" localSheetId="87">'x-624'!#REF!</definedName>
    <definedName name="TABLE_AREA_1" localSheetId="88">'x-625'!#REF!</definedName>
    <definedName name="TABLE_AREA_1" localSheetId="89">'x-626'!#REF!</definedName>
    <definedName name="TABLE_AREA_1" localSheetId="90">'x-627'!#REF!</definedName>
    <definedName name="TABLE_AREA_1" localSheetId="91">'x-701'!$A$26:$B$68</definedName>
    <definedName name="TABLE_AREA_1" localSheetId="92">'x-702'!$A$26:$B$67</definedName>
    <definedName name="TABLE_AREA_1" localSheetId="93">'x-802'!$A$26:$C$31</definedName>
    <definedName name="TABLE_AREA_2" localSheetId="91">'x-701'!$E$26:$F$27</definedName>
    <definedName name="TABLE_AREA_2" localSheetId="93">'x-802'!$F$26:$G$36</definedName>
    <definedName name="TABLE_AREA_3" localSheetId="93">'x-802'!$J$26:$K$31</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'x-209'!$B$21</definedName>
    <definedName name="TABLE_ASSUMPTION_SET_1" localSheetId="17">'x-210'!$B$21</definedName>
    <definedName name="TABLE_ASSUMPTION_SET_1" localSheetId="18">'x-211'!$B$21</definedName>
    <definedName name="TABLE_ASSUMPTION_SET_1" localSheetId="19">'x-212'!$B$21</definedName>
    <definedName name="TABLE_ASSUMPTION_SET_1" localSheetId="20">'x-213'!$B$21</definedName>
    <definedName name="TABLE_ASSUMPTION_SET_1" localSheetId="21">'x-214'!$B$21</definedName>
    <definedName name="TABLE_ASSUMPTION_SET_1" localSheetId="22">'x-215'!$B$21</definedName>
    <definedName name="TABLE_ASSUMPTION_SET_1" localSheetId="23">'x-220'!$B$21</definedName>
    <definedName name="TABLE_ASSUMPTION_SET_1" localSheetId="24">'x-221'!$B$21</definedName>
    <definedName name="TABLE_ASSUMPTION_SET_1" localSheetId="25">'x-301'!$B$21</definedName>
    <definedName name="TABLE_ASSUMPTION_SET_1" localSheetId="26">'x-302'!$B$21</definedName>
    <definedName name="TABLE_ASSUMPTION_SET_1" localSheetId="27">'x-303'!$B$21</definedName>
    <definedName name="TABLE_ASSUMPTION_SET_1" localSheetId="28">'x-304'!$B$21</definedName>
    <definedName name="TABLE_ASSUMPTION_SET_1" localSheetId="29">'x-305'!$B$21</definedName>
    <definedName name="TABLE_ASSUMPTION_SET_1" localSheetId="30">'x-306'!$B$21</definedName>
    <definedName name="TABLE_ASSUMPTION_SET_1" localSheetId="31">'x-307'!$B$21</definedName>
    <definedName name="TABLE_ASSUMPTION_SET_1" localSheetId="32">'x-308'!$B$21</definedName>
    <definedName name="TABLE_ASSUMPTION_SET_1" localSheetId="33">'x-309'!$B$21</definedName>
    <definedName name="TABLE_ASSUMPTION_SET_1" localSheetId="34">'x-310'!$B$21</definedName>
    <definedName name="TABLE_ASSUMPTION_SET_1" localSheetId="35">'x-311'!$B$21</definedName>
    <definedName name="TABLE_ASSUMPTION_SET_1" localSheetId="36">'x-312'!$B$21</definedName>
    <definedName name="TABLE_ASSUMPTION_SET_1" localSheetId="37">'x-313'!$B$21</definedName>
    <definedName name="TABLE_ASSUMPTION_SET_1" localSheetId="38">'x-314'!$B$21</definedName>
    <definedName name="TABLE_ASSUMPTION_SET_1" localSheetId="39">'x-315'!$B$21</definedName>
    <definedName name="TABLE_ASSUMPTION_SET_1" localSheetId="40">'x-316'!$B$21</definedName>
    <definedName name="TABLE_ASSUMPTION_SET_1" localSheetId="41">'x-317'!$B$21</definedName>
    <definedName name="TABLE_ASSUMPTION_SET_1" localSheetId="42">'x-318'!$B$21</definedName>
    <definedName name="TABLE_ASSUMPTION_SET_1" localSheetId="43">'x-319'!$B$21</definedName>
    <definedName name="TABLE_ASSUMPTION_SET_1" localSheetId="44">'x-320'!$B$21</definedName>
    <definedName name="TABLE_ASSUMPTION_SET_1" localSheetId="45">'x-321'!$B$21</definedName>
    <definedName name="TABLE_ASSUMPTION_SET_1" localSheetId="46">'x-322'!$B$21</definedName>
    <definedName name="TABLE_ASSUMPTION_SET_1" localSheetId="47">'x-323'!$B$21</definedName>
    <definedName name="TABLE_ASSUMPTION_SET_1" localSheetId="48">'x-324'!$B$21</definedName>
    <definedName name="TABLE_ASSUMPTION_SET_1" localSheetId="49">'x-325'!$B$21</definedName>
    <definedName name="TABLE_ASSUMPTION_SET_1" localSheetId="50">'x-326'!$B$21</definedName>
    <definedName name="TABLE_ASSUMPTION_SET_1" localSheetId="51">'x-327'!$B$21</definedName>
    <definedName name="TABLE_ASSUMPTION_SET_1" localSheetId="52">'x-328'!$B$21</definedName>
    <definedName name="TABLE_ASSUMPTION_SET_1" localSheetId="53">'x-401'!$B$21</definedName>
    <definedName name="TABLE_ASSUMPTION_SET_1" localSheetId="54">'x-402'!$B$21</definedName>
    <definedName name="TABLE_ASSUMPTION_SET_1" localSheetId="55">'x-403'!$B$21</definedName>
    <definedName name="TABLE_ASSUMPTION_SET_1" localSheetId="56">'x-404'!$B$21</definedName>
    <definedName name="TABLE_ASSUMPTION_SET_1" localSheetId="57">'x-405'!$B$21</definedName>
    <definedName name="TABLE_ASSUMPTION_SET_1" localSheetId="58">'x-406'!$B$21</definedName>
    <definedName name="TABLE_ASSUMPTION_SET_1" localSheetId="59">'x-407'!$B$21</definedName>
    <definedName name="TABLE_ASSUMPTION_SET_1" localSheetId="60">'x-501'!$B$21</definedName>
    <definedName name="TABLE_ASSUMPTION_SET_1" localSheetId="61">'x-502'!$B$21</definedName>
    <definedName name="TABLE_ASSUMPTION_SET_1" localSheetId="62">'x-503'!$B$21</definedName>
    <definedName name="TABLE_ASSUMPTION_SET_1" localSheetId="63">'x-504'!$B$21</definedName>
    <definedName name="TABLE_ASSUMPTION_SET_1" localSheetId="64">'x-505'!$B$21</definedName>
    <definedName name="TABLE_ASSUMPTION_SET_1" localSheetId="65">'x-506'!$B$21</definedName>
    <definedName name="TABLE_ASSUMPTION_SET_1" localSheetId="66">'x-603'!$B$21</definedName>
    <definedName name="TABLE_ASSUMPTION_SET_1" localSheetId="67">'x-604'!$B$21</definedName>
    <definedName name="TABLE_ASSUMPTION_SET_1" localSheetId="68">'x-605'!$B$21</definedName>
    <definedName name="TABLE_ASSUMPTION_SET_1" localSheetId="69">'x-606'!$B$21</definedName>
    <definedName name="TABLE_ASSUMPTION_SET_1" localSheetId="70">'x-607'!$B$21</definedName>
    <definedName name="TABLE_ASSUMPTION_SET_1" localSheetId="71">'x-608'!$B$21</definedName>
    <definedName name="TABLE_ASSUMPTION_SET_1" localSheetId="72">'x-609'!$B$21</definedName>
    <definedName name="TABLE_ASSUMPTION_SET_1" localSheetId="73">'x-610'!$B$21</definedName>
    <definedName name="TABLE_ASSUMPTION_SET_1" localSheetId="74">'x-611'!$B$21</definedName>
    <definedName name="TABLE_ASSUMPTION_SET_1" localSheetId="75">'x-612'!$B$21</definedName>
    <definedName name="TABLE_ASSUMPTION_SET_1" localSheetId="76">'x-613'!$B$21</definedName>
    <definedName name="TABLE_ASSUMPTION_SET_1" localSheetId="77">'x-614'!$B$21</definedName>
    <definedName name="TABLE_ASSUMPTION_SET_1" localSheetId="78">'x-615'!$B$21</definedName>
    <definedName name="TABLE_ASSUMPTION_SET_1" localSheetId="79">'x-616'!$B$21</definedName>
    <definedName name="TABLE_ASSUMPTION_SET_1" localSheetId="80">'x-617'!$B$21</definedName>
    <definedName name="TABLE_ASSUMPTION_SET_1" localSheetId="81">'x-618'!$B$21</definedName>
    <definedName name="TABLE_ASSUMPTION_SET_1" localSheetId="82">'x-619'!$B$21</definedName>
    <definedName name="TABLE_ASSUMPTION_SET_1" localSheetId="83">'x-620'!$B$21</definedName>
    <definedName name="TABLE_ASSUMPTION_SET_1" localSheetId="84">'x-621'!$B$21</definedName>
    <definedName name="TABLE_ASSUMPTION_SET_1" localSheetId="85">'x-622'!$B$21</definedName>
    <definedName name="TABLE_ASSUMPTION_SET_1" localSheetId="86">'x-623'!$B$21</definedName>
    <definedName name="TABLE_ASSUMPTION_SET_1" localSheetId="87">'x-624'!$B$21</definedName>
    <definedName name="TABLE_ASSUMPTION_SET_1" localSheetId="88">'x-625'!$B$21</definedName>
    <definedName name="TABLE_ASSUMPTION_SET_1" localSheetId="89">'x-626'!$B$21</definedName>
    <definedName name="TABLE_ASSUMPTION_SET_1" localSheetId="90">'x-627'!$B$21</definedName>
    <definedName name="TABLE_ASSUMPTION_SET_1" localSheetId="91">'x-701'!$B$21</definedName>
    <definedName name="TABLE_ASSUMPTION_SET_1" localSheetId="92">'x-702'!$B$21</definedName>
    <definedName name="TABLE_ASSUMPTION_SET_1" localSheetId="93">'x-802'!$B$21</definedName>
    <definedName name="TABLE_ASSUMPTION_SET_2" localSheetId="91">'x-701'!$F$21</definedName>
    <definedName name="TABLE_ASSUMPTION_SET_2" localSheetId="93">'x-802'!$G$21</definedName>
    <definedName name="TABLE_ASSUMPTION_SET_3" localSheetId="93">'x-802'!$K$21</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1">'x-317'!$B$7</definedName>
    <definedName name="TABLE_CLIENT_1" localSheetId="42">'x-318'!$B$7</definedName>
    <definedName name="TABLE_CLIENT_1" localSheetId="43">'x-319'!$B$7</definedName>
    <definedName name="TABLE_CLIENT_1" localSheetId="44">'x-320'!$B$7</definedName>
    <definedName name="TABLE_CLIENT_1" localSheetId="45">'x-321'!$B$7</definedName>
    <definedName name="TABLE_CLIENT_1" localSheetId="46">'x-322'!$B$7</definedName>
    <definedName name="TABLE_CLIENT_1" localSheetId="47">'x-323'!$B$7</definedName>
    <definedName name="TABLE_CLIENT_1" localSheetId="48">'x-324'!$B$7</definedName>
    <definedName name="TABLE_CLIENT_1" localSheetId="49">'x-325'!$B$7</definedName>
    <definedName name="TABLE_CLIENT_1" localSheetId="50">'x-326'!$B$7</definedName>
    <definedName name="TABLE_CLIENT_1" localSheetId="51">'x-327'!$B$7</definedName>
    <definedName name="TABLE_CLIENT_1" localSheetId="52">'x-328'!$B$7</definedName>
    <definedName name="TABLE_CLIENT_1" localSheetId="53">'x-401'!$B$7</definedName>
    <definedName name="TABLE_CLIENT_1" localSheetId="54">'x-402'!$B$7</definedName>
    <definedName name="TABLE_CLIENT_1" localSheetId="55">'x-403'!$B$7</definedName>
    <definedName name="TABLE_CLIENT_1" localSheetId="56">'x-404'!$B$7</definedName>
    <definedName name="TABLE_CLIENT_1" localSheetId="57">'x-405'!$B$7</definedName>
    <definedName name="TABLE_CLIENT_1" localSheetId="58">'x-406'!$B$7</definedName>
    <definedName name="TABLE_CLIENT_1" localSheetId="59">'x-407'!$B$7</definedName>
    <definedName name="TABLE_CLIENT_1" localSheetId="60">'x-501'!$B$7</definedName>
    <definedName name="TABLE_CLIENT_1" localSheetId="61">'x-502'!$B$7</definedName>
    <definedName name="TABLE_CLIENT_1" localSheetId="62">'x-503'!$B$7</definedName>
    <definedName name="TABLE_CLIENT_1" localSheetId="63">'x-504'!$B$7</definedName>
    <definedName name="TABLE_CLIENT_1" localSheetId="64">'x-505'!$B$7</definedName>
    <definedName name="TABLE_CLIENT_1" localSheetId="65">'x-506'!$B$7</definedName>
    <definedName name="TABLE_CLIENT_1" localSheetId="66">'x-603'!$B$7</definedName>
    <definedName name="TABLE_CLIENT_1" localSheetId="67">'x-604'!$B$7</definedName>
    <definedName name="TABLE_CLIENT_1" localSheetId="68">'x-605'!$B$7</definedName>
    <definedName name="TABLE_CLIENT_1" localSheetId="69">'x-606'!$B$7</definedName>
    <definedName name="TABLE_CLIENT_1" localSheetId="70">'x-607'!$B$7</definedName>
    <definedName name="TABLE_CLIENT_1" localSheetId="71">'x-608'!$B$7</definedName>
    <definedName name="TABLE_CLIENT_1" localSheetId="72">'x-609'!$B$7</definedName>
    <definedName name="TABLE_CLIENT_1" localSheetId="73">'x-610'!$B$7</definedName>
    <definedName name="TABLE_CLIENT_1" localSheetId="74">'x-611'!$B$7</definedName>
    <definedName name="TABLE_CLIENT_1" localSheetId="75">'x-612'!$B$7</definedName>
    <definedName name="TABLE_CLIENT_1" localSheetId="76">'x-613'!$B$7</definedName>
    <definedName name="TABLE_CLIENT_1" localSheetId="77">'x-614'!$B$7</definedName>
    <definedName name="TABLE_CLIENT_1" localSheetId="78">'x-615'!$B$7</definedName>
    <definedName name="TABLE_CLIENT_1" localSheetId="79">'x-616'!$B$7</definedName>
    <definedName name="TABLE_CLIENT_1" localSheetId="80">'x-617'!$B$7</definedName>
    <definedName name="TABLE_CLIENT_1" localSheetId="81">'x-618'!$B$7</definedName>
    <definedName name="TABLE_CLIENT_1" localSheetId="82">'x-619'!$B$7</definedName>
    <definedName name="TABLE_CLIENT_1" localSheetId="83">'x-620'!$B$7</definedName>
    <definedName name="TABLE_CLIENT_1" localSheetId="84">'x-621'!$B$7</definedName>
    <definedName name="TABLE_CLIENT_1" localSheetId="85">'x-622'!$B$7</definedName>
    <definedName name="TABLE_CLIENT_1" localSheetId="86">'x-623'!$B$7</definedName>
    <definedName name="TABLE_CLIENT_1" localSheetId="87">'x-624'!$B$7</definedName>
    <definedName name="TABLE_CLIENT_1" localSheetId="88">'x-625'!$B$7</definedName>
    <definedName name="TABLE_CLIENT_1" localSheetId="89">'x-626'!$B$7</definedName>
    <definedName name="TABLE_CLIENT_1" localSheetId="90">'x-627'!$B$7</definedName>
    <definedName name="TABLE_CLIENT_1" localSheetId="91">'x-701'!$B$7</definedName>
    <definedName name="TABLE_CLIENT_1" localSheetId="92">'x-702'!$B$7</definedName>
    <definedName name="TABLE_CLIENT_1" localSheetId="93">'x-802'!$B$7</definedName>
    <definedName name="TABLE_CLIENT_2" localSheetId="91">'x-701'!$F$7</definedName>
    <definedName name="TABLE_CLIENT_2" localSheetId="93">'x-802'!$G$7</definedName>
    <definedName name="TABLE_CLIENT_3" localSheetId="93">'x-802'!$K$7</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1">'x-317'!$B$19</definedName>
    <definedName name="TABLE_DATE_IMPLEMENTED_1" localSheetId="42">'x-318'!$B$19</definedName>
    <definedName name="TABLE_DATE_IMPLEMENTED_1" localSheetId="43">'x-319'!$B$19</definedName>
    <definedName name="TABLE_DATE_IMPLEMENTED_1" localSheetId="44">'x-320'!$B$19</definedName>
    <definedName name="TABLE_DATE_IMPLEMENTED_1" localSheetId="45">'x-321'!$B$19</definedName>
    <definedName name="TABLE_DATE_IMPLEMENTED_1" localSheetId="46">'x-322'!$B$19</definedName>
    <definedName name="TABLE_DATE_IMPLEMENTED_1" localSheetId="47">'x-323'!$B$19</definedName>
    <definedName name="TABLE_DATE_IMPLEMENTED_1" localSheetId="48">'x-324'!$B$19</definedName>
    <definedName name="TABLE_DATE_IMPLEMENTED_1" localSheetId="49">'x-325'!$B$19</definedName>
    <definedName name="TABLE_DATE_IMPLEMENTED_1" localSheetId="50">'x-326'!$B$19</definedName>
    <definedName name="TABLE_DATE_IMPLEMENTED_1" localSheetId="51">'x-327'!$B$19</definedName>
    <definedName name="TABLE_DATE_IMPLEMENTED_1" localSheetId="52">'x-328'!$B$19</definedName>
    <definedName name="TABLE_DATE_IMPLEMENTED_1" localSheetId="53">'x-401'!$B$19</definedName>
    <definedName name="TABLE_DATE_IMPLEMENTED_1" localSheetId="54">'x-402'!$B$19</definedName>
    <definedName name="TABLE_DATE_IMPLEMENTED_1" localSheetId="55">'x-403'!$B$19</definedName>
    <definedName name="TABLE_DATE_IMPLEMENTED_1" localSheetId="56">'x-404'!$B$19</definedName>
    <definedName name="TABLE_DATE_IMPLEMENTED_1" localSheetId="57">'x-405'!$B$19</definedName>
    <definedName name="TABLE_DATE_IMPLEMENTED_1" localSheetId="58">'x-406'!$B$19</definedName>
    <definedName name="TABLE_DATE_IMPLEMENTED_1" localSheetId="59">'x-407'!$B$19</definedName>
    <definedName name="TABLE_DATE_IMPLEMENTED_1" localSheetId="60">'x-501'!$B$19</definedName>
    <definedName name="TABLE_DATE_IMPLEMENTED_1" localSheetId="61">'x-502'!$B$19</definedName>
    <definedName name="TABLE_DATE_IMPLEMENTED_1" localSheetId="62">'x-503'!$B$19</definedName>
    <definedName name="TABLE_DATE_IMPLEMENTED_1" localSheetId="63">'x-504'!$B$19</definedName>
    <definedName name="TABLE_DATE_IMPLEMENTED_1" localSheetId="64">'x-505'!$B$19</definedName>
    <definedName name="TABLE_DATE_IMPLEMENTED_1" localSheetId="65">'x-506'!$B$19</definedName>
    <definedName name="TABLE_DATE_IMPLEMENTED_1" localSheetId="66">'x-603'!$B$19</definedName>
    <definedName name="TABLE_DATE_IMPLEMENTED_1" localSheetId="67">'x-604'!$B$19</definedName>
    <definedName name="TABLE_DATE_IMPLEMENTED_1" localSheetId="68">'x-605'!$B$19</definedName>
    <definedName name="TABLE_DATE_IMPLEMENTED_1" localSheetId="69">'x-606'!$B$19</definedName>
    <definedName name="TABLE_DATE_IMPLEMENTED_1" localSheetId="70">'x-607'!$B$19</definedName>
    <definedName name="TABLE_DATE_IMPLEMENTED_1" localSheetId="71">'x-608'!$B$19</definedName>
    <definedName name="TABLE_DATE_IMPLEMENTED_1" localSheetId="72">'x-609'!$B$19</definedName>
    <definedName name="TABLE_DATE_IMPLEMENTED_1" localSheetId="73">'x-610'!$B$19</definedName>
    <definedName name="TABLE_DATE_IMPLEMENTED_1" localSheetId="74">'x-611'!$B$19</definedName>
    <definedName name="TABLE_DATE_IMPLEMENTED_1" localSheetId="75">'x-612'!$B$19</definedName>
    <definedName name="TABLE_DATE_IMPLEMENTED_1" localSheetId="76">'x-613'!$B$19</definedName>
    <definedName name="TABLE_DATE_IMPLEMENTED_1" localSheetId="77">'x-614'!$B$19</definedName>
    <definedName name="TABLE_DATE_IMPLEMENTED_1" localSheetId="78">'x-615'!$B$19</definedName>
    <definedName name="TABLE_DATE_IMPLEMENTED_1" localSheetId="79">'x-616'!$B$19</definedName>
    <definedName name="TABLE_DATE_IMPLEMENTED_1" localSheetId="80">'x-617'!$B$19</definedName>
    <definedName name="TABLE_DATE_IMPLEMENTED_1" localSheetId="81">'x-618'!$B$19</definedName>
    <definedName name="TABLE_DATE_IMPLEMENTED_1" localSheetId="82">'x-619'!$B$19</definedName>
    <definedName name="TABLE_DATE_IMPLEMENTED_1" localSheetId="83">'x-620'!$B$19</definedName>
    <definedName name="TABLE_DATE_IMPLEMENTED_1" localSheetId="84">'x-621'!$B$19</definedName>
    <definedName name="TABLE_DATE_IMPLEMENTED_1" localSheetId="85">'x-622'!$B$19</definedName>
    <definedName name="TABLE_DATE_IMPLEMENTED_1" localSheetId="86">'x-623'!$B$19</definedName>
    <definedName name="TABLE_DATE_IMPLEMENTED_1" localSheetId="87">'x-624'!$B$19</definedName>
    <definedName name="TABLE_DATE_IMPLEMENTED_1" localSheetId="88">'x-625'!$B$19</definedName>
    <definedName name="TABLE_DATE_IMPLEMENTED_1" localSheetId="89">'x-626'!$B$19</definedName>
    <definedName name="TABLE_DATE_IMPLEMENTED_1" localSheetId="90">'x-627'!$B$19</definedName>
    <definedName name="TABLE_DATE_IMPLEMENTED_1" localSheetId="91">'x-701'!$B$19</definedName>
    <definedName name="TABLE_DATE_IMPLEMENTED_1" localSheetId="92">'x-702'!$B$19</definedName>
    <definedName name="TABLE_DATE_IMPLEMENTED_1" localSheetId="93">'x-802'!$B$19</definedName>
    <definedName name="TABLE_DATE_IMPLEMENTED_2" localSheetId="91">'x-701'!$F$19</definedName>
    <definedName name="TABLE_DATE_IMPLEMENTED_2" localSheetId="93">'x-802'!$G$19</definedName>
    <definedName name="TABLE_DATE_IMPLEMENTED_3" localSheetId="93">'x-802'!$K$19</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1">'x-317'!$B$18</definedName>
    <definedName name="TABLE_DATE_ISSUED_1" localSheetId="42">'x-318'!$B$18</definedName>
    <definedName name="TABLE_DATE_ISSUED_1" localSheetId="43">'x-319'!$B$18</definedName>
    <definedName name="TABLE_DATE_ISSUED_1" localSheetId="44">'x-320'!$B$18</definedName>
    <definedName name="TABLE_DATE_ISSUED_1" localSheetId="45">'x-321'!$B$18</definedName>
    <definedName name="TABLE_DATE_ISSUED_1" localSheetId="46">'x-322'!$B$18</definedName>
    <definedName name="TABLE_DATE_ISSUED_1" localSheetId="47">'x-323'!$B$18</definedName>
    <definedName name="TABLE_DATE_ISSUED_1" localSheetId="48">'x-324'!$B$18</definedName>
    <definedName name="TABLE_DATE_ISSUED_1" localSheetId="49">'x-325'!$B$18</definedName>
    <definedName name="TABLE_DATE_ISSUED_1" localSheetId="50">'x-326'!$B$18</definedName>
    <definedName name="TABLE_DATE_ISSUED_1" localSheetId="51">'x-327'!$B$18</definedName>
    <definedName name="TABLE_DATE_ISSUED_1" localSheetId="52">'x-328'!$B$18</definedName>
    <definedName name="TABLE_DATE_ISSUED_1" localSheetId="53">'x-401'!$B$18</definedName>
    <definedName name="TABLE_DATE_ISSUED_1" localSheetId="54">'x-402'!$B$18</definedName>
    <definedName name="TABLE_DATE_ISSUED_1" localSheetId="55">'x-403'!$B$18</definedName>
    <definedName name="TABLE_DATE_ISSUED_1" localSheetId="56">'x-404'!$B$18</definedName>
    <definedName name="TABLE_DATE_ISSUED_1" localSheetId="57">'x-405'!$B$18</definedName>
    <definedName name="TABLE_DATE_ISSUED_1" localSheetId="58">'x-406'!$B$18</definedName>
    <definedName name="TABLE_DATE_ISSUED_1" localSheetId="59">'x-407'!$B$18</definedName>
    <definedName name="TABLE_DATE_ISSUED_1" localSheetId="60">'x-501'!$B$18</definedName>
    <definedName name="TABLE_DATE_ISSUED_1" localSheetId="61">'x-502'!$B$18</definedName>
    <definedName name="TABLE_DATE_ISSUED_1" localSheetId="62">'x-503'!$B$18</definedName>
    <definedName name="TABLE_DATE_ISSUED_1" localSheetId="63">'x-504'!$B$18</definedName>
    <definedName name="TABLE_DATE_ISSUED_1" localSheetId="64">'x-505'!$B$18</definedName>
    <definedName name="TABLE_DATE_ISSUED_1" localSheetId="65">'x-506'!$B$18</definedName>
    <definedName name="TABLE_DATE_ISSUED_1" localSheetId="66">'x-603'!$B$18</definedName>
    <definedName name="TABLE_DATE_ISSUED_1" localSheetId="67">'x-604'!$B$18</definedName>
    <definedName name="TABLE_DATE_ISSUED_1" localSheetId="68">'x-605'!$B$18</definedName>
    <definedName name="TABLE_DATE_ISSUED_1" localSheetId="69">'x-606'!$B$18</definedName>
    <definedName name="TABLE_DATE_ISSUED_1" localSheetId="70">'x-607'!$B$18</definedName>
    <definedName name="TABLE_DATE_ISSUED_1" localSheetId="71">'x-608'!$B$18</definedName>
    <definedName name="TABLE_DATE_ISSUED_1" localSheetId="72">'x-609'!$B$18</definedName>
    <definedName name="TABLE_DATE_ISSUED_1" localSheetId="73">'x-610'!$B$18</definedName>
    <definedName name="TABLE_DATE_ISSUED_1" localSheetId="74">'x-611'!$B$18</definedName>
    <definedName name="TABLE_DATE_ISSUED_1" localSheetId="75">'x-612'!$B$18</definedName>
    <definedName name="TABLE_DATE_ISSUED_1" localSheetId="76">'x-613'!$B$18</definedName>
    <definedName name="TABLE_DATE_ISSUED_1" localSheetId="77">'x-614'!$B$18</definedName>
    <definedName name="TABLE_DATE_ISSUED_1" localSheetId="78">'x-615'!$B$18</definedName>
    <definedName name="TABLE_DATE_ISSUED_1" localSheetId="79">'x-616'!$B$18</definedName>
    <definedName name="TABLE_DATE_ISSUED_1" localSheetId="80">'x-617'!$B$18</definedName>
    <definedName name="TABLE_DATE_ISSUED_1" localSheetId="81">'x-618'!$B$18</definedName>
    <definedName name="TABLE_DATE_ISSUED_1" localSheetId="82">'x-619'!$B$18</definedName>
    <definedName name="TABLE_DATE_ISSUED_1" localSheetId="83">'x-620'!$B$18</definedName>
    <definedName name="TABLE_DATE_ISSUED_1" localSheetId="84">'x-621'!$B$18</definedName>
    <definedName name="TABLE_DATE_ISSUED_1" localSheetId="85">'x-622'!$B$18</definedName>
    <definedName name="TABLE_DATE_ISSUED_1" localSheetId="86">'x-623'!$B$18</definedName>
    <definedName name="TABLE_DATE_ISSUED_1" localSheetId="87">'x-624'!$B$18</definedName>
    <definedName name="TABLE_DATE_ISSUED_1" localSheetId="88">'x-625'!$B$18</definedName>
    <definedName name="TABLE_DATE_ISSUED_1" localSheetId="89">'x-626'!$B$18</definedName>
    <definedName name="TABLE_DATE_ISSUED_1" localSheetId="90">'x-627'!$B$18</definedName>
    <definedName name="TABLE_DATE_ISSUED_1" localSheetId="91">'x-701'!$B$18</definedName>
    <definedName name="TABLE_DATE_ISSUED_1" localSheetId="92">'x-702'!$B$18</definedName>
    <definedName name="TABLE_DATE_ISSUED_1" localSheetId="93">'x-802'!$B$18</definedName>
    <definedName name="TABLE_DATE_ISSUED_2" localSheetId="91">'x-701'!$F$18</definedName>
    <definedName name="TABLE_DATE_ISSUED_2" localSheetId="93">'x-802'!$G$18</definedName>
    <definedName name="TABLE_DATE_ISSUED_3" localSheetId="93">'x-802'!$K$18</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1">'x-317'!$B$10</definedName>
    <definedName name="TABLE_DESCRIPTION_1" localSheetId="42">'x-318'!$B$10</definedName>
    <definedName name="TABLE_DESCRIPTION_1" localSheetId="43">'x-319'!$B$10</definedName>
    <definedName name="TABLE_DESCRIPTION_1" localSheetId="44">'x-320'!$B$10</definedName>
    <definedName name="TABLE_DESCRIPTION_1" localSheetId="45">'x-321'!$B$10</definedName>
    <definedName name="TABLE_DESCRIPTION_1" localSheetId="46">'x-322'!$B$10</definedName>
    <definedName name="TABLE_DESCRIPTION_1" localSheetId="47">'x-323'!$B$10</definedName>
    <definedName name="TABLE_DESCRIPTION_1" localSheetId="48">'x-324'!$B$10</definedName>
    <definedName name="TABLE_DESCRIPTION_1" localSheetId="49">'x-325'!$B$10</definedName>
    <definedName name="TABLE_DESCRIPTION_1" localSheetId="50">'x-326'!$B$10</definedName>
    <definedName name="TABLE_DESCRIPTION_1" localSheetId="51">'x-327'!$B$10</definedName>
    <definedName name="TABLE_DESCRIPTION_1" localSheetId="52">'x-328'!$B$10</definedName>
    <definedName name="TABLE_DESCRIPTION_1" localSheetId="53">'x-401'!$B$10</definedName>
    <definedName name="TABLE_DESCRIPTION_1" localSheetId="54">'x-402'!$B$10</definedName>
    <definedName name="TABLE_DESCRIPTION_1" localSheetId="55">'x-403'!$B$10</definedName>
    <definedName name="TABLE_DESCRIPTION_1" localSheetId="56">'x-404'!$B$10</definedName>
    <definedName name="TABLE_DESCRIPTION_1" localSheetId="57">'x-405'!$B$10</definedName>
    <definedName name="TABLE_DESCRIPTION_1" localSheetId="58">'x-406'!$B$10</definedName>
    <definedName name="TABLE_DESCRIPTION_1" localSheetId="59">'x-407'!$B$10</definedName>
    <definedName name="TABLE_DESCRIPTION_1" localSheetId="60">'x-501'!$B$10</definedName>
    <definedName name="TABLE_DESCRIPTION_1" localSheetId="61">'x-502'!$B$10</definedName>
    <definedName name="TABLE_DESCRIPTION_1" localSheetId="62">'x-503'!$B$10</definedName>
    <definedName name="TABLE_DESCRIPTION_1" localSheetId="63">'x-504'!$B$10</definedName>
    <definedName name="TABLE_DESCRIPTION_1" localSheetId="64">'x-505'!$B$10</definedName>
    <definedName name="TABLE_DESCRIPTION_1" localSheetId="65">'x-506'!$B$10</definedName>
    <definedName name="TABLE_DESCRIPTION_1" localSheetId="66">'x-603'!$B$10</definedName>
    <definedName name="TABLE_DESCRIPTION_1" localSheetId="67">'x-604'!$B$10</definedName>
    <definedName name="TABLE_DESCRIPTION_1" localSheetId="68">'x-605'!$B$10</definedName>
    <definedName name="TABLE_DESCRIPTION_1" localSheetId="69">'x-606'!$B$10</definedName>
    <definedName name="TABLE_DESCRIPTION_1" localSheetId="70">'x-607'!$B$10</definedName>
    <definedName name="TABLE_DESCRIPTION_1" localSheetId="71">'x-608'!$B$10</definedName>
    <definedName name="TABLE_DESCRIPTION_1" localSheetId="72">'x-609'!$B$10</definedName>
    <definedName name="TABLE_DESCRIPTION_1" localSheetId="73">'x-610'!$B$10</definedName>
    <definedName name="TABLE_DESCRIPTION_1" localSheetId="74">'x-611'!$B$10</definedName>
    <definedName name="TABLE_DESCRIPTION_1" localSheetId="75">'x-612'!$B$10</definedName>
    <definedName name="TABLE_DESCRIPTION_1" localSheetId="76">'x-613'!$B$10</definedName>
    <definedName name="TABLE_DESCRIPTION_1" localSheetId="77">'x-614'!$B$10</definedName>
    <definedName name="TABLE_DESCRIPTION_1" localSheetId="78">'x-615'!$B$10</definedName>
    <definedName name="TABLE_DESCRIPTION_1" localSheetId="79">'x-616'!$B$10</definedName>
    <definedName name="TABLE_DESCRIPTION_1" localSheetId="80">'x-617'!$B$10</definedName>
    <definedName name="TABLE_DESCRIPTION_1" localSheetId="81">'x-618'!$B$10</definedName>
    <definedName name="TABLE_DESCRIPTION_1" localSheetId="82">'x-619'!$B$10</definedName>
    <definedName name="TABLE_DESCRIPTION_1" localSheetId="83">'x-620'!$B$10</definedName>
    <definedName name="TABLE_DESCRIPTION_1" localSheetId="84">'x-621'!$B$10</definedName>
    <definedName name="TABLE_DESCRIPTION_1" localSheetId="85">'x-622'!$B$10</definedName>
    <definedName name="TABLE_DESCRIPTION_1" localSheetId="86">'x-623'!$B$10</definedName>
    <definedName name="TABLE_DESCRIPTION_1" localSheetId="87">'x-624'!$B$10</definedName>
    <definedName name="TABLE_DESCRIPTION_1" localSheetId="88">'x-625'!$B$10</definedName>
    <definedName name="TABLE_DESCRIPTION_1" localSheetId="89">'x-626'!$B$10</definedName>
    <definedName name="TABLE_DESCRIPTION_1" localSheetId="90">'x-627'!$B$10</definedName>
    <definedName name="TABLE_DESCRIPTION_1" localSheetId="91">'x-701'!$B$10</definedName>
    <definedName name="TABLE_DESCRIPTION_1" localSheetId="92">'x-702'!$B$10</definedName>
    <definedName name="TABLE_DESCRIPTION_1" localSheetId="93">'x-802'!$B$10</definedName>
    <definedName name="TABLE_DESCRIPTION_2" localSheetId="91">'x-701'!$F$10</definedName>
    <definedName name="TABLE_DESCRIPTION_2" localSheetId="93">'x-802'!$G$10</definedName>
    <definedName name="TABLE_DESCRIPTION_3" localSheetId="93">'x-802'!$K$10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1">'x-317'!$B$20</definedName>
    <definedName name="TABLE_FACTOR_STATUS_1" localSheetId="42">'x-318'!$B$20</definedName>
    <definedName name="TABLE_FACTOR_STATUS_1" localSheetId="43">'x-319'!$B$20</definedName>
    <definedName name="TABLE_FACTOR_STATUS_1" localSheetId="44">'x-320'!$B$20</definedName>
    <definedName name="TABLE_FACTOR_STATUS_1" localSheetId="45">'x-321'!$B$20</definedName>
    <definedName name="TABLE_FACTOR_STATUS_1" localSheetId="46">'x-322'!$B$20</definedName>
    <definedName name="TABLE_FACTOR_STATUS_1" localSheetId="47">'x-323'!$B$20</definedName>
    <definedName name="TABLE_FACTOR_STATUS_1" localSheetId="48">'x-324'!$B$20</definedName>
    <definedName name="TABLE_FACTOR_STATUS_1" localSheetId="49">'x-325'!$B$20</definedName>
    <definedName name="TABLE_FACTOR_STATUS_1" localSheetId="50">'x-326'!$B$20</definedName>
    <definedName name="TABLE_FACTOR_STATUS_1" localSheetId="51">'x-327'!$B$20</definedName>
    <definedName name="TABLE_FACTOR_STATUS_1" localSheetId="52">'x-328'!$B$20</definedName>
    <definedName name="TABLE_FACTOR_STATUS_1" localSheetId="53">'x-401'!$B$20</definedName>
    <definedName name="TABLE_FACTOR_STATUS_1" localSheetId="54">'x-402'!$B$20</definedName>
    <definedName name="TABLE_FACTOR_STATUS_1" localSheetId="55">'x-403'!$B$20</definedName>
    <definedName name="TABLE_FACTOR_STATUS_1" localSheetId="56">'x-404'!$B$20</definedName>
    <definedName name="TABLE_FACTOR_STATUS_1" localSheetId="57">'x-405'!$B$20</definedName>
    <definedName name="TABLE_FACTOR_STATUS_1" localSheetId="58">'x-406'!$B$20</definedName>
    <definedName name="TABLE_FACTOR_STATUS_1" localSheetId="59">'x-407'!$B$20</definedName>
    <definedName name="TABLE_FACTOR_STATUS_1" localSheetId="60">'x-501'!$B$20</definedName>
    <definedName name="TABLE_FACTOR_STATUS_1" localSheetId="61">'x-502'!$B$20</definedName>
    <definedName name="TABLE_FACTOR_STATUS_1" localSheetId="62">'x-503'!$B$20</definedName>
    <definedName name="TABLE_FACTOR_STATUS_1" localSheetId="63">'x-504'!$B$20</definedName>
    <definedName name="TABLE_FACTOR_STATUS_1" localSheetId="64">'x-505'!$B$20</definedName>
    <definedName name="TABLE_FACTOR_STATUS_1" localSheetId="65">'x-506'!$B$20</definedName>
    <definedName name="TABLE_FACTOR_STATUS_1" localSheetId="66">'x-603'!$B$20</definedName>
    <definedName name="TABLE_FACTOR_STATUS_1" localSheetId="67">'x-604'!$B$20</definedName>
    <definedName name="TABLE_FACTOR_STATUS_1" localSheetId="68">'x-605'!$B$20</definedName>
    <definedName name="TABLE_FACTOR_STATUS_1" localSheetId="69">'x-606'!$B$20</definedName>
    <definedName name="TABLE_FACTOR_STATUS_1" localSheetId="70">'x-607'!$B$20</definedName>
    <definedName name="TABLE_FACTOR_STATUS_1" localSheetId="71">'x-608'!$B$20</definedName>
    <definedName name="TABLE_FACTOR_STATUS_1" localSheetId="72">'x-609'!$B$20</definedName>
    <definedName name="TABLE_FACTOR_STATUS_1" localSheetId="73">'x-610'!$B$20</definedName>
    <definedName name="TABLE_FACTOR_STATUS_1" localSheetId="74">'x-611'!$B$20</definedName>
    <definedName name="TABLE_FACTOR_STATUS_1" localSheetId="75">'x-612'!$B$20</definedName>
    <definedName name="TABLE_FACTOR_STATUS_1" localSheetId="76">'x-613'!$B$20</definedName>
    <definedName name="TABLE_FACTOR_STATUS_1" localSheetId="77">'x-614'!$B$20</definedName>
    <definedName name="TABLE_FACTOR_STATUS_1" localSheetId="78">'x-615'!$B$20</definedName>
    <definedName name="TABLE_FACTOR_STATUS_1" localSheetId="79">'x-616'!$B$20</definedName>
    <definedName name="TABLE_FACTOR_STATUS_1" localSheetId="80">'x-617'!$B$20</definedName>
    <definedName name="TABLE_FACTOR_STATUS_1" localSheetId="81">'x-618'!$B$20</definedName>
    <definedName name="TABLE_FACTOR_STATUS_1" localSheetId="82">'x-619'!$B$20</definedName>
    <definedName name="TABLE_FACTOR_STATUS_1" localSheetId="83">'x-620'!$B$20</definedName>
    <definedName name="TABLE_FACTOR_STATUS_1" localSheetId="84">'x-621'!$B$20</definedName>
    <definedName name="TABLE_FACTOR_STATUS_1" localSheetId="85">'x-622'!$B$20</definedName>
    <definedName name="TABLE_FACTOR_STATUS_1" localSheetId="86">'x-623'!$B$20</definedName>
    <definedName name="TABLE_FACTOR_STATUS_1" localSheetId="87">'x-624'!$B$20</definedName>
    <definedName name="TABLE_FACTOR_STATUS_1" localSheetId="88">'x-625'!$B$20</definedName>
    <definedName name="TABLE_FACTOR_STATUS_1" localSheetId="89">'x-626'!$B$20</definedName>
    <definedName name="TABLE_FACTOR_STATUS_1" localSheetId="90">'x-627'!$B$20</definedName>
    <definedName name="TABLE_FACTOR_STATUS_1" localSheetId="91">'x-701'!$B$20</definedName>
    <definedName name="TABLE_FACTOR_STATUS_1" localSheetId="92">'x-702'!$B$20</definedName>
    <definedName name="TABLE_FACTOR_STATUS_1" localSheetId="93">'x-802'!$B$20</definedName>
    <definedName name="TABLE_FACTOR_STATUS_2" localSheetId="91">'x-701'!$F$20</definedName>
    <definedName name="TABLE_FACTOR_STATUS_2" localSheetId="93">'x-802'!$G$20</definedName>
    <definedName name="TABLE_FACTOR_STATUS_3" localSheetId="93">'x-802'!$K$20</definedName>
    <definedName name="TABLE_FACTOR_TYPE" localSheetId="7">'[4]x-Series Number'!$B$9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1">'x-317'!$B$9</definedName>
    <definedName name="TABLE_FACTOR_TYPE_1" localSheetId="42">'x-318'!$B$9</definedName>
    <definedName name="TABLE_FACTOR_TYPE_1" localSheetId="43">'x-319'!$B$9</definedName>
    <definedName name="TABLE_FACTOR_TYPE_1" localSheetId="44">'x-320'!$B$9</definedName>
    <definedName name="TABLE_FACTOR_TYPE_1" localSheetId="45">'x-321'!$B$9</definedName>
    <definedName name="TABLE_FACTOR_TYPE_1" localSheetId="46">'x-322'!$B$9</definedName>
    <definedName name="TABLE_FACTOR_TYPE_1" localSheetId="47">'x-323'!$B$9</definedName>
    <definedName name="TABLE_FACTOR_TYPE_1" localSheetId="48">'x-324'!$B$9</definedName>
    <definedName name="TABLE_FACTOR_TYPE_1" localSheetId="49">'x-325'!$B$9</definedName>
    <definedName name="TABLE_FACTOR_TYPE_1" localSheetId="50">'x-326'!$B$9</definedName>
    <definedName name="TABLE_FACTOR_TYPE_1" localSheetId="51">'x-327'!$B$9</definedName>
    <definedName name="TABLE_FACTOR_TYPE_1" localSheetId="52">'x-328'!$B$9</definedName>
    <definedName name="TABLE_FACTOR_TYPE_1" localSheetId="53">'x-401'!$B$9</definedName>
    <definedName name="TABLE_FACTOR_TYPE_1" localSheetId="54">'x-402'!$B$9</definedName>
    <definedName name="TABLE_FACTOR_TYPE_1" localSheetId="55">'x-403'!$B$9</definedName>
    <definedName name="TABLE_FACTOR_TYPE_1" localSheetId="56">'x-404'!$B$9</definedName>
    <definedName name="TABLE_FACTOR_TYPE_1" localSheetId="57">'x-405'!$B$9</definedName>
    <definedName name="TABLE_FACTOR_TYPE_1" localSheetId="58">'x-406'!$B$9</definedName>
    <definedName name="TABLE_FACTOR_TYPE_1" localSheetId="59">'x-407'!$B$9</definedName>
    <definedName name="TABLE_FACTOR_TYPE_1" localSheetId="60">'x-501'!$B$9</definedName>
    <definedName name="TABLE_FACTOR_TYPE_1" localSheetId="61">'x-502'!$B$9</definedName>
    <definedName name="TABLE_FACTOR_TYPE_1" localSheetId="62">'x-503'!$B$9</definedName>
    <definedName name="TABLE_FACTOR_TYPE_1" localSheetId="63">'x-504'!$B$9</definedName>
    <definedName name="TABLE_FACTOR_TYPE_1" localSheetId="64">'x-505'!$B$9</definedName>
    <definedName name="TABLE_FACTOR_TYPE_1" localSheetId="65">'x-506'!$B$9</definedName>
    <definedName name="TABLE_FACTOR_TYPE_1" localSheetId="66">'x-603'!$B$9</definedName>
    <definedName name="TABLE_FACTOR_TYPE_1" localSheetId="67">'x-604'!$B$9</definedName>
    <definedName name="TABLE_FACTOR_TYPE_1" localSheetId="68">'x-605'!$B$9</definedName>
    <definedName name="TABLE_FACTOR_TYPE_1" localSheetId="69">'x-606'!$B$9</definedName>
    <definedName name="TABLE_FACTOR_TYPE_1" localSheetId="70">'x-607'!$B$9</definedName>
    <definedName name="TABLE_FACTOR_TYPE_1" localSheetId="71">'x-608'!$B$9</definedName>
    <definedName name="TABLE_FACTOR_TYPE_1" localSheetId="72">'x-609'!$B$9</definedName>
    <definedName name="TABLE_FACTOR_TYPE_1" localSheetId="73">'x-610'!$B$9</definedName>
    <definedName name="TABLE_FACTOR_TYPE_1" localSheetId="74">'x-611'!$B$9</definedName>
    <definedName name="TABLE_FACTOR_TYPE_1" localSheetId="75">'x-612'!$B$9</definedName>
    <definedName name="TABLE_FACTOR_TYPE_1" localSheetId="76">'x-613'!$B$9</definedName>
    <definedName name="TABLE_FACTOR_TYPE_1" localSheetId="77">'x-614'!$B$9</definedName>
    <definedName name="TABLE_FACTOR_TYPE_1" localSheetId="78">'x-615'!$B$9</definedName>
    <definedName name="TABLE_FACTOR_TYPE_1" localSheetId="79">'x-616'!$B$9</definedName>
    <definedName name="TABLE_FACTOR_TYPE_1" localSheetId="80">'x-617'!$B$9</definedName>
    <definedName name="TABLE_FACTOR_TYPE_1" localSheetId="81">'x-618'!$B$9</definedName>
    <definedName name="TABLE_FACTOR_TYPE_1" localSheetId="82">'x-619'!$B$9</definedName>
    <definedName name="TABLE_FACTOR_TYPE_1" localSheetId="83">'x-620'!$B$9</definedName>
    <definedName name="TABLE_FACTOR_TYPE_1" localSheetId="84">'x-621'!$B$9</definedName>
    <definedName name="TABLE_FACTOR_TYPE_1" localSheetId="85">'x-622'!$B$9</definedName>
    <definedName name="TABLE_FACTOR_TYPE_1" localSheetId="86">'x-623'!$B$9</definedName>
    <definedName name="TABLE_FACTOR_TYPE_1" localSheetId="87">'x-624'!$B$9</definedName>
    <definedName name="TABLE_FACTOR_TYPE_1" localSheetId="88">'x-625'!$B$9</definedName>
    <definedName name="TABLE_FACTOR_TYPE_1" localSheetId="89">'x-626'!$B$9</definedName>
    <definedName name="TABLE_FACTOR_TYPE_1" localSheetId="90">'x-627'!$B$9</definedName>
    <definedName name="TABLE_FACTOR_TYPE_1" localSheetId="91">'x-701'!$B$9</definedName>
    <definedName name="TABLE_FACTOR_TYPE_1" localSheetId="92">'x-702'!$B$9</definedName>
    <definedName name="TABLE_FACTOR_TYPE_1" localSheetId="93">'x-802'!$B$9</definedName>
    <definedName name="TABLE_FACTOR_TYPE_2" localSheetId="91">'x-701'!$F$9</definedName>
    <definedName name="TABLE_FACTOR_TYPE_2" localSheetId="93">'x-802'!$G$9</definedName>
    <definedName name="TABLE_FACTOR_TYPE_3" localSheetId="93">'x-802'!$K$9</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1">'x-317'!$B$11</definedName>
    <definedName name="TABLE_GENDER_1" localSheetId="42">'x-318'!$B$11</definedName>
    <definedName name="TABLE_GENDER_1" localSheetId="43">'x-319'!$B$11</definedName>
    <definedName name="TABLE_GENDER_1" localSheetId="44">'x-320'!$B$11</definedName>
    <definedName name="TABLE_GENDER_1" localSheetId="45">'x-321'!$B$11</definedName>
    <definedName name="TABLE_GENDER_1" localSheetId="46">'x-322'!$B$11</definedName>
    <definedName name="TABLE_GENDER_1" localSheetId="47">'x-323'!$B$11</definedName>
    <definedName name="TABLE_GENDER_1" localSheetId="48">'x-324'!$B$11</definedName>
    <definedName name="TABLE_GENDER_1" localSheetId="49">'x-325'!$B$11</definedName>
    <definedName name="TABLE_GENDER_1" localSheetId="50">'x-326'!$B$11</definedName>
    <definedName name="TABLE_GENDER_1" localSheetId="51">'x-327'!$B$11</definedName>
    <definedName name="TABLE_GENDER_1" localSheetId="52">'x-328'!$B$11</definedName>
    <definedName name="TABLE_GENDER_1" localSheetId="53">'x-401'!$B$11</definedName>
    <definedName name="TABLE_GENDER_1" localSheetId="54">'x-402'!$B$11</definedName>
    <definedName name="TABLE_GENDER_1" localSheetId="55">'x-403'!$B$11</definedName>
    <definedName name="TABLE_GENDER_1" localSheetId="56">'x-404'!$B$11</definedName>
    <definedName name="TABLE_GENDER_1" localSheetId="57">'x-405'!$B$11</definedName>
    <definedName name="TABLE_GENDER_1" localSheetId="58">'x-406'!$B$11</definedName>
    <definedName name="TABLE_GENDER_1" localSheetId="59">'x-407'!$B$11</definedName>
    <definedName name="TABLE_GENDER_1" localSheetId="60">'x-501'!$B$11</definedName>
    <definedName name="TABLE_GENDER_1" localSheetId="61">'x-502'!$B$11</definedName>
    <definedName name="TABLE_GENDER_1" localSheetId="62">'x-503'!$B$11</definedName>
    <definedName name="TABLE_GENDER_1" localSheetId="63">'x-504'!$B$11</definedName>
    <definedName name="TABLE_GENDER_1" localSheetId="64">'x-505'!$B$11</definedName>
    <definedName name="TABLE_GENDER_1" localSheetId="65">'x-506'!$B$11</definedName>
    <definedName name="TABLE_GENDER_1" localSheetId="66">'x-603'!$B$11</definedName>
    <definedName name="TABLE_GENDER_1" localSheetId="67">'x-604'!$B$11</definedName>
    <definedName name="TABLE_GENDER_1" localSheetId="68">'x-605'!$B$11</definedName>
    <definedName name="TABLE_GENDER_1" localSheetId="69">'x-606'!$B$11</definedName>
    <definedName name="TABLE_GENDER_1" localSheetId="70">'x-607'!$B$11</definedName>
    <definedName name="TABLE_GENDER_1" localSheetId="71">'x-608'!$B$11</definedName>
    <definedName name="TABLE_GENDER_1" localSheetId="72">'x-609'!$B$11</definedName>
    <definedName name="TABLE_GENDER_1" localSheetId="73">'x-610'!$B$11</definedName>
    <definedName name="TABLE_GENDER_1" localSheetId="74">'x-611'!$B$11</definedName>
    <definedName name="TABLE_GENDER_1" localSheetId="75">'x-612'!$B$11</definedName>
    <definedName name="TABLE_GENDER_1" localSheetId="76">'x-613'!$B$11</definedName>
    <definedName name="TABLE_GENDER_1" localSheetId="77">'x-614'!$B$11</definedName>
    <definedName name="TABLE_GENDER_1" localSheetId="78">'x-615'!$B$11</definedName>
    <definedName name="TABLE_GENDER_1" localSheetId="79">'x-616'!$B$11</definedName>
    <definedName name="TABLE_GENDER_1" localSheetId="80">'x-617'!$B$11</definedName>
    <definedName name="TABLE_GENDER_1" localSheetId="81">'x-618'!$B$11</definedName>
    <definedName name="TABLE_GENDER_1" localSheetId="82">'x-619'!$B$11</definedName>
    <definedName name="TABLE_GENDER_1" localSheetId="83">'x-620'!$B$11</definedName>
    <definedName name="TABLE_GENDER_1" localSheetId="84">'x-621'!$B$11</definedName>
    <definedName name="TABLE_GENDER_1" localSheetId="85">'x-622'!$B$11</definedName>
    <definedName name="TABLE_GENDER_1" localSheetId="86">'x-623'!$B$11</definedName>
    <definedName name="TABLE_GENDER_1" localSheetId="87">'x-624'!$B$11</definedName>
    <definedName name="TABLE_GENDER_1" localSheetId="88">'x-625'!$B$11</definedName>
    <definedName name="TABLE_GENDER_1" localSheetId="89">'x-626'!$B$11</definedName>
    <definedName name="TABLE_GENDER_1" localSheetId="90">'x-627'!$B$11</definedName>
    <definedName name="TABLE_GENDER_1" localSheetId="91">'x-701'!$B$11</definedName>
    <definedName name="TABLE_GENDER_1" localSheetId="92">'x-702'!$B$11</definedName>
    <definedName name="TABLE_GENDER_1" localSheetId="93">'x-802'!$B$11</definedName>
    <definedName name="TABLE_GENDER_2" localSheetId="91">'x-701'!$F$11</definedName>
    <definedName name="TABLE_GENDER_2" localSheetId="93">'x-802'!$G$11</definedName>
    <definedName name="TABLE_GENDER_3" localSheetId="93">'x-802'!$K$11</definedName>
    <definedName name="TABLE_INFO">'x-Series Number'!$A$6:$B$20</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'x-206'!$A$6:$B$21</definedName>
    <definedName name="TABLE_INFO_1" localSheetId="14">'x-207'!$A$6:$B$21</definedName>
    <definedName name="TABLE_INFO_1" localSheetId="15">'x-208'!$A$6:$B$21</definedName>
    <definedName name="TABLE_INFO_1" localSheetId="16">'x-209'!$A$6:$B$21</definedName>
    <definedName name="TABLE_INFO_1" localSheetId="17">'x-210'!$A$6:$B$21</definedName>
    <definedName name="TABLE_INFO_1" localSheetId="18">'x-211'!$A$6:$B$21</definedName>
    <definedName name="TABLE_INFO_1" localSheetId="19">'x-212'!$A$6:$B$21</definedName>
    <definedName name="TABLE_INFO_1" localSheetId="20">'x-213'!$A$6:$B$21</definedName>
    <definedName name="TABLE_INFO_1" localSheetId="21">'x-214'!$A$6:$B$21</definedName>
    <definedName name="TABLE_INFO_1" localSheetId="22">'x-215'!$A$6:$B$21</definedName>
    <definedName name="TABLE_INFO_1" localSheetId="23">'x-220'!$A$6:$B$21</definedName>
    <definedName name="TABLE_INFO_1" localSheetId="24">'x-221'!$A$6:$B$21</definedName>
    <definedName name="TABLE_INFO_1" localSheetId="25">'x-301'!$A$6:$B$21</definedName>
    <definedName name="TABLE_INFO_1" localSheetId="26">'x-302'!$A$6:$B$21</definedName>
    <definedName name="TABLE_INFO_1" localSheetId="27">'x-303'!$A$6:$B$21</definedName>
    <definedName name="TABLE_INFO_1" localSheetId="28">'x-304'!$A$6:$B$21</definedName>
    <definedName name="TABLE_INFO_1" localSheetId="29">'x-305'!$A$6:$B$21</definedName>
    <definedName name="TABLE_INFO_1" localSheetId="30">'x-306'!$A$6:$B$21</definedName>
    <definedName name="TABLE_INFO_1" localSheetId="31">'x-307'!$A$6:$B$21</definedName>
    <definedName name="TABLE_INFO_1" localSheetId="32">'x-308'!$A$6:$B$21</definedName>
    <definedName name="TABLE_INFO_1" localSheetId="33">'x-309'!$A$6:$B$21</definedName>
    <definedName name="TABLE_INFO_1" localSheetId="34">'x-310'!$A$6:$B$21</definedName>
    <definedName name="TABLE_INFO_1" localSheetId="35">'x-311'!$A$6:$B$21</definedName>
    <definedName name="TABLE_INFO_1" localSheetId="36">'x-312'!$A$6:$B$21</definedName>
    <definedName name="TABLE_INFO_1" localSheetId="37">'x-313'!$A$6:$B$21</definedName>
    <definedName name="TABLE_INFO_1" localSheetId="38">'x-314'!$A$6:$B$21</definedName>
    <definedName name="TABLE_INFO_1" localSheetId="39">'x-315'!$A$6:$B$21</definedName>
    <definedName name="TABLE_INFO_1" localSheetId="40">'x-316'!$A$6:$B$21</definedName>
    <definedName name="TABLE_INFO_1" localSheetId="41">'x-317'!$A$6:$B$21</definedName>
    <definedName name="TABLE_INFO_1" localSheetId="42">'x-318'!$A$6:$B$21</definedName>
    <definedName name="TABLE_INFO_1" localSheetId="43">'x-319'!$A$6:$B$21</definedName>
    <definedName name="TABLE_INFO_1" localSheetId="44">'x-320'!$A$6:$B$21</definedName>
    <definedName name="TABLE_INFO_1" localSheetId="45">'x-321'!$A$6:$B$21</definedName>
    <definedName name="TABLE_INFO_1" localSheetId="46">'x-322'!$A$6:$B$21</definedName>
    <definedName name="TABLE_INFO_1" localSheetId="47">'x-323'!$A$6:$B$21</definedName>
    <definedName name="TABLE_INFO_1" localSheetId="48">'x-324'!$A$6:$B$21</definedName>
    <definedName name="TABLE_INFO_1" localSheetId="49">'x-325'!$A$6:$B$21</definedName>
    <definedName name="TABLE_INFO_1" localSheetId="50">'x-326'!$A$6:$B$21</definedName>
    <definedName name="TABLE_INFO_1" localSheetId="51">'x-327'!$A$6:$B$21</definedName>
    <definedName name="TABLE_INFO_1" localSheetId="52">'x-328'!$A$6:$B$21</definedName>
    <definedName name="TABLE_INFO_1" localSheetId="53">'x-401'!$A$6:$B$21</definedName>
    <definedName name="TABLE_INFO_1" localSheetId="54">'x-402'!$A$6:$B$21</definedName>
    <definedName name="TABLE_INFO_1" localSheetId="55">'x-403'!$A$6:$B$21</definedName>
    <definedName name="TABLE_INFO_1" localSheetId="56">'x-404'!$A$6:$B$21</definedName>
    <definedName name="TABLE_INFO_1" localSheetId="57">'x-405'!$A$6:$B$21</definedName>
    <definedName name="TABLE_INFO_1" localSheetId="58">'x-406'!$A$6:$B$21</definedName>
    <definedName name="TABLE_INFO_1" localSheetId="59">'x-407'!$A$6:$B$21</definedName>
    <definedName name="TABLE_INFO_1" localSheetId="60">'x-501'!$A$6:$B$21</definedName>
    <definedName name="TABLE_INFO_1" localSheetId="61">'x-502'!$A$6:$B$21</definedName>
    <definedName name="TABLE_INFO_1" localSheetId="62">'x-503'!$A$6:$B$21</definedName>
    <definedName name="TABLE_INFO_1" localSheetId="63">'x-504'!$A$6:$B$21</definedName>
    <definedName name="TABLE_INFO_1" localSheetId="64">'x-505'!$A$6:$B$21</definedName>
    <definedName name="TABLE_INFO_1" localSheetId="65">'x-506'!$A$6:$B$21</definedName>
    <definedName name="TABLE_INFO_1" localSheetId="66">'x-603'!$A$6:$B$21</definedName>
    <definedName name="TABLE_INFO_1" localSheetId="67">'x-604'!$A$6:$B$21</definedName>
    <definedName name="TABLE_INFO_1" localSheetId="68">'x-605'!$A$6:$B$21</definedName>
    <definedName name="TABLE_INFO_1" localSheetId="69">'x-606'!$A$6:$B$21</definedName>
    <definedName name="TABLE_INFO_1" localSheetId="70">'x-607'!$A$6:$B$21</definedName>
    <definedName name="TABLE_INFO_1" localSheetId="71">'x-608'!$A$6:$B$21</definedName>
    <definedName name="TABLE_INFO_1" localSheetId="72">'x-609'!$A$6:$B$21</definedName>
    <definedName name="TABLE_INFO_1" localSheetId="73">'x-610'!$A$6:$B$21</definedName>
    <definedName name="TABLE_INFO_1" localSheetId="74">'x-611'!$A$6:$B$21</definedName>
    <definedName name="TABLE_INFO_1" localSheetId="75">'x-612'!$A$6:$B$21</definedName>
    <definedName name="TABLE_INFO_1" localSheetId="76">'x-613'!$A$6:$B$21</definedName>
    <definedName name="TABLE_INFO_1" localSheetId="77">'x-614'!$A$6:$B$21</definedName>
    <definedName name="TABLE_INFO_1" localSheetId="78">'x-615'!$A$6:$B$21</definedName>
    <definedName name="TABLE_INFO_1" localSheetId="79">'x-616'!$A$6:$B$21</definedName>
    <definedName name="TABLE_INFO_1" localSheetId="80">'x-617'!$A$6:$B$21</definedName>
    <definedName name="TABLE_INFO_1" localSheetId="81">'x-618'!$A$6:$B$21</definedName>
    <definedName name="TABLE_INFO_1" localSheetId="82">'x-619'!$A$6:$B$21</definedName>
    <definedName name="TABLE_INFO_1" localSheetId="83">'x-620'!$A$6:$B$21</definedName>
    <definedName name="TABLE_INFO_1" localSheetId="84">'x-621'!$A$6:$B$21</definedName>
    <definedName name="TABLE_INFO_1" localSheetId="85">'x-622'!$A$6:$B$21</definedName>
    <definedName name="TABLE_INFO_1" localSheetId="86">'x-623'!$A$6:$B$21</definedName>
    <definedName name="TABLE_INFO_1" localSheetId="87">'x-624'!$A$6:$B$21</definedName>
    <definedName name="TABLE_INFO_1" localSheetId="88">'x-625'!$A$6:$B$21</definedName>
    <definedName name="TABLE_INFO_1" localSheetId="89">'x-626'!$A$6:$B$21</definedName>
    <definedName name="TABLE_INFO_1" localSheetId="90">'x-627'!$A$6:$B$21</definedName>
    <definedName name="TABLE_INFO_1" localSheetId="91">'x-701'!$A$6:$B$21</definedName>
    <definedName name="TABLE_INFO_1" localSheetId="92">'x-702'!$A$6:$B$21</definedName>
    <definedName name="TABLE_INFO_1" localSheetId="93">'x-802'!$A$6:$B$21</definedName>
    <definedName name="TABLE_INFO_2" localSheetId="91">'x-701'!$E$6:$F$21</definedName>
    <definedName name="TABLE_INFO_2" localSheetId="93">'x-802'!$F$6:$G$21</definedName>
    <definedName name="TABLE_INFO_3" localSheetId="93">'x-802'!$J$6:$K$21</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1">'x-317'!$B$15</definedName>
    <definedName name="TABLE_REFERENCE_1" localSheetId="42">'x-318'!$B$15</definedName>
    <definedName name="TABLE_REFERENCE_1" localSheetId="43">'x-319'!$B$15</definedName>
    <definedName name="TABLE_REFERENCE_1" localSheetId="44">'x-320'!$B$15</definedName>
    <definedName name="TABLE_REFERENCE_1" localSheetId="45">'x-321'!$B$15</definedName>
    <definedName name="TABLE_REFERENCE_1" localSheetId="46">'x-322'!$B$15</definedName>
    <definedName name="TABLE_REFERENCE_1" localSheetId="47">'x-323'!$B$15</definedName>
    <definedName name="TABLE_REFERENCE_1" localSheetId="48">'x-324'!$B$15</definedName>
    <definedName name="TABLE_REFERENCE_1" localSheetId="49">'x-325'!$B$15</definedName>
    <definedName name="TABLE_REFERENCE_1" localSheetId="50">'x-326'!$B$15</definedName>
    <definedName name="TABLE_REFERENCE_1" localSheetId="51">'x-327'!$B$15</definedName>
    <definedName name="TABLE_REFERENCE_1" localSheetId="52">'x-328'!$B$15</definedName>
    <definedName name="TABLE_REFERENCE_1" localSheetId="53">'x-401'!$B$15</definedName>
    <definedName name="TABLE_REFERENCE_1" localSheetId="54">'x-402'!$B$15</definedName>
    <definedName name="TABLE_REFERENCE_1" localSheetId="55">'x-403'!$B$15</definedName>
    <definedName name="TABLE_REFERENCE_1" localSheetId="56">'x-404'!$B$15</definedName>
    <definedName name="TABLE_REFERENCE_1" localSheetId="57">'x-405'!$B$15</definedName>
    <definedName name="TABLE_REFERENCE_1" localSheetId="58">'x-406'!$B$15</definedName>
    <definedName name="TABLE_REFERENCE_1" localSheetId="59">'x-407'!$B$15</definedName>
    <definedName name="TABLE_REFERENCE_1" localSheetId="60">'x-501'!$B$15</definedName>
    <definedName name="TABLE_REFERENCE_1" localSheetId="61">'x-502'!$B$15</definedName>
    <definedName name="TABLE_REFERENCE_1" localSheetId="62">'x-503'!$B$15</definedName>
    <definedName name="TABLE_REFERENCE_1" localSheetId="63">'x-504'!$B$15</definedName>
    <definedName name="TABLE_REFERENCE_1" localSheetId="64">'x-505'!$B$15</definedName>
    <definedName name="TABLE_REFERENCE_1" localSheetId="65">'x-506'!$B$15</definedName>
    <definedName name="TABLE_REFERENCE_1" localSheetId="66">'x-603'!$B$15</definedName>
    <definedName name="TABLE_REFERENCE_1" localSheetId="67">'x-604'!$B$15</definedName>
    <definedName name="TABLE_REFERENCE_1" localSheetId="68">'x-605'!$B$15</definedName>
    <definedName name="TABLE_REFERENCE_1" localSheetId="69">'x-606'!$B$15</definedName>
    <definedName name="TABLE_REFERENCE_1" localSheetId="70">'x-607'!$B$15</definedName>
    <definedName name="TABLE_REFERENCE_1" localSheetId="71">'x-608'!$B$15</definedName>
    <definedName name="TABLE_REFERENCE_1" localSheetId="72">'x-609'!$B$15</definedName>
    <definedName name="TABLE_REFERENCE_1" localSheetId="73">'x-610'!$B$15</definedName>
    <definedName name="TABLE_REFERENCE_1" localSheetId="74">'x-611'!$B$15</definedName>
    <definedName name="TABLE_REFERENCE_1" localSheetId="75">'x-612'!$B$15</definedName>
    <definedName name="TABLE_REFERENCE_1" localSheetId="76">'x-613'!$B$15</definedName>
    <definedName name="TABLE_REFERENCE_1" localSheetId="77">'x-614'!$B$15</definedName>
    <definedName name="TABLE_REFERENCE_1" localSheetId="78">'x-615'!$B$15</definedName>
    <definedName name="TABLE_REFERENCE_1" localSheetId="79">'x-616'!$B$15</definedName>
    <definedName name="TABLE_REFERENCE_1" localSheetId="80">'x-617'!$B$15</definedName>
    <definedName name="TABLE_REFERENCE_1" localSheetId="81">'x-618'!$B$15</definedName>
    <definedName name="TABLE_REFERENCE_1" localSheetId="82">'x-619'!$B$15</definedName>
    <definedName name="TABLE_REFERENCE_1" localSheetId="83">'x-620'!$B$15</definedName>
    <definedName name="TABLE_REFERENCE_1" localSheetId="84">'x-621'!$B$15</definedName>
    <definedName name="TABLE_REFERENCE_1" localSheetId="85">'x-622'!$B$15</definedName>
    <definedName name="TABLE_REFERENCE_1" localSheetId="86">'x-623'!$B$15</definedName>
    <definedName name="TABLE_REFERENCE_1" localSheetId="87">'x-624'!$B$15</definedName>
    <definedName name="TABLE_REFERENCE_1" localSheetId="88">'x-625'!$B$15</definedName>
    <definedName name="TABLE_REFERENCE_1" localSheetId="89">'x-626'!$B$15</definedName>
    <definedName name="TABLE_REFERENCE_1" localSheetId="90">'x-627'!$B$15</definedName>
    <definedName name="TABLE_REFERENCE_1" localSheetId="91">'x-701'!$B$15</definedName>
    <definedName name="TABLE_REFERENCE_1" localSheetId="92">'x-702'!$B$15</definedName>
    <definedName name="TABLE_REFERENCE_1" localSheetId="93">'x-802'!$B$15</definedName>
    <definedName name="TABLE_REFERENCE_2" localSheetId="91">'x-701'!$F$15</definedName>
    <definedName name="TABLE_REFERENCE_2" localSheetId="93">'x-802'!$G$15</definedName>
    <definedName name="TABLE_REFERENCE_3" localSheetId="93">'x-802'!$K$15</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1">'x-317'!$B$16</definedName>
    <definedName name="TABLE_REFERENCE_GUIDANCE_1" localSheetId="42">'x-318'!$B$16</definedName>
    <definedName name="TABLE_REFERENCE_GUIDANCE_1" localSheetId="43">'x-319'!$B$16</definedName>
    <definedName name="TABLE_REFERENCE_GUIDANCE_1" localSheetId="44">'x-320'!$B$16</definedName>
    <definedName name="TABLE_REFERENCE_GUIDANCE_1" localSheetId="45">'x-321'!$B$16</definedName>
    <definedName name="TABLE_REFERENCE_GUIDANCE_1" localSheetId="46">'x-322'!$B$16</definedName>
    <definedName name="TABLE_REFERENCE_GUIDANCE_1" localSheetId="47">'x-323'!$B$16</definedName>
    <definedName name="TABLE_REFERENCE_GUIDANCE_1" localSheetId="48">'x-324'!$B$16</definedName>
    <definedName name="TABLE_REFERENCE_GUIDANCE_1" localSheetId="49">'x-325'!$B$16</definedName>
    <definedName name="TABLE_REFERENCE_GUIDANCE_1" localSheetId="50">'x-326'!$B$16</definedName>
    <definedName name="TABLE_REFERENCE_GUIDANCE_1" localSheetId="51">'x-327'!$B$16</definedName>
    <definedName name="TABLE_REFERENCE_GUIDANCE_1" localSheetId="52">'x-328'!$B$16</definedName>
    <definedName name="TABLE_REFERENCE_GUIDANCE_1" localSheetId="53">'x-401'!$B$16</definedName>
    <definedName name="TABLE_REFERENCE_GUIDANCE_1" localSheetId="54">'x-402'!$B$16</definedName>
    <definedName name="TABLE_REFERENCE_GUIDANCE_1" localSheetId="55">'x-403'!$B$16</definedName>
    <definedName name="TABLE_REFERENCE_GUIDANCE_1" localSheetId="56">'x-404'!$B$16</definedName>
    <definedName name="TABLE_REFERENCE_GUIDANCE_1" localSheetId="57">'x-405'!$B$16</definedName>
    <definedName name="TABLE_REFERENCE_GUIDANCE_1" localSheetId="58">'x-406'!$B$16</definedName>
    <definedName name="TABLE_REFERENCE_GUIDANCE_1" localSheetId="59">'x-407'!$B$16</definedName>
    <definedName name="TABLE_REFERENCE_GUIDANCE_1" localSheetId="60">'x-501'!$B$16</definedName>
    <definedName name="TABLE_REFERENCE_GUIDANCE_1" localSheetId="61">'x-502'!$B$16</definedName>
    <definedName name="TABLE_REFERENCE_GUIDANCE_1" localSheetId="62">'x-503'!$B$16</definedName>
    <definedName name="TABLE_REFERENCE_GUIDANCE_1" localSheetId="63">'x-504'!$B$16</definedName>
    <definedName name="TABLE_REFERENCE_GUIDANCE_1" localSheetId="64">'x-505'!$B$16</definedName>
    <definedName name="TABLE_REFERENCE_GUIDANCE_1" localSheetId="65">'x-506'!$B$16</definedName>
    <definedName name="TABLE_REFERENCE_GUIDANCE_1" localSheetId="66">'x-603'!$B$16</definedName>
    <definedName name="TABLE_REFERENCE_GUIDANCE_1" localSheetId="67">'x-604'!$B$16</definedName>
    <definedName name="TABLE_REFERENCE_GUIDANCE_1" localSheetId="68">'x-605'!$B$16</definedName>
    <definedName name="TABLE_REFERENCE_GUIDANCE_1" localSheetId="69">'x-606'!$B$16</definedName>
    <definedName name="TABLE_REFERENCE_GUIDANCE_1" localSheetId="70">'x-607'!$B$16</definedName>
    <definedName name="TABLE_REFERENCE_GUIDANCE_1" localSheetId="71">'x-608'!$B$16</definedName>
    <definedName name="TABLE_REFERENCE_GUIDANCE_1" localSheetId="72">'x-609'!$B$16</definedName>
    <definedName name="TABLE_REFERENCE_GUIDANCE_1" localSheetId="73">'x-610'!$B$16</definedName>
    <definedName name="TABLE_REFERENCE_GUIDANCE_1" localSheetId="74">'x-611'!$B$16</definedName>
    <definedName name="TABLE_REFERENCE_GUIDANCE_1" localSheetId="75">'x-612'!$B$16</definedName>
    <definedName name="TABLE_REFERENCE_GUIDANCE_1" localSheetId="76">'x-613'!$B$16</definedName>
    <definedName name="TABLE_REFERENCE_GUIDANCE_1" localSheetId="77">'x-614'!$B$16</definedName>
    <definedName name="TABLE_REFERENCE_GUIDANCE_1" localSheetId="78">'x-615'!$B$16</definedName>
    <definedName name="TABLE_REFERENCE_GUIDANCE_1" localSheetId="79">'x-616'!$B$16</definedName>
    <definedName name="TABLE_REFERENCE_GUIDANCE_1" localSheetId="80">'x-617'!$B$16</definedName>
    <definedName name="TABLE_REFERENCE_GUIDANCE_1" localSheetId="81">'x-618'!$B$16</definedName>
    <definedName name="TABLE_REFERENCE_GUIDANCE_1" localSheetId="82">'x-619'!$B$16</definedName>
    <definedName name="TABLE_REFERENCE_GUIDANCE_1" localSheetId="83">'x-620'!$B$16</definedName>
    <definedName name="TABLE_REFERENCE_GUIDANCE_1" localSheetId="84">'x-621'!$B$16</definedName>
    <definedName name="TABLE_REFERENCE_GUIDANCE_1" localSheetId="85">'x-622'!$B$16</definedName>
    <definedName name="TABLE_REFERENCE_GUIDANCE_1" localSheetId="86">'x-623'!$B$16</definedName>
    <definedName name="TABLE_REFERENCE_GUIDANCE_1" localSheetId="87">'x-624'!$B$16</definedName>
    <definedName name="TABLE_REFERENCE_GUIDANCE_1" localSheetId="88">'x-625'!$B$16</definedName>
    <definedName name="TABLE_REFERENCE_GUIDANCE_1" localSheetId="89">'x-626'!$B$16</definedName>
    <definedName name="TABLE_REFERENCE_GUIDANCE_1" localSheetId="90">'x-627'!$B$16</definedName>
    <definedName name="TABLE_REFERENCE_GUIDANCE_1" localSheetId="91">'x-701'!$B$16</definedName>
    <definedName name="TABLE_REFERENCE_GUIDANCE_1" localSheetId="92">'x-702'!$B$16</definedName>
    <definedName name="TABLE_REFERENCE_GUIDANCE_1" localSheetId="93">'x-802'!$B$16</definedName>
    <definedName name="TABLE_REFERENCE_GUIDANCE_2" localSheetId="91">'x-701'!$F$16</definedName>
    <definedName name="TABLE_REFERENCE_GUIDANCE_2" localSheetId="93">'x-802'!$G$16</definedName>
    <definedName name="TABLE_REFERENCE_GUIDANCE_3" localSheetId="93">'x-802'!$K$16</definedName>
    <definedName name="TABLE_RELATED" localSheetId="8">'x-201'!#REF!</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1">'x-317'!$B$17</definedName>
    <definedName name="TABLE_RELATED_1" localSheetId="42">'x-318'!$B$17</definedName>
    <definedName name="TABLE_RELATED_1" localSheetId="43">'x-319'!$B$17</definedName>
    <definedName name="TABLE_RELATED_1" localSheetId="44">'x-320'!$B$17</definedName>
    <definedName name="TABLE_RELATED_1" localSheetId="45">'x-321'!$B$17</definedName>
    <definedName name="TABLE_RELATED_1" localSheetId="46">'x-322'!$B$17</definedName>
    <definedName name="TABLE_RELATED_1" localSheetId="47">'x-323'!$B$17</definedName>
    <definedName name="TABLE_RELATED_1" localSheetId="48">'x-324'!$B$17</definedName>
    <definedName name="TABLE_RELATED_1" localSheetId="49">'x-325'!$B$17</definedName>
    <definedName name="TABLE_RELATED_1" localSheetId="50">'x-326'!$B$17</definedName>
    <definedName name="TABLE_RELATED_1" localSheetId="51">'x-327'!$B$17</definedName>
    <definedName name="TABLE_RELATED_1" localSheetId="52">'x-328'!$B$17</definedName>
    <definedName name="TABLE_RELATED_1" localSheetId="53">'x-401'!$B$17</definedName>
    <definedName name="TABLE_RELATED_1" localSheetId="54">'x-402'!$B$17</definedName>
    <definedName name="TABLE_RELATED_1" localSheetId="55">'x-403'!$B$17</definedName>
    <definedName name="TABLE_RELATED_1" localSheetId="56">'x-404'!$B$17</definedName>
    <definedName name="TABLE_RELATED_1" localSheetId="57">'x-405'!$B$17</definedName>
    <definedName name="TABLE_RELATED_1" localSheetId="58">'x-406'!$B$17</definedName>
    <definedName name="TABLE_RELATED_1" localSheetId="59">'x-407'!$B$17</definedName>
    <definedName name="TABLE_RELATED_1" localSheetId="60">'x-501'!$B$17</definedName>
    <definedName name="TABLE_RELATED_1" localSheetId="61">'x-502'!$B$17</definedName>
    <definedName name="TABLE_RELATED_1" localSheetId="62">'x-503'!$B$17</definedName>
    <definedName name="TABLE_RELATED_1" localSheetId="63">'x-504'!$B$17</definedName>
    <definedName name="TABLE_RELATED_1" localSheetId="64">'x-505'!$B$17</definedName>
    <definedName name="TABLE_RELATED_1" localSheetId="65">'x-506'!$B$17</definedName>
    <definedName name="TABLE_RELATED_1" localSheetId="66">'x-603'!$B$17</definedName>
    <definedName name="TABLE_RELATED_1" localSheetId="67">'x-604'!$B$17</definedName>
    <definedName name="TABLE_RELATED_1" localSheetId="68">'x-605'!$B$17</definedName>
    <definedName name="TABLE_RELATED_1" localSheetId="69">'x-606'!$B$17</definedName>
    <definedName name="TABLE_RELATED_1" localSheetId="70">'x-607'!$B$17</definedName>
    <definedName name="TABLE_RELATED_1" localSheetId="71">'x-608'!$B$17</definedName>
    <definedName name="TABLE_RELATED_1" localSheetId="72">'x-609'!$B$17</definedName>
    <definedName name="TABLE_RELATED_1" localSheetId="73">'x-610'!$B$17</definedName>
    <definedName name="TABLE_RELATED_1" localSheetId="74">'x-611'!$B$17</definedName>
    <definedName name="TABLE_RELATED_1" localSheetId="75">'x-612'!$B$17</definedName>
    <definedName name="TABLE_RELATED_1" localSheetId="76">'x-613'!$B$17</definedName>
    <definedName name="TABLE_RELATED_1" localSheetId="77">'x-614'!$B$17</definedName>
    <definedName name="TABLE_RELATED_1" localSheetId="78">'x-615'!$B$17</definedName>
    <definedName name="TABLE_RELATED_1" localSheetId="79">'x-616'!$B$17</definedName>
    <definedName name="TABLE_RELATED_1" localSheetId="80">'x-617'!$B$17</definedName>
    <definedName name="TABLE_RELATED_1" localSheetId="81">'x-618'!$B$17</definedName>
    <definedName name="TABLE_RELATED_1" localSheetId="82">'x-619'!$B$17</definedName>
    <definedName name="TABLE_RELATED_1" localSheetId="83">'x-620'!$B$17</definedName>
    <definedName name="TABLE_RELATED_1" localSheetId="84">'x-621'!$B$17</definedName>
    <definedName name="TABLE_RELATED_1" localSheetId="85">'x-622'!$B$17</definedName>
    <definedName name="TABLE_RELATED_1" localSheetId="86">'x-623'!$B$17</definedName>
    <definedName name="TABLE_RELATED_1" localSheetId="87">'x-624'!$B$17</definedName>
    <definedName name="TABLE_RELATED_1" localSheetId="88">'x-625'!$B$17</definedName>
    <definedName name="TABLE_RELATED_1" localSheetId="89">'x-626'!$B$17</definedName>
    <definedName name="TABLE_RELATED_1" localSheetId="90">'x-627'!$B$17</definedName>
    <definedName name="TABLE_RELATED_1" localSheetId="91">'x-701'!$B$17</definedName>
    <definedName name="TABLE_RELATED_1" localSheetId="92">'x-702'!$B$17</definedName>
    <definedName name="TABLE_RELATED_1" localSheetId="93">'x-802'!$B$17</definedName>
    <definedName name="TABLE_RELATED_2" localSheetId="91">'x-701'!$F$17</definedName>
    <definedName name="TABLE_RELATED_2" localSheetId="93">'x-802'!$G$17</definedName>
    <definedName name="TABLE_RELATED_3" localSheetId="93">'x-802'!$K$17</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1">'x-317'!$B$8</definedName>
    <definedName name="TABLE_SECTION_1" localSheetId="42">'x-318'!$B$8</definedName>
    <definedName name="TABLE_SECTION_1" localSheetId="43">'x-319'!$B$8</definedName>
    <definedName name="TABLE_SECTION_1" localSheetId="44">'x-320'!$B$8</definedName>
    <definedName name="TABLE_SECTION_1" localSheetId="45">'x-321'!$B$8</definedName>
    <definedName name="TABLE_SECTION_1" localSheetId="46">'x-322'!$B$8</definedName>
    <definedName name="TABLE_SECTION_1" localSheetId="47">'x-323'!$B$8</definedName>
    <definedName name="TABLE_SECTION_1" localSheetId="48">'x-324'!$B$8</definedName>
    <definedName name="TABLE_SECTION_1" localSheetId="49">'x-325'!$B$8</definedName>
    <definedName name="TABLE_SECTION_1" localSheetId="50">'x-326'!$B$8</definedName>
    <definedName name="TABLE_SECTION_1" localSheetId="51">'x-327'!$B$8</definedName>
    <definedName name="TABLE_SECTION_1" localSheetId="52">'x-328'!$B$8</definedName>
    <definedName name="TABLE_SECTION_1" localSheetId="53">'x-401'!$B$8</definedName>
    <definedName name="TABLE_SECTION_1" localSheetId="54">'x-402'!$B$8</definedName>
    <definedName name="TABLE_SECTION_1" localSheetId="55">'x-403'!$B$8</definedName>
    <definedName name="TABLE_SECTION_1" localSheetId="56">'x-404'!$B$8</definedName>
    <definedName name="TABLE_SECTION_1" localSheetId="57">'x-405'!$B$8</definedName>
    <definedName name="TABLE_SECTION_1" localSheetId="58">'x-406'!$B$8</definedName>
    <definedName name="TABLE_SECTION_1" localSheetId="59">'x-407'!$B$8</definedName>
    <definedName name="TABLE_SECTION_1" localSheetId="60">'x-501'!$B$8</definedName>
    <definedName name="TABLE_SECTION_1" localSheetId="61">'x-502'!$B$8</definedName>
    <definedName name="TABLE_SECTION_1" localSheetId="62">'x-503'!$B$8</definedName>
    <definedName name="TABLE_SECTION_1" localSheetId="63">'x-504'!$B$8</definedName>
    <definedName name="TABLE_SECTION_1" localSheetId="64">'x-505'!$B$8</definedName>
    <definedName name="TABLE_SECTION_1" localSheetId="65">'x-506'!$B$8</definedName>
    <definedName name="TABLE_SECTION_1" localSheetId="66">'x-603'!$B$8</definedName>
    <definedName name="TABLE_SECTION_1" localSheetId="67">'x-604'!$B$8</definedName>
    <definedName name="TABLE_SECTION_1" localSheetId="68">'x-605'!$B$8</definedName>
    <definedName name="TABLE_SECTION_1" localSheetId="69">'x-606'!$B$8</definedName>
    <definedName name="TABLE_SECTION_1" localSheetId="70">'x-607'!$B$8</definedName>
    <definedName name="TABLE_SECTION_1" localSheetId="71">'x-608'!$B$8</definedName>
    <definedName name="TABLE_SECTION_1" localSheetId="72">'x-609'!$B$8</definedName>
    <definedName name="TABLE_SECTION_1" localSheetId="73">'x-610'!$B$8</definedName>
    <definedName name="TABLE_SECTION_1" localSheetId="74">'x-611'!$B$8</definedName>
    <definedName name="TABLE_SECTION_1" localSheetId="75">'x-612'!$B$8</definedName>
    <definedName name="TABLE_SECTION_1" localSheetId="76">'x-613'!$B$8</definedName>
    <definedName name="TABLE_SECTION_1" localSheetId="77">'x-614'!$B$8</definedName>
    <definedName name="TABLE_SECTION_1" localSheetId="78">'x-615'!$B$8</definedName>
    <definedName name="TABLE_SECTION_1" localSheetId="79">'x-616'!$B$8</definedName>
    <definedName name="TABLE_SECTION_1" localSheetId="80">'x-617'!$B$8</definedName>
    <definedName name="TABLE_SECTION_1" localSheetId="81">'x-618'!$B$8</definedName>
    <definedName name="TABLE_SECTION_1" localSheetId="82">'x-619'!$B$8</definedName>
    <definedName name="TABLE_SECTION_1" localSheetId="83">'x-620'!$B$8</definedName>
    <definedName name="TABLE_SECTION_1" localSheetId="84">'x-621'!$B$8</definedName>
    <definedName name="TABLE_SECTION_1" localSheetId="85">'x-622'!$B$8</definedName>
    <definedName name="TABLE_SECTION_1" localSheetId="86">'x-623'!$B$8</definedName>
    <definedName name="TABLE_SECTION_1" localSheetId="87">'x-624'!$B$8</definedName>
    <definedName name="TABLE_SECTION_1" localSheetId="88">'x-625'!$B$8</definedName>
    <definedName name="TABLE_SECTION_1" localSheetId="89">'x-626'!$B$8</definedName>
    <definedName name="TABLE_SECTION_1" localSheetId="90">'x-627'!$B$8</definedName>
    <definedName name="TABLE_SECTION_1" localSheetId="91">'x-701'!$B$8</definedName>
    <definedName name="TABLE_SECTION_1" localSheetId="92">'x-702'!$B$8</definedName>
    <definedName name="TABLE_SECTION_1" localSheetId="93">'x-802'!$B$8</definedName>
    <definedName name="TABLE_SECTION_2" localSheetId="91">'x-701'!$F$8</definedName>
    <definedName name="TABLE_SECTION_2" localSheetId="93">'x-802'!$G$8</definedName>
    <definedName name="TABLE_SECTION_3" localSheetId="93">'x-802'!$K$8</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1">'x-317'!$B$13</definedName>
    <definedName name="TABLE_SECTION_NUMBER_1" localSheetId="42">'x-318'!$B$13</definedName>
    <definedName name="TABLE_SECTION_NUMBER_1" localSheetId="43">'x-319'!$B$13</definedName>
    <definedName name="TABLE_SECTION_NUMBER_1" localSheetId="44">'x-320'!$B$13</definedName>
    <definedName name="TABLE_SECTION_NUMBER_1" localSheetId="45">'x-321'!$B$13</definedName>
    <definedName name="TABLE_SECTION_NUMBER_1" localSheetId="46">'x-322'!$B$13</definedName>
    <definedName name="TABLE_SECTION_NUMBER_1" localSheetId="47">'x-323'!$B$13</definedName>
    <definedName name="TABLE_SECTION_NUMBER_1" localSheetId="48">'x-324'!$B$13</definedName>
    <definedName name="TABLE_SECTION_NUMBER_1" localSheetId="49">'x-325'!$B$13</definedName>
    <definedName name="TABLE_SECTION_NUMBER_1" localSheetId="50">'x-326'!$B$13</definedName>
    <definedName name="TABLE_SECTION_NUMBER_1" localSheetId="51">'x-327'!$B$13</definedName>
    <definedName name="TABLE_SECTION_NUMBER_1" localSheetId="52">'x-328'!$B$13</definedName>
    <definedName name="TABLE_SECTION_NUMBER_1" localSheetId="53">'x-401'!$B$13</definedName>
    <definedName name="TABLE_SECTION_NUMBER_1" localSheetId="54">'x-402'!$B$13</definedName>
    <definedName name="TABLE_SECTION_NUMBER_1" localSheetId="55">'x-403'!$B$13</definedName>
    <definedName name="TABLE_SECTION_NUMBER_1" localSheetId="56">'x-404'!$B$13</definedName>
    <definedName name="TABLE_SECTION_NUMBER_1" localSheetId="57">'x-405'!$B$13</definedName>
    <definedName name="TABLE_SECTION_NUMBER_1" localSheetId="58">'x-406'!$B$13</definedName>
    <definedName name="TABLE_SECTION_NUMBER_1" localSheetId="59">'x-407'!$B$13</definedName>
    <definedName name="TABLE_SECTION_NUMBER_1" localSheetId="60">'x-501'!$B$13</definedName>
    <definedName name="TABLE_SECTION_NUMBER_1" localSheetId="61">'x-502'!$B$13</definedName>
    <definedName name="TABLE_SECTION_NUMBER_1" localSheetId="62">'x-503'!$B$13</definedName>
    <definedName name="TABLE_SECTION_NUMBER_1" localSheetId="63">'x-504'!$B$13</definedName>
    <definedName name="TABLE_SECTION_NUMBER_1" localSheetId="64">'x-505'!$B$13</definedName>
    <definedName name="TABLE_SECTION_NUMBER_1" localSheetId="65">'x-506'!$B$13</definedName>
    <definedName name="TABLE_SECTION_NUMBER_1" localSheetId="66">'x-603'!$B$13</definedName>
    <definedName name="TABLE_SECTION_NUMBER_1" localSheetId="67">'x-604'!$B$13</definedName>
    <definedName name="TABLE_SECTION_NUMBER_1" localSheetId="68">'x-605'!$B$13</definedName>
    <definedName name="TABLE_SECTION_NUMBER_1" localSheetId="69">'x-606'!$B$13</definedName>
    <definedName name="TABLE_SECTION_NUMBER_1" localSheetId="70">'x-607'!$B$13</definedName>
    <definedName name="TABLE_SECTION_NUMBER_1" localSheetId="71">'x-608'!$B$13</definedName>
    <definedName name="TABLE_SECTION_NUMBER_1" localSheetId="72">'x-609'!$B$13</definedName>
    <definedName name="TABLE_SECTION_NUMBER_1" localSheetId="73">'x-610'!$B$13</definedName>
    <definedName name="TABLE_SECTION_NUMBER_1" localSheetId="74">'x-611'!$B$13</definedName>
    <definedName name="TABLE_SECTION_NUMBER_1" localSheetId="75">'x-612'!$B$13</definedName>
    <definedName name="TABLE_SECTION_NUMBER_1" localSheetId="76">'x-613'!$B$13</definedName>
    <definedName name="TABLE_SECTION_NUMBER_1" localSheetId="77">'x-614'!$B$13</definedName>
    <definedName name="TABLE_SECTION_NUMBER_1" localSheetId="78">'x-615'!$B$13</definedName>
    <definedName name="TABLE_SECTION_NUMBER_1" localSheetId="79">'x-616'!$B$13</definedName>
    <definedName name="TABLE_SECTION_NUMBER_1" localSheetId="80">'x-617'!$B$13</definedName>
    <definedName name="TABLE_SECTION_NUMBER_1" localSheetId="81">'x-618'!$B$13</definedName>
    <definedName name="TABLE_SECTION_NUMBER_1" localSheetId="82">'x-619'!$B$13</definedName>
    <definedName name="TABLE_SECTION_NUMBER_1" localSheetId="83">'x-620'!$B$13</definedName>
    <definedName name="TABLE_SECTION_NUMBER_1" localSheetId="84">'x-621'!$B$13</definedName>
    <definedName name="TABLE_SECTION_NUMBER_1" localSheetId="85">'x-622'!$B$13</definedName>
    <definedName name="TABLE_SECTION_NUMBER_1" localSheetId="86">'x-623'!$B$13</definedName>
    <definedName name="TABLE_SECTION_NUMBER_1" localSheetId="87">'x-624'!$B$13</definedName>
    <definedName name="TABLE_SECTION_NUMBER_1" localSheetId="88">'x-625'!$B$13</definedName>
    <definedName name="TABLE_SECTION_NUMBER_1" localSheetId="89">'x-626'!$B$13</definedName>
    <definedName name="TABLE_SECTION_NUMBER_1" localSheetId="90">'x-627'!$B$13</definedName>
    <definedName name="TABLE_SECTION_NUMBER_1" localSheetId="91">'x-701'!$B$13</definedName>
    <definedName name="TABLE_SECTION_NUMBER_1" localSheetId="92">'x-702'!$B$13</definedName>
    <definedName name="TABLE_SECTION_NUMBER_1" localSheetId="93">'x-802'!$B$13</definedName>
    <definedName name="TABLE_SECTION_NUMBER_2" localSheetId="91">'x-701'!$F$13</definedName>
    <definedName name="TABLE_SECTION_NUMBER_2" localSheetId="93">'x-802'!$G$13</definedName>
    <definedName name="TABLE_SECTION_NUMBER_3" localSheetId="93">'x-802'!$K$13</definedName>
    <definedName name="TABLE_SERIES_NUMBER" localSheetId="7">'[4]x-Series Number'!$B$14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1">'x-317'!$B$14</definedName>
    <definedName name="TABLE_SERIES_NUMBER_1" localSheetId="42">'x-318'!$B$14</definedName>
    <definedName name="TABLE_SERIES_NUMBER_1" localSheetId="43">'x-319'!$B$14</definedName>
    <definedName name="TABLE_SERIES_NUMBER_1" localSheetId="44">'x-320'!$B$14</definedName>
    <definedName name="TABLE_SERIES_NUMBER_1" localSheetId="45">'x-321'!$B$14</definedName>
    <definedName name="TABLE_SERIES_NUMBER_1" localSheetId="46">'x-322'!$B$14</definedName>
    <definedName name="TABLE_SERIES_NUMBER_1" localSheetId="47">'x-323'!$B$14</definedName>
    <definedName name="TABLE_SERIES_NUMBER_1" localSheetId="48">'x-324'!$B$14</definedName>
    <definedName name="TABLE_SERIES_NUMBER_1" localSheetId="49">'x-325'!$B$14</definedName>
    <definedName name="TABLE_SERIES_NUMBER_1" localSheetId="50">'x-326'!$B$14</definedName>
    <definedName name="TABLE_SERIES_NUMBER_1" localSheetId="51">'x-327'!$B$14</definedName>
    <definedName name="TABLE_SERIES_NUMBER_1" localSheetId="52">'x-328'!$B$14</definedName>
    <definedName name="TABLE_SERIES_NUMBER_1" localSheetId="53">'x-401'!$B$14</definedName>
    <definedName name="TABLE_SERIES_NUMBER_1" localSheetId="54">'x-402'!$B$14</definedName>
    <definedName name="TABLE_SERIES_NUMBER_1" localSheetId="55">'x-403'!$B$14</definedName>
    <definedName name="TABLE_SERIES_NUMBER_1" localSheetId="56">'x-404'!$B$14</definedName>
    <definedName name="TABLE_SERIES_NUMBER_1" localSheetId="57">'x-405'!$B$14</definedName>
    <definedName name="TABLE_SERIES_NUMBER_1" localSheetId="58">'x-406'!$B$14</definedName>
    <definedName name="TABLE_SERIES_NUMBER_1" localSheetId="59">'x-407'!$B$14</definedName>
    <definedName name="TABLE_SERIES_NUMBER_1" localSheetId="60">'x-501'!$B$14</definedName>
    <definedName name="TABLE_SERIES_NUMBER_1" localSheetId="61">'x-502'!$B$14</definedName>
    <definedName name="TABLE_SERIES_NUMBER_1" localSheetId="62">'x-503'!$B$14</definedName>
    <definedName name="TABLE_SERIES_NUMBER_1" localSheetId="63">'x-504'!$B$14</definedName>
    <definedName name="TABLE_SERIES_NUMBER_1" localSheetId="64">'x-505'!$B$14</definedName>
    <definedName name="TABLE_SERIES_NUMBER_1" localSheetId="65">'x-506'!$B$14</definedName>
    <definedName name="TABLE_SERIES_NUMBER_1" localSheetId="66">'x-603'!$B$14</definedName>
    <definedName name="TABLE_SERIES_NUMBER_1" localSheetId="67">'x-604'!$B$14</definedName>
    <definedName name="TABLE_SERIES_NUMBER_1" localSheetId="68">'x-605'!$B$14</definedName>
    <definedName name="TABLE_SERIES_NUMBER_1" localSheetId="69">'x-606'!$B$14</definedName>
    <definedName name="TABLE_SERIES_NUMBER_1" localSheetId="70">'x-607'!$B$14</definedName>
    <definedName name="TABLE_SERIES_NUMBER_1" localSheetId="71">'x-608'!$B$14</definedName>
    <definedName name="TABLE_SERIES_NUMBER_1" localSheetId="72">'x-609'!$B$14</definedName>
    <definedName name="TABLE_SERIES_NUMBER_1" localSheetId="73">'x-610'!$B$14</definedName>
    <definedName name="TABLE_SERIES_NUMBER_1" localSheetId="74">'x-611'!$B$14</definedName>
    <definedName name="TABLE_SERIES_NUMBER_1" localSheetId="75">'x-612'!$B$14</definedName>
    <definedName name="TABLE_SERIES_NUMBER_1" localSheetId="76">'x-613'!$B$14</definedName>
    <definedName name="TABLE_SERIES_NUMBER_1" localSheetId="77">'x-614'!$B$14</definedName>
    <definedName name="TABLE_SERIES_NUMBER_1" localSheetId="78">'x-615'!$B$14</definedName>
    <definedName name="TABLE_SERIES_NUMBER_1" localSheetId="79">'x-616'!$B$14</definedName>
    <definedName name="TABLE_SERIES_NUMBER_1" localSheetId="80">'x-617'!$B$14</definedName>
    <definedName name="TABLE_SERIES_NUMBER_1" localSheetId="81">'x-618'!$B$14</definedName>
    <definedName name="TABLE_SERIES_NUMBER_1" localSheetId="82">'x-619'!$B$14</definedName>
    <definedName name="TABLE_SERIES_NUMBER_1" localSheetId="83">'x-620'!$B$14</definedName>
    <definedName name="TABLE_SERIES_NUMBER_1" localSheetId="84">'x-621'!$B$14</definedName>
    <definedName name="TABLE_SERIES_NUMBER_1" localSheetId="85">'x-622'!$B$14</definedName>
    <definedName name="TABLE_SERIES_NUMBER_1" localSheetId="86">'x-623'!$B$14</definedName>
    <definedName name="TABLE_SERIES_NUMBER_1" localSheetId="87">'x-624'!$B$14</definedName>
    <definedName name="TABLE_SERIES_NUMBER_1" localSheetId="88">'x-625'!$B$14</definedName>
    <definedName name="TABLE_SERIES_NUMBER_1" localSheetId="89">'x-626'!$B$14</definedName>
    <definedName name="TABLE_SERIES_NUMBER_1" localSheetId="90">'x-627'!$B$14</definedName>
    <definedName name="TABLE_SERIES_NUMBER_1" localSheetId="91">'x-701'!$B$14</definedName>
    <definedName name="TABLE_SERIES_NUMBER_1" localSheetId="92">'x-702'!$B$14</definedName>
    <definedName name="TABLE_SERIES_NUMBER_1" localSheetId="93">'x-802'!$B$14</definedName>
    <definedName name="TABLE_SERIES_NUMBER_2" localSheetId="91">'x-701'!$F$14</definedName>
    <definedName name="TABLE_SERIES_NUMBER_2" localSheetId="93">'x-802'!$G$14</definedName>
    <definedName name="TABLE_SERIES_NUMBER_3" localSheetId="93">'x-802'!$K$14</definedName>
    <definedName name="title" localSheetId="7">[4]Cover!$A$2</definedName>
    <definedName name="title" localSheetId="64">[5]Cover!$A$2</definedName>
    <definedName name="title" localSheetId="65">[5]Cover!$A$2</definedName>
    <definedName name="title" localSheetId="93">[1]Cover!$A$2</definedName>
    <definedName name="title">Cover!$A$2</definedName>
    <definedName name="title_new" localSheetId="65">[6]Cover!$A$2</definedName>
    <definedName name="title_new">Cover!$A$2</definedName>
    <definedName name="tn">[6]Cover!$A$2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5" l="1"/>
  <c r="A3" i="106"/>
  <c r="A3" i="107"/>
  <c r="A3" i="108"/>
  <c r="A3" i="109"/>
  <c r="A3" i="110"/>
  <c r="A3" i="111"/>
  <c r="A3" i="112"/>
  <c r="A3" i="113"/>
  <c r="A3" i="114"/>
  <c r="A3" i="115"/>
  <c r="A3" i="116"/>
  <c r="A3" i="117"/>
  <c r="A3" i="118"/>
  <c r="A3" i="132"/>
  <c r="A3" i="133"/>
  <c r="A3" i="119"/>
  <c r="A3" i="120"/>
  <c r="A3" i="121"/>
  <c r="A3" i="122"/>
  <c r="A3" i="123"/>
  <c r="A3" i="124"/>
  <c r="A3" i="125"/>
  <c r="A3" i="126"/>
  <c r="A3" i="127"/>
  <c r="A3" i="128"/>
  <c r="A3" i="129"/>
  <c r="A3" i="130"/>
  <c r="A3" i="134"/>
  <c r="A3" i="135"/>
  <c r="A3" i="136"/>
  <c r="A3" i="137"/>
  <c r="A3" i="138"/>
  <c r="A3" i="139"/>
  <c r="A3" i="140"/>
  <c r="A3" i="141"/>
  <c r="A3" i="142"/>
  <c r="A3" i="143"/>
  <c r="A3" i="144"/>
  <c r="A3" i="145"/>
  <c r="A3" i="146"/>
  <c r="A3" i="147"/>
  <c r="A3" i="148"/>
  <c r="A3" i="149"/>
  <c r="A3" i="150"/>
  <c r="A3" i="151"/>
  <c r="A3" i="152"/>
  <c r="A3" i="153"/>
  <c r="A3" i="154"/>
  <c r="A3" i="155"/>
  <c r="A3" i="156"/>
  <c r="A3" i="157"/>
  <c r="A3" i="158"/>
  <c r="A3" i="159"/>
  <c r="A3" i="160"/>
  <c r="A3" i="191"/>
  <c r="A3" i="195"/>
  <c r="A3" i="161"/>
  <c r="A3" i="162"/>
  <c r="A3" i="163"/>
  <c r="A3" i="164"/>
  <c r="A3" i="165"/>
  <c r="A3" i="166"/>
  <c r="A3" i="167"/>
  <c r="A3" i="168"/>
  <c r="A3" i="169"/>
  <c r="A3" i="170"/>
  <c r="A3" i="171"/>
  <c r="A3" i="172"/>
  <c r="A3" i="173"/>
  <c r="A3" i="174"/>
  <c r="A3" i="175"/>
  <c r="A3" i="176"/>
  <c r="A3" i="177"/>
  <c r="A3" i="178"/>
  <c r="A3" i="179"/>
  <c r="A3" i="180"/>
  <c r="A3" i="181"/>
  <c r="A3" i="182"/>
  <c r="A3" i="183"/>
  <c r="A3" i="184"/>
  <c r="A3" i="185"/>
  <c r="A3" i="186"/>
  <c r="A3" i="187"/>
  <c r="A3" i="194"/>
  <c r="A3" i="104"/>
  <c r="A96" i="55" l="1"/>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B23" i="195"/>
  <c r="A2" i="194"/>
  <c r="K23" i="194"/>
  <c r="G23" i="194"/>
  <c r="B23" i="194"/>
  <c r="B24" i="186"/>
  <c r="B23" i="186"/>
  <c r="A2" i="192"/>
  <c r="B24" i="105" l="1"/>
  <c r="B24" i="106"/>
  <c r="B24" i="107"/>
  <c r="B24" i="108"/>
  <c r="B24" i="109"/>
  <c r="B24" i="110"/>
  <c r="B24" i="111"/>
  <c r="B24" i="112"/>
  <c r="B24" i="113"/>
  <c r="B24" i="114"/>
  <c r="B24" i="115"/>
  <c r="B24" i="116"/>
  <c r="B24" i="117"/>
  <c r="B24" i="118"/>
  <c r="B24" i="132"/>
  <c r="B24" i="133"/>
  <c r="B24" i="119"/>
  <c r="B24" i="120"/>
  <c r="B24" i="121"/>
  <c r="B24" i="122"/>
  <c r="B24" i="123"/>
  <c r="B24" i="124"/>
  <c r="B24" i="125"/>
  <c r="B24" i="126"/>
  <c r="B24" i="127"/>
  <c r="B24" i="128"/>
  <c r="B24" i="129"/>
  <c r="B24" i="130"/>
  <c r="B24" i="134"/>
  <c r="B24" i="135"/>
  <c r="B24" i="136"/>
  <c r="B24" i="137"/>
  <c r="B24" i="138"/>
  <c r="B24" i="139"/>
  <c r="B24" i="140"/>
  <c r="B24" i="141"/>
  <c r="B24" i="142"/>
  <c r="B24" i="143"/>
  <c r="B24" i="144"/>
  <c r="B24" i="145"/>
  <c r="B24" i="146"/>
  <c r="B24" i="147"/>
  <c r="B24" i="148"/>
  <c r="B24" i="149"/>
  <c r="B24" i="150"/>
  <c r="B24" i="151"/>
  <c r="B24" i="152"/>
  <c r="B24" i="153"/>
  <c r="B24" i="154"/>
  <c r="B24" i="155"/>
  <c r="B24" i="156"/>
  <c r="B24" i="157"/>
  <c r="B24" i="158"/>
  <c r="B24" i="159"/>
  <c r="B24" i="160"/>
  <c r="B24" i="191"/>
  <c r="B24" i="161"/>
  <c r="B24" i="162"/>
  <c r="B24" i="163"/>
  <c r="B24" i="164"/>
  <c r="B24" i="165"/>
  <c r="B24" i="166"/>
  <c r="B24" i="167"/>
  <c r="B24" i="168"/>
  <c r="B24" i="169"/>
  <c r="B24" i="170"/>
  <c r="B24" i="171"/>
  <c r="B24" i="172"/>
  <c r="B24" i="173"/>
  <c r="B24" i="174"/>
  <c r="B24" i="175"/>
  <c r="B24" i="176"/>
  <c r="B24" i="177"/>
  <c r="B24" i="178"/>
  <c r="B24" i="179"/>
  <c r="B24" i="180"/>
  <c r="B24" i="181"/>
  <c r="B24" i="182"/>
  <c r="B24" i="183"/>
  <c r="B24" i="184"/>
  <c r="B24" i="185"/>
  <c r="B24" i="187"/>
  <c r="B24" i="104"/>
  <c r="B23" i="187" l="1"/>
  <c r="B23" i="185"/>
  <c r="B23" i="184"/>
  <c r="B23" i="183"/>
  <c r="B23" i="182"/>
  <c r="B23" i="181"/>
  <c r="B23" i="180"/>
  <c r="B23" i="179"/>
  <c r="B23" i="178"/>
  <c r="B23" i="177"/>
  <c r="B23" i="176"/>
  <c r="B23" i="175"/>
  <c r="B23" i="174"/>
  <c r="B23" i="173"/>
  <c r="B23" i="172"/>
  <c r="B23" i="171"/>
  <c r="B23" i="170"/>
  <c r="B23" i="169"/>
  <c r="B23" i="168"/>
  <c r="B23" i="167"/>
  <c r="B23" i="166"/>
  <c r="B23" i="165"/>
  <c r="B23" i="164"/>
  <c r="B23" i="163"/>
  <c r="B23" i="162"/>
  <c r="B23" i="161"/>
  <c r="B23" i="191"/>
  <c r="B23" i="160"/>
  <c r="B23" i="159"/>
  <c r="B23" i="158"/>
  <c r="B23" i="157"/>
  <c r="B23" i="156"/>
  <c r="B23" i="155"/>
  <c r="B23" i="154"/>
  <c r="B23" i="153"/>
  <c r="B23" i="152"/>
  <c r="B23" i="151"/>
  <c r="B23" i="150"/>
  <c r="B23" i="149"/>
  <c r="B23" i="148"/>
  <c r="B23" i="147"/>
  <c r="B23" i="146"/>
  <c r="B23" i="145"/>
  <c r="B23" i="144"/>
  <c r="B23" i="143"/>
  <c r="B23" i="142"/>
  <c r="B23" i="141"/>
  <c r="B23" i="140"/>
  <c r="B23" i="139"/>
  <c r="B23" i="138"/>
  <c r="B23" i="137"/>
  <c r="B23" i="136"/>
  <c r="B23" i="135"/>
  <c r="B23" i="134"/>
  <c r="B23" i="130"/>
  <c r="B23" i="129"/>
  <c r="B23" i="128"/>
  <c r="B23" i="127"/>
  <c r="B23" i="126"/>
  <c r="B23" i="125"/>
  <c r="B23" i="124"/>
  <c r="B23" i="123"/>
  <c r="B23" i="122"/>
  <c r="B23" i="121"/>
  <c r="B23" i="120"/>
  <c r="B23" i="119"/>
  <c r="B23" i="133"/>
  <c r="B23" i="132"/>
  <c r="B23" i="118"/>
  <c r="B23" i="117"/>
  <c r="B23" i="116"/>
  <c r="B23" i="115"/>
  <c r="B23" i="114"/>
  <c r="B23" i="113"/>
  <c r="B23" i="112"/>
  <c r="B23" i="111"/>
  <c r="B23" i="110"/>
  <c r="B23" i="109"/>
  <c r="B23" i="108"/>
  <c r="B23" i="107"/>
  <c r="B23" i="106"/>
  <c r="B23" i="105"/>
  <c r="B23" i="104"/>
  <c r="B22" i="102"/>
  <c r="A2" i="191" l="1"/>
  <c r="A2" i="187" l="1"/>
  <c r="A2" i="186"/>
  <c r="A2" i="185" l="1"/>
  <c r="A2" i="184"/>
  <c r="A2" i="183"/>
  <c r="A2" i="182"/>
  <c r="A2" i="181"/>
  <c r="A2" i="180"/>
  <c r="A2" i="179"/>
  <c r="A2" i="178"/>
  <c r="A2" i="177"/>
  <c r="A2" i="176"/>
  <c r="A2" i="175"/>
  <c r="A2" i="174"/>
  <c r="A2" i="173"/>
  <c r="A2" i="172"/>
  <c r="A2" i="171"/>
  <c r="A2" i="170"/>
  <c r="A2" i="169"/>
  <c r="A2" i="168"/>
  <c r="A2" i="167"/>
  <c r="A2" i="166"/>
  <c r="A2" i="165"/>
  <c r="A2" i="164"/>
  <c r="A2" i="163"/>
  <c r="A2" i="162"/>
  <c r="A2" i="161"/>
  <c r="A2" i="160" l="1"/>
  <c r="A2" i="159"/>
  <c r="A2" i="158"/>
  <c r="A2" i="157"/>
  <c r="A2" i="156" l="1"/>
  <c r="A2" i="155"/>
  <c r="A2" i="154"/>
  <c r="A2" i="153"/>
  <c r="A2" i="152"/>
  <c r="A2" i="151"/>
  <c r="A2" i="150"/>
  <c r="A2" i="149" l="1"/>
  <c r="A2" i="148"/>
  <c r="A2" i="147"/>
  <c r="A2" i="146"/>
  <c r="A2" i="145"/>
  <c r="A2" i="144"/>
  <c r="A2" i="143"/>
  <c r="A2" i="142"/>
  <c r="A2" i="141"/>
  <c r="A2" i="140"/>
  <c r="A2" i="139"/>
  <c r="A2" i="138"/>
  <c r="A2" i="137"/>
  <c r="A2" i="136"/>
  <c r="A2" i="135"/>
  <c r="A2" i="134"/>
  <c r="A2" i="133" l="1"/>
  <c r="A2" i="132"/>
  <c r="A2" i="130" l="1"/>
  <c r="A2" i="129"/>
  <c r="A2" i="128"/>
  <c r="A2" i="127"/>
  <c r="A2" i="126"/>
  <c r="A2" i="125"/>
  <c r="A2" i="124"/>
  <c r="A2" i="123"/>
  <c r="A2" i="122"/>
  <c r="A2" i="121"/>
  <c r="A2" i="120"/>
  <c r="A2" i="119"/>
  <c r="A2" i="118"/>
  <c r="A2" i="117"/>
  <c r="A2" i="116"/>
  <c r="A2" i="115"/>
  <c r="A2" i="114"/>
  <c r="A2" i="113"/>
  <c r="A2" i="112"/>
  <c r="A2" i="111"/>
  <c r="A2" i="110"/>
  <c r="A2" i="109"/>
  <c r="A2" i="108"/>
  <c r="A2" i="107"/>
  <c r="A2" i="106"/>
  <c r="A2" i="105"/>
  <c r="A2" i="104"/>
  <c r="A3" i="102" l="1"/>
  <c r="A4" i="102" l="1"/>
  <c r="A2" i="102"/>
  <c r="A4" i="93" l="1"/>
  <c r="A2" i="93"/>
  <c r="A2" i="78"/>
  <c r="A4" i="77"/>
  <c r="A2" i="77"/>
  <c r="A2" i="55" l="1"/>
  <c r="A4" i="1" l="1"/>
</calcChain>
</file>

<file path=xl/sharedStrings.xml><?xml version="1.0" encoding="utf-8"?>
<sst xmlns="http://schemas.openxmlformats.org/spreadsheetml/2006/main" count="4104" uniqueCount="702">
  <si>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</si>
  <si>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</si>
  <si>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</si>
  <si>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</si>
  <si>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</si>
  <si>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</si>
  <si>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</si>
  <si>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</si>
  <si>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</si>
  <si>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</si>
  <si>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</si>
  <si>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</si>
  <si>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</si>
  <si>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</si>
  <si>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</si>
  <si>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</si>
  <si>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</si>
  <si>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</si>
  <si>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</si>
  <si>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</si>
  <si>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</si>
  <si>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</si>
  <si>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</si>
  <si>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</si>
  <si>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</si>
  <si>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</si>
  <si>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</si>
  <si>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</si>
  <si>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</si>
  <si>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</si>
  <si>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</si>
  <si>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</si>
  <si>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</si>
  <si>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</si>
  <si>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</si>
  <si>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</si>
  <si>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</si>
  <si>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</si>
  <si>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</si>
  <si>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</si>
  <si>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</si>
  <si>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</si>
  <si>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</si>
  <si>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</si>
  <si>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</si>
  <si>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</si>
  <si>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</si>
  <si>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</si>
  <si>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</si>
  <si>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</si>
  <si>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</si>
  <si>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</si>
  <si>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</si>
  <si>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</si>
  <si>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</si>
  <si>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</si>
  <si>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</si>
  <si>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</si>
  <si>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</si>
  <si>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</si>
  <si>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</si>
  <si>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</si>
  <si>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</si>
  <si>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</si>
  <si>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</si>
  <si>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</si>
  <si>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</si>
  <si>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</si>
  <si>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</si>
  <si>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</si>
  <si>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</si>
  <si>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</si>
  <si>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</si>
  <si>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</si>
  <si>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</si>
  <si>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</si>
  <si>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</si>
  <si>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</si>
  <si>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</si>
  <si>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</si>
  <si>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</si>
  <si>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</si>
  <si>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</si>
  <si>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</si>
  <si>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</si>
  <si>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</si>
  <si>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</si>
  <si>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</si>
  <si>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</si>
  <si>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</si>
  <si>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</si>
  <si>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</si>
  <si>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</si>
  <si>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</si>
  <si>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</si>
  <si>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</si>
  <si>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</si>
  <si>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</si>
  <si>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</si>
  <si>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</si>
  <si>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</si>
  <si>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</si>
  <si>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</si>
  <si>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</si>
  <si>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</si>
  <si>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</si>
  <si>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</si>
  <si>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</si>
  <si>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</si>
  <si>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</si>
  <si>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</si>
  <si>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</si>
  <si>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</si>
  <si>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</si>
  <si>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</si>
  <si>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</si>
  <si>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</si>
  <si>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</si>
  <si>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</si>
  <si>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</si>
  <si>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</si>
  <si>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</si>
  <si>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</si>
  <si>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</si>
  <si>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</si>
  <si>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</si>
  <si>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</si>
  <si>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</si>
  <si>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</si>
  <si>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</si>
  <si>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</si>
  <si>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</si>
  <si>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</si>
  <si>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</si>
  <si>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</si>
  <si>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</si>
  <si>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</si>
  <si>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</si>
  <si>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</si>
  <si>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</si>
  <si>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</si>
  <si>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</si>
  <si>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</si>
  <si>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</si>
  <si>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</si>
  <si>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</si>
  <si>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</si>
  <si>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</si>
  <si>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</si>
  <si>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</si>
  <si>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</si>
  <si>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</si>
  <si>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</si>
  <si>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</si>
  <si>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</si>
  <si>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</si>
  <si>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</si>
  <si>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</si>
  <si>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</si>
  <si>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</si>
  <si>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</si>
  <si>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</si>
  <si>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</si>
  <si>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</si>
  <si>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</si>
  <si>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</si>
  <si>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</si>
  <si>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</si>
  <si>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</si>
  <si>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</si>
  <si>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</si>
  <si>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</si>
  <si>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</si>
  <si>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</si>
  <si>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</si>
  <si>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</si>
  <si>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</si>
  <si>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</si>
  <si>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</si>
  <si>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</si>
  <si>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</si>
  <si>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</si>
  <si>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</si>
  <si>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</si>
  <si>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</si>
  <si>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</si>
  <si>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</si>
  <si>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</si>
  <si>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</si>
  <si>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</si>
  <si>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</si>
  <si>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</si>
  <si>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</si>
  <si>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</si>
  <si>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</si>
  <si>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</si>
  <si>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</si>
  <si>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</si>
  <si>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</si>
  <si>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</si>
  <si>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</si>
  <si>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</si>
  <si>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</si>
  <si>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</si>
  <si>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</si>
  <si>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</si>
  <si>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</si>
  <si>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</si>
  <si>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</si>
  <si>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</si>
  <si>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</si>
  <si>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</si>
  <si>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</si>
  <si>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</si>
  <si>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</si>
  <si>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</si>
  <si>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</si>
  <si>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</si>
  <si>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</si>
  <si>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</si>
  <si>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</si>
  <si>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</si>
  <si>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</si>
  <si>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</si>
  <si>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</si>
  <si>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</si>
  <si>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</si>
  <si>
    <t>Government Actuary's Department</t>
  </si>
  <si>
    <t>Fire Wales - Consolidated Factor Spreadsheet</t>
  </si>
  <si>
    <t>Cover</t>
  </si>
  <si>
    <t>Specification</t>
  </si>
  <si>
    <t>This spreadsheet contains updated factors for the Firefighters' Pension Schemes in Wales.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</si>
  <si>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</si>
  <si>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</si>
  <si>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</si>
  <si>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</si>
  <si>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</si>
  <si>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</si>
  <si>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</si>
  <si>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This sheet lists the suite of factors set out in this spreadsheet.</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</si>
  <si>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</si>
  <si>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</si>
  <si>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</si>
  <si>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</si>
  <si>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</si>
  <si>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</si>
  <si>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</si>
  <si>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</si>
  <si>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</si>
  <si>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</si>
  <si>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</si>
  <si>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</si>
  <si>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</si>
  <si>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</si>
  <si>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</si>
  <si>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</si>
  <si>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</si>
  <si>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</si>
  <si>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</si>
  <si>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Wales Consolidated Factor Spreadsheet</t>
  </si>
  <si>
    <t xml:space="preserve">This spreadsheet is provided by GAD at the request of the Welsh Government.  Its purpose is to set out in one place for convenience the actuarial factors provided by GAD to the Department from time to time in respect of Firefighters' Pension Schemes (Wales)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Welsh Government).   
GAD has no liability for any changes made to this spreadsheet whilst being used by Welsh Government or any other third party.
This spreadsheet should not be made available online without the express permission of GAD. 
This spreadsheet is password protected. 
</t>
  </si>
  <si>
    <t>Version Control</t>
  </si>
  <si>
    <t>Version control</t>
  </si>
  <si>
    <t xml:space="preserve">This sheet is intended to assist Welsh Government in understanding which factors have changed and when. </t>
  </si>
  <si>
    <t>Version control on this sheet commences with the 2017/18 factor review (version 2018-1)</t>
  </si>
  <si>
    <t>Version 2018 - 1</t>
  </si>
  <si>
    <t>Provides the following new factor tables:</t>
  </si>
  <si>
    <t>Provides the following revised factors:</t>
  </si>
  <si>
    <t>Confirms that the following factor table is no longer required by Welsh Government:</t>
  </si>
  <si>
    <t>Factors still to follow:</t>
  </si>
  <si>
    <t>Methodology changes:</t>
  </si>
  <si>
    <t>Date modified:</t>
  </si>
  <si>
    <t>Version 2023-01</t>
  </si>
  <si>
    <t>Provides the following updated factor tables:</t>
  </si>
  <si>
    <t>x-201 to x-215, x-301 to x-328</t>
  </si>
  <si>
    <t>Date Modified:</t>
  </si>
  <si>
    <t>Version 2023-02</t>
  </si>
  <si>
    <t xml:space="preserve">x-220 to x-221
x-401 to x-407 </t>
  </si>
  <si>
    <t>Withdrawn factor tables:</t>
  </si>
  <si>
    <t>x-216 to x-219 removed (final salary transfer in factors)</t>
  </si>
  <si>
    <t>Version 2023-03</t>
  </si>
  <si>
    <t>x-501 to x-504
x-603 to x-627</t>
  </si>
  <si>
    <t>Version 2023-04</t>
  </si>
  <si>
    <t>x-701 to x-702</t>
  </si>
  <si>
    <t>x-703 to x-704 (Purchase of Increased Benefits - 2006 section), x-801 (CPD factors) - these factors were withdrawn with effect from 28/09/23</t>
  </si>
  <si>
    <t>Version 2025-01</t>
  </si>
  <si>
    <t>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</si>
  <si>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</si>
  <si>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</si>
  <si>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</si>
  <si>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</si>
  <si>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</si>
  <si>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</si>
  <si>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</si>
  <si>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</si>
  <si>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</si>
  <si>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</si>
  <si>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</si>
  <si>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</si>
  <si>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</si>
  <si>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</si>
  <si>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</si>
  <si>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</si>
  <si>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</si>
  <si>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</si>
  <si>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</si>
  <si>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</si>
  <si>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</si>
  <si>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</si>
  <si>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</si>
  <si>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</si>
  <si>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</si>
  <si>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</si>
  <si>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</si>
  <si>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</si>
  <si>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</si>
  <si>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</si>
  <si>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</si>
  <si>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</si>
  <si>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Fire_W</t>
  </si>
  <si>
    <t>CETV</t>
  </si>
  <si>
    <t>Transfer value factors for deferred benefits payable from 60</t>
  </si>
  <si>
    <t>Male</t>
  </si>
  <si>
    <t>Age last birthday at relevant date</t>
  </si>
  <si>
    <t>x-201</t>
  </si>
  <si>
    <t>Table A1</t>
  </si>
  <si>
    <t>Issued</t>
  </si>
  <si>
    <t>2023 factor review set</t>
  </si>
  <si>
    <t>Female</t>
  </si>
  <si>
    <t>x-202</t>
  </si>
  <si>
    <t>Table A2</t>
  </si>
  <si>
    <t>Transfer value factors for deferred benefits payable from 65</t>
  </si>
  <si>
    <t>x-203</t>
  </si>
  <si>
    <t>Transfer value factors for deferred benefits payable from 65  (Females age below 60)</t>
  </si>
  <si>
    <t>x-204</t>
  </si>
  <si>
    <t>Transfer value factors for deferred benefits payable from 65 (Females age 60 and above)</t>
  </si>
  <si>
    <t>x-205</t>
  </si>
  <si>
    <t>Table A3</t>
  </si>
  <si>
    <t>x-206</t>
  </si>
  <si>
    <t>Table B1</t>
  </si>
  <si>
    <t>x-207</t>
  </si>
  <si>
    <t>Table B2</t>
  </si>
  <si>
    <t>CETV factors for deferred benefits payable from 65</t>
  </si>
  <si>
    <t>x-208</t>
  </si>
  <si>
    <t>Table 3</t>
  </si>
  <si>
    <t>x-209</t>
  </si>
  <si>
    <t>Table 4</t>
  </si>
  <si>
    <t>CETV factors for deferred benefits payable from 66</t>
  </si>
  <si>
    <t>x-210</t>
  </si>
  <si>
    <t>Table 5</t>
  </si>
  <si>
    <t>x-211</t>
  </si>
  <si>
    <t>Table 6</t>
  </si>
  <si>
    <t>CETV factors for deferred benefits payable from 67</t>
  </si>
  <si>
    <t>x-212</t>
  </si>
  <si>
    <t>Table 7</t>
  </si>
  <si>
    <t>x-213</t>
  </si>
  <si>
    <t>Table 8</t>
  </si>
  <si>
    <t>CETV factors for deferred benefits payable from 68</t>
  </si>
  <si>
    <t>x-214</t>
  </si>
  <si>
    <t>Table 9</t>
  </si>
  <si>
    <t>x-215</t>
  </si>
  <si>
    <t>Table 10</t>
  </si>
  <si>
    <t>TV In (non-club)</t>
  </si>
  <si>
    <t>Factors for non-club transfers - in based on NPA60</t>
  </si>
  <si>
    <t>x-220</t>
  </si>
  <si>
    <t>Table NM60</t>
  </si>
  <si>
    <t>x-221</t>
  </si>
  <si>
    <t>Table NF60</t>
  </si>
  <si>
    <t>Pensioner Cash Equivalent</t>
  </si>
  <si>
    <t>Pensioner cash equivalent factors for divorce purposes - retirement not on grounds of ill health</t>
  </si>
  <si>
    <t>x-301</t>
  </si>
  <si>
    <t>Table F1</t>
  </si>
  <si>
    <t>x-302</t>
  </si>
  <si>
    <t>Table F2</t>
  </si>
  <si>
    <t>Pensioner cash equivalent factors for divorce purposes - retirement on grounds of ill health</t>
  </si>
  <si>
    <t>x-303</t>
  </si>
  <si>
    <t>Table G1</t>
  </si>
  <si>
    <t>x-304</t>
  </si>
  <si>
    <t>Table G2</t>
  </si>
  <si>
    <t>x-305</t>
  </si>
  <si>
    <t>x-306</t>
  </si>
  <si>
    <t>x-307</t>
  </si>
  <si>
    <t>x-308</t>
  </si>
  <si>
    <t>x-309</t>
  </si>
  <si>
    <t>x-310</t>
  </si>
  <si>
    <t>x-311</t>
  </si>
  <si>
    <t>x-312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</si>
  <si>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</si>
  <si>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</si>
  <si>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</si>
  <si>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</si>
  <si>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</si>
  <si>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</si>
  <si>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</si>
  <si>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</si>
  <si>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</si>
  <si>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</si>
  <si>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</si>
  <si>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</si>
  <si>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</si>
  <si>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</si>
  <si>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</si>
  <si>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</si>
  <si>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</si>
  <si>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</si>
  <si>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</si>
  <si>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</si>
  <si>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</si>
  <si>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</si>
  <si>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</si>
  <si>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</si>
  <si>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</si>
  <si>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</si>
  <si>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</si>
  <si>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</si>
  <si>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</si>
  <si>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</si>
  <si>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</si>
  <si>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</si>
  <si>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</si>
  <si>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</si>
  <si>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</si>
  <si>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</si>
  <si>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</si>
  <si>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</si>
  <si>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</si>
  <si>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</si>
  <si>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</si>
  <si>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</si>
  <si>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</si>
  <si>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</si>
  <si>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</si>
  <si>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</si>
  <si>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</si>
  <si>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</si>
  <si>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</si>
  <si>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</si>
  <si>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</si>
  <si>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Early retirement factors for members retiring without entitlement to immediate benefits but with deferred benefits payable from 65</t>
  </si>
  <si>
    <t>x-401</t>
  </si>
  <si>
    <t>Table A</t>
  </si>
  <si>
    <t>Early payment reduction factors for members retiring from active service – 2015 Scheme</t>
  </si>
  <si>
    <t>Years/Months</t>
  </si>
  <si>
    <t>x-402</t>
  </si>
  <si>
    <t>Early payment reduction factors for members retiring from deferred status (also applicable to members retiring from active status or deferred status with added pension) – 2015 Scheme</t>
  </si>
  <si>
    <t>x-403</t>
  </si>
  <si>
    <t>Table B</t>
  </si>
  <si>
    <t>LRF</t>
  </si>
  <si>
    <t>Age addition percentage factors for members retiring from active service – 2015 scheme (active member account)</t>
  </si>
  <si>
    <t>Age at start of Scheme Year (years/months)</t>
  </si>
  <si>
    <t>x-404</t>
  </si>
  <si>
    <t>Age addition percentage factors for members retiring from active service –2015 scheme (added pension account)</t>
  </si>
  <si>
    <t>Age at start of scheme year (years/months)</t>
  </si>
  <si>
    <t>x-405</t>
  </si>
  <si>
    <t>Assumed age addition percentage factors for members retiring from active service – 2015 scheme (active member account)</t>
  </si>
  <si>
    <t>Age (in complete years at the start of the Scheme Year or normal pension age if later)
Term in months between normal pension age (or start of Scheme Year if later) and date of leaving or retirement</t>
  </si>
  <si>
    <t>x-406</t>
  </si>
  <si>
    <t>Table C</t>
  </si>
  <si>
    <t>Assumed age addition percentage factors for members retiring from active service – 2015 scheme (added pension account)</t>
  </si>
  <si>
    <t>x-407</t>
  </si>
  <si>
    <t>1992/2007</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</si>
  <si>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</si>
  <si>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</si>
  <si>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</si>
  <si>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</si>
  <si>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</si>
  <si>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</si>
  <si>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</si>
  <si>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</si>
  <si>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</si>
  <si>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</si>
  <si>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</si>
  <si>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</si>
  <si>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</si>
  <si>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</si>
  <si>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</si>
  <si>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</si>
  <si>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1992, 2007</t>
  </si>
  <si>
    <t>Rule of thumb capitalisation factors for adult survivor pensions where there is a GMP entitlement and the deceased member reached State Pension age before 6 April 2016</t>
  </si>
  <si>
    <t>N/A</t>
  </si>
  <si>
    <t>x-506</t>
  </si>
  <si>
    <t>Scheme pays AA</t>
  </si>
  <si>
    <t xml:space="preserve">Factors for calculating annual allowance pension debit for members below age 60 </t>
  </si>
  <si>
    <t>Male &amp; Female</t>
  </si>
  <si>
    <t>Age last birthday at implemention date</t>
  </si>
  <si>
    <t>x-603</t>
  </si>
  <si>
    <t xml:space="preserve">Factors for calculating annual allowance pension debit for members aged 60 or above </t>
  </si>
  <si>
    <t>x-604</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</si>
  <si>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</si>
  <si>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</si>
  <si>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</si>
  <si>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</si>
  <si>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</si>
  <si>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</si>
  <si>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</si>
  <si>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</si>
  <si>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</si>
  <si>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</si>
  <si>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</si>
  <si>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</si>
  <si>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</si>
  <si>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</si>
  <si>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</si>
  <si>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</si>
  <si>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</si>
  <si>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</si>
  <si>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</si>
  <si>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</si>
  <si>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</si>
  <si>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</si>
  <si>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</si>
  <si>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</si>
  <si>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</si>
  <si>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</si>
  <si>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</si>
  <si>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</si>
  <si>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</si>
  <si>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</si>
  <si>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</si>
  <si>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</si>
  <si>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</si>
  <si>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</si>
  <si>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</si>
  <si>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</si>
  <si>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</si>
  <si>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</si>
  <si>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</si>
  <si>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</si>
  <si>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</si>
  <si>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</si>
  <si>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</si>
  <si>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</si>
  <si>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</si>
  <si>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</si>
  <si>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</si>
  <si>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</si>
  <si>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</si>
  <si>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</si>
  <si>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Factors for calculating LTA debit (ill health retirement)</t>
  </si>
  <si>
    <t>x-627</t>
  </si>
  <si>
    <t>Added pension</t>
  </si>
  <si>
    <t>Added Pension Periodical and Lump Sum factors</t>
  </si>
  <si>
    <t>Age Last Birthday</t>
  </si>
  <si>
    <t>701A</t>
  </si>
  <si>
    <t>x-701A</t>
  </si>
  <si>
    <t>701B</t>
  </si>
  <si>
    <t>x-701B</t>
  </si>
  <si>
    <t>Added pension revaluation factors</t>
  </si>
  <si>
    <t>Number of Complete Scheme Years before NRA</t>
  </si>
  <si>
    <t>x-702</t>
  </si>
  <si>
    <t>Conversion Factors</t>
  </si>
  <si>
    <t>Conversion Factors for Transferred-in Service Credits</t>
  </si>
  <si>
    <t>x-802A</t>
  </si>
  <si>
    <t>Under Review</t>
  </si>
  <si>
    <t>Conversion Factors for Added Years</t>
  </si>
  <si>
    <t>x-802B</t>
  </si>
  <si>
    <t>Conversion Factors for Additional Pension Benefits</t>
  </si>
  <si>
    <t>x-802C</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</si>
  <si>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</si>
  <si>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</si>
  <si>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</si>
  <si>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</si>
  <si>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</si>
  <si>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</si>
  <si>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</si>
  <si>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</si>
  <si>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</si>
  <si>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</si>
  <si>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</si>
  <si>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</si>
  <si>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</si>
  <si>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</si>
  <si>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</si>
  <si>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</si>
  <si>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</si>
  <si>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</si>
  <si>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</si>
  <si>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</si>
  <si>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</si>
  <si>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</si>
  <si>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</si>
  <si>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</si>
  <si>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</si>
  <si>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</si>
  <si>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</si>
  <si>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</si>
  <si>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</si>
  <si>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</si>
  <si>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</si>
  <si>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</si>
  <si>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</si>
  <si>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</si>
  <si>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</si>
  <si>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</si>
  <si>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</si>
  <si>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</si>
  <si>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</si>
  <si>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</si>
  <si>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</si>
  <si>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</si>
  <si>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</si>
  <si>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99% of S3DFA</t>
  </si>
  <si>
    <t>Future mortality improvement tables</t>
  </si>
  <si>
    <t>ONS 2020 principal UK population projections.</t>
  </si>
  <si>
    <t>Year of use</t>
  </si>
  <si>
    <t>Age adjustments</t>
  </si>
  <si>
    <t>Not applicable</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</si>
  <si>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</si>
  <si>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</si>
  <si>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</si>
  <si>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</si>
  <si>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</si>
  <si>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</si>
  <si>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</si>
  <si>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</si>
  <si>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</si>
  <si>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</si>
  <si>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</si>
  <si>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</si>
  <si>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</si>
  <si>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</si>
  <si>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</si>
  <si>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</si>
  <si>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</si>
  <si>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</si>
  <si>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</si>
  <si>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</si>
  <si>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</si>
  <si>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</si>
  <si>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</si>
  <si>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</si>
  <si>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</si>
  <si>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</si>
  <si>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</si>
  <si>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the Welsh Government dated 31 March 2023.</t>
  </si>
  <si>
    <t xml:space="preserve">2. Assumption summary </t>
  </si>
  <si>
    <t>The above assumptions were provided in the note dated 27 September 2023.</t>
  </si>
  <si>
    <t>3. 2020 valuation assumptions</t>
  </si>
  <si>
    <t>The 2020 valuation assumption report dated 31 January 2024.</t>
  </si>
  <si>
    <t>Related Factor Guidance</t>
  </si>
  <si>
    <t>Age</t>
  </si>
  <si>
    <t>Gross pension of £1 per annum</t>
  </si>
  <si>
    <t xml:space="preserve">Surviving partner's pension of £1 per annum </t>
  </si>
  <si>
    <t>Deduction for NI modification of £1 pa</t>
  </si>
  <si>
    <t>Surviving partner's Pension of £1 pa</t>
  </si>
  <si>
    <t>Surviving partner's Pension of £1</t>
  </si>
  <si>
    <t>Gross Pension of £1 per annum</t>
  </si>
  <si>
    <t>Surviving Partner's Pension of £1 pa</t>
  </si>
  <si>
    <t>Gross pension of £1 pa</t>
  </si>
  <si>
    <t>Member's pension of £1 per annum</t>
  </si>
  <si>
    <t>Accrued P.I. below age 55</t>
  </si>
  <si>
    <t>Surviving partner's pension of £1 per annum</t>
  </si>
  <si>
    <t>Deduction for GMP of £1 per annum</t>
  </si>
  <si>
    <t>Deduction for NI modification of £1 per annum</t>
  </si>
  <si>
    <t>Pension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</si>
  <si>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</si>
  <si>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</si>
  <si>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</si>
  <si>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</si>
  <si>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</si>
  <si>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</si>
  <si>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</si>
  <si>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</si>
  <si>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</si>
  <si>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</si>
  <si>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</si>
  <si>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</si>
  <si>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 ↓ / Months →</t>
  </si>
  <si>
    <t>Years ↓ / Months Early →</t>
  </si>
  <si>
    <t>Months ↓ / Age →</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</si>
  <si>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</si>
  <si>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</si>
  <si>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</si>
  <si>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</si>
  <si>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</si>
  <si>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</si>
  <si>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Age/Months</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</si>
  <si>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</si>
  <si>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</si>
  <si>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</si>
  <si>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</si>
  <si>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</si>
  <si>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</si>
  <si>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</si>
  <si>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</si>
  <si>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</si>
  <si>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</si>
  <si>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</si>
  <si>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</si>
  <si>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</si>
  <si>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</si>
  <si>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</si>
  <si>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</si>
  <si>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</si>
  <si>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</si>
  <si>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Adj</t>
  </si>
  <si>
    <t>Revaluation Factor</t>
  </si>
  <si>
    <t>Males Conversion Factors</t>
  </si>
  <si>
    <t>Female Conversion Factors</t>
  </si>
  <si>
    <t>55 and under</t>
  </si>
  <si>
    <t>35 and under</t>
  </si>
  <si>
    <t>40-55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</si>
</sst>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2"/>
      <color rgb="FF000000"/>
      <name val="Arial"/>
      <family val="2"/>
    </font>
    <font>
      <b/>
      <sz val="12"/>
      <name val="Arial"/>
      <family val="2"/>
    </font>
    <font>
      <b/>
      <sz val="10"/>
      <color rgb="FF808080"/>
      <name val="Arial"/>
      <family val="2"/>
    </font>
    <font>
      <sz val="10"/>
      <color rgb="FF808080"/>
      <name val="Arial"/>
      <family val="2"/>
    </font>
    <font>
      <i/>
      <sz val="10"/>
      <color rgb="FF808080"/>
      <name val="Arial"/>
      <family val="2"/>
    </font>
    <font>
      <sz val="12"/>
      <color rgb="FF000000"/>
      <name val="Arial"/>
      <family val="2"/>
    </font>
    <font>
      <sz val="12"/>
      <name val="Arial"/>
      <family val="2"/>
    </font>
    <font>
      <b/>
      <sz val="12"/>
      <color rgb="FFFF0000"/>
      <name val="Arial"/>
      <family val="2"/>
    </font>
    <font>
      <b/>
      <sz val="10"/>
      <color theme="0" tint="-0.34998626667073579"/>
      <name val="Arial"/>
      <family val="2"/>
    </font>
    <font>
      <sz val="10"/>
      <color theme="0" tint="-0.34998626667073579"/>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3" fillId="0" borderId="0"/>
    <xf numFmtId="0" fontId="4" fillId="0" borderId="0"/>
    <xf numFmtId="9" fontId="4" fillId="0" borderId="0" applyFont="0" applyFill="0" applyBorder="0" applyAlignment="0" applyProtection="0"/>
    <xf numFmtId="0" fontId="2" fillId="0" borderId="0"/>
    <xf numFmtId="0" fontId="17" fillId="0" borderId="0" applyNumberFormat="0" applyFill="0" applyBorder="0" applyAlignment="0" applyProtection="0"/>
    <xf numFmtId="0" fontId="1" fillId="0" borderId="0"/>
    <xf numFmtId="0" fontId="1" fillId="0" borderId="0"/>
  </cellStyleXfs>
  <cellXfs count="167">
    <xf numFmtId="0" fontId="0" fillId="0" borderId="0" xfId="0"/>
    <xf numFmtId="0" fontId="6" fillId="0" borderId="0" xfId="0" applyFont="1"/>
    <xf numFmtId="0" fontId="4" fillId="0" borderId="0" xfId="0" applyFont="1" applyAlignment="1">
      <alignment vertical="top" wrapText="1"/>
    </xf>
    <xf numFmtId="0" fontId="0" fillId="0" borderId="0" xfId="0" applyAlignment="1">
      <alignment vertical="top"/>
    </xf>
    <xf numFmtId="0" fontId="7" fillId="2" borderId="1" xfId="0" applyFont="1" applyFill="1" applyBorder="1"/>
    <xf numFmtId="0" fontId="8" fillId="3" borderId="2" xfId="0" applyFont="1" applyFill="1" applyBorder="1"/>
    <xf numFmtId="0" fontId="9" fillId="3" borderId="0" xfId="0" applyFont="1" applyFill="1"/>
    <xf numFmtId="0" fontId="5" fillId="0" borderId="0" xfId="0" applyFont="1"/>
    <xf numFmtId="14" fontId="0" fillId="0" borderId="0" xfId="0" applyNumberFormat="1"/>
    <xf numFmtId="0" fontId="0" fillId="3" borderId="0" xfId="0" applyFill="1"/>
    <xf numFmtId="0" fontId="0" fillId="2" borderId="1" xfId="0" applyFill="1" applyBorder="1"/>
    <xf numFmtId="0" fontId="8"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4" fillId="0" borderId="11" xfId="0" applyFont="1" applyBorder="1" applyAlignment="1">
      <alignment horizontal="center"/>
    </xf>
    <xf numFmtId="0" fontId="4" fillId="0" borderId="8" xfId="0" applyFont="1" applyBorder="1" applyAlignment="1">
      <alignment horizontal="center"/>
    </xf>
    <xf numFmtId="0" fontId="0" fillId="0" borderId="0" xfId="0" applyAlignment="1">
      <alignment wrapText="1"/>
    </xf>
    <xf numFmtId="0" fontId="4" fillId="0" borderId="0" xfId="2"/>
    <xf numFmtId="0" fontId="4" fillId="0" borderId="0" xfId="0" applyFont="1" applyAlignment="1">
      <alignment wrapText="1"/>
    </xf>
    <xf numFmtId="0" fontId="0" fillId="0" borderId="11" xfId="0" applyBorder="1"/>
    <xf numFmtId="0" fontId="0" fillId="0" borderId="14" xfId="0"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left"/>
    </xf>
    <xf numFmtId="0" fontId="6" fillId="0" borderId="11" xfId="0" applyFont="1" applyBorder="1" applyAlignment="1">
      <alignment horizontal="left"/>
    </xf>
    <xf numFmtId="0" fontId="6"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7" fillId="2" borderId="1" xfId="2" applyFont="1" applyFill="1" applyBorder="1"/>
    <xf numFmtId="0" fontId="4" fillId="2" borderId="1" xfId="2" applyFill="1" applyBorder="1"/>
    <xf numFmtId="0" fontId="8" fillId="3" borderId="2" xfId="2" applyFont="1" applyFill="1" applyBorder="1"/>
    <xf numFmtId="0" fontId="4" fillId="3" borderId="0" xfId="2" applyFill="1"/>
    <xf numFmtId="0" fontId="9" fillId="3" borderId="0" xfId="2" applyFont="1" applyFill="1"/>
    <xf numFmtId="0" fontId="5" fillId="0" borderId="0" xfId="2" applyFont="1"/>
    <xf numFmtId="0" fontId="6" fillId="4" borderId="15" xfId="2" applyFont="1" applyFill="1" applyBorder="1" applyAlignment="1">
      <alignment vertical="top"/>
    </xf>
    <xf numFmtId="0" fontId="6" fillId="4" borderId="15" xfId="2" applyFont="1" applyFill="1" applyBorder="1" applyAlignment="1">
      <alignment vertical="top" wrapText="1"/>
    </xf>
    <xf numFmtId="0" fontId="4"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4" fillId="4" borderId="4" xfId="2" applyFill="1" applyBorder="1" applyAlignment="1">
      <alignment horizontal="left" vertical="top"/>
    </xf>
    <xf numFmtId="0" fontId="12" fillId="4" borderId="15" xfId="2" applyFont="1" applyFill="1" applyBorder="1" applyAlignment="1">
      <alignment horizontal="left" vertical="top" wrapText="1"/>
    </xf>
    <xf numFmtId="0" fontId="4" fillId="4" borderId="15" xfId="2" applyFill="1" applyBorder="1" applyAlignment="1">
      <alignment horizontal="left" vertical="top" wrapText="1"/>
    </xf>
    <xf numFmtId="0" fontId="4"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0" fontId="15"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vertical="center" wrapText="1"/>
    </xf>
    <xf numFmtId="0" fontId="0" fillId="0" borderId="0" xfId="0" applyAlignment="1">
      <alignment vertical="center"/>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14" fontId="15" fillId="0" borderId="0" xfId="2" applyNumberFormat="1" applyFont="1" applyAlignment="1">
      <alignment horizontal="centerContinuous"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164" fontId="15" fillId="0" borderId="0" xfId="2" applyNumberFormat="1" applyFont="1"/>
    <xf numFmtId="1" fontId="16" fillId="0" borderId="0" xfId="2" applyNumberFormat="1" applyFont="1" applyAlignment="1">
      <alignment horizontal="right" vertical="top" wrapText="1"/>
    </xf>
    <xf numFmtId="164" fontId="15" fillId="0" borderId="0" xfId="2" applyNumberFormat="1" applyFont="1" applyAlignment="1">
      <alignment horizontal="right"/>
    </xf>
    <xf numFmtId="165" fontId="15" fillId="0" borderId="0" xfId="2" applyNumberFormat="1" applyFont="1"/>
    <xf numFmtId="164" fontId="4" fillId="0" borderId="0" xfId="2" applyNumberFormat="1"/>
    <xf numFmtId="14" fontId="4" fillId="0" borderId="11" xfId="0" applyNumberFormat="1" applyFont="1" applyBorder="1" applyAlignment="1">
      <alignment horizontal="center"/>
    </xf>
    <xf numFmtId="1" fontId="15" fillId="0" borderId="0" xfId="2" applyNumberFormat="1" applyFont="1" applyAlignment="1">
      <alignment vertical="top" wrapText="1"/>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5"/>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4" fillId="7" borderId="0" xfId="0" applyFont="1" applyFill="1" applyAlignment="1">
      <alignment vertical="center"/>
    </xf>
    <xf numFmtId="0" fontId="4" fillId="0" borderId="0" xfId="0" applyFont="1" applyAlignment="1">
      <alignment vertical="center" wrapText="1"/>
    </xf>
    <xf numFmtId="0" fontId="15" fillId="0" borderId="0" xfId="0" applyFont="1" applyAlignment="1">
      <alignment horizontal="left" vertical="center"/>
    </xf>
    <xf numFmtId="1" fontId="16" fillId="0" borderId="0" xfId="2" applyNumberFormat="1" applyFont="1"/>
    <xf numFmtId="0" fontId="15" fillId="0" borderId="0" xfId="2" applyFont="1" applyAlignment="1">
      <alignment horizontal="right"/>
    </xf>
    <xf numFmtId="1" fontId="15" fillId="0" borderId="0" xfId="2" applyNumberFormat="1" applyFont="1" applyAlignment="1">
      <alignment horizontal="right" vertical="top" wrapText="1"/>
    </xf>
    <xf numFmtId="164" fontId="15" fillId="0" borderId="0" xfId="2" applyNumberFormat="1" applyFont="1" applyAlignment="1">
      <alignment vertical="top" wrapText="1"/>
    </xf>
    <xf numFmtId="0" fontId="15"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centerContinuous"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22" fontId="22" fillId="0" borderId="0" xfId="0" applyNumberFormat="1" applyFont="1" applyAlignment="1">
      <alignment horizontal="left" vertical="center" wrapText="1"/>
    </xf>
    <xf numFmtId="0" fontId="20" fillId="0" borderId="0" xfId="0" applyFont="1"/>
    <xf numFmtId="14" fontId="21" fillId="0" borderId="0" xfId="0" applyNumberFormat="1" applyFont="1"/>
    <xf numFmtId="0" fontId="21" fillId="0" borderId="0" xfId="0" applyFont="1"/>
    <xf numFmtId="0" fontId="21" fillId="0" borderId="0" xfId="0" applyFont="1" applyAlignment="1">
      <alignment wrapText="1"/>
    </xf>
    <xf numFmtId="22" fontId="21" fillId="0" borderId="0" xfId="0" applyNumberFormat="1" applyFont="1" applyAlignment="1">
      <alignment wrapText="1"/>
    </xf>
    <xf numFmtId="14" fontId="22" fillId="0" borderId="0" xfId="0" applyNumberFormat="1" applyFont="1" applyAlignment="1">
      <alignment horizontal="right" vertical="center" wrapText="1"/>
    </xf>
    <xf numFmtId="0" fontId="17" fillId="0" borderId="0" xfId="5" applyFill="1" applyAlignment="1">
      <alignment vertical="center"/>
    </xf>
    <xf numFmtId="166" fontId="18" fillId="0" borderId="0" xfId="2" applyNumberFormat="1" applyFont="1" applyAlignment="1">
      <alignment wrapText="1"/>
    </xf>
    <xf numFmtId="166" fontId="18" fillId="0" borderId="0" xfId="2" applyNumberFormat="1" applyFont="1" applyAlignment="1">
      <alignment horizontal="left" wrapText="1"/>
    </xf>
    <xf numFmtId="166" fontId="23" fillId="0" borderId="0" xfId="2" applyNumberFormat="1" applyFont="1" applyAlignment="1">
      <alignment horizontal="left" wrapText="1"/>
    </xf>
    <xf numFmtId="10" fontId="23" fillId="0" borderId="0" xfId="2" applyNumberFormat="1" applyFont="1" applyAlignment="1">
      <alignment horizontal="left" wrapText="1"/>
    </xf>
    <xf numFmtId="10" fontId="23" fillId="0" borderId="0" xfId="2" applyNumberFormat="1" applyFont="1" applyAlignment="1">
      <alignment horizontal="left"/>
    </xf>
    <xf numFmtId="10" fontId="24" fillId="0" borderId="0" xfId="2" applyNumberFormat="1" applyFont="1" applyAlignment="1">
      <alignment horizontal="left" wrapText="1"/>
    </xf>
    <xf numFmtId="10" fontId="18" fillId="0" borderId="0" xfId="2" applyNumberFormat="1" applyFont="1" applyAlignment="1">
      <alignment horizontal="left" wrapText="1"/>
    </xf>
    <xf numFmtId="9" fontId="23" fillId="0" borderId="0" xfId="2" applyNumberFormat="1" applyFont="1" applyAlignment="1">
      <alignment horizontal="left" wrapText="1"/>
    </xf>
    <xf numFmtId="9" fontId="24" fillId="0" borderId="0" xfId="2" applyNumberFormat="1" applyFont="1" applyAlignment="1">
      <alignment horizontal="left" wrapText="1"/>
    </xf>
    <xf numFmtId="166" fontId="24" fillId="0" borderId="0" xfId="2" applyNumberFormat="1" applyFont="1" applyAlignment="1">
      <alignment horizontal="left" wrapText="1"/>
    </xf>
    <xf numFmtId="166" fontId="24" fillId="8" borderId="0" xfId="2" applyNumberFormat="1" applyFont="1" applyFill="1" applyAlignment="1">
      <alignment horizontal="left" wrapText="1"/>
    </xf>
    <xf numFmtId="0" fontId="25" fillId="0" borderId="0" xfId="0" applyFont="1" applyAlignment="1">
      <alignment horizontal="left"/>
    </xf>
    <xf numFmtId="0" fontId="13" fillId="0" borderId="0" xfId="0" applyFont="1" applyAlignment="1">
      <alignment horizontal="left"/>
    </xf>
    <xf numFmtId="0" fontId="4" fillId="9" borderId="0" xfId="0" applyFont="1" applyFill="1" applyAlignment="1">
      <alignment vertical="center"/>
    </xf>
    <xf numFmtId="0" fontId="26" fillId="0" borderId="0" xfId="0" applyFont="1"/>
    <xf numFmtId="14" fontId="27" fillId="0" borderId="0" xfId="0" applyNumberFormat="1" applyFont="1"/>
    <xf numFmtId="0" fontId="27" fillId="0" borderId="0" xfId="0" applyFont="1"/>
    <xf numFmtId="0" fontId="27" fillId="0" borderId="0" xfId="0" applyFont="1" applyAlignment="1">
      <alignment wrapText="1"/>
    </xf>
    <xf numFmtId="0" fontId="0" fillId="2" borderId="0" xfId="0" applyFill="1"/>
    <xf numFmtId="1" fontId="23" fillId="0" borderId="0" xfId="2" applyNumberFormat="1" applyFont="1" applyAlignment="1">
      <alignment horizontal="left" wrapText="1"/>
    </xf>
    <xf numFmtId="0" fontId="4" fillId="0" borderId="0" xfId="0" applyFont="1"/>
    <xf numFmtId="0" fontId="16" fillId="0" borderId="0" xfId="2" applyFont="1" applyAlignment="1">
      <alignment wrapText="1"/>
    </xf>
    <xf numFmtId="0" fontId="15" fillId="0" borderId="0" xfId="2" applyFont="1" applyAlignment="1">
      <alignment wrapText="1"/>
    </xf>
    <xf numFmtId="14" fontId="15" fillId="0" borderId="0" xfId="2" applyNumberFormat="1" applyFont="1" applyAlignment="1">
      <alignment wrapText="1"/>
    </xf>
    <xf numFmtId="14" fontId="15" fillId="0" borderId="0" xfId="0" applyNumberFormat="1" applyFont="1" applyAlignment="1">
      <alignment wrapText="1"/>
    </xf>
    <xf numFmtId="0" fontId="6" fillId="0" borderId="0" xfId="0" applyFont="1" applyAlignment="1">
      <alignment wrapText="1"/>
    </xf>
    <xf numFmtId="0" fontId="16" fillId="0" borderId="0" xfId="0" applyFont="1" applyAlignment="1">
      <alignment horizontal="left" wrapText="1"/>
    </xf>
    <xf numFmtId="14" fontId="15" fillId="0" borderId="0" xfId="0" applyNumberFormat="1" applyFont="1" applyAlignment="1">
      <alignment horizontal="left"/>
    </xf>
    <xf numFmtId="0" fontId="16" fillId="0" borderId="0" xfId="2" applyFont="1" applyAlignment="1">
      <alignment horizontal="left"/>
    </xf>
    <xf numFmtId="0" fontId="15" fillId="0" borderId="0" xfId="2" applyFont="1" applyAlignment="1">
      <alignment horizontal="left"/>
    </xf>
    <xf numFmtId="0" fontId="15" fillId="0" borderId="0" xfId="2" applyFont="1" applyAlignment="1">
      <alignment horizontal="left" vertical="top" wrapText="1"/>
    </xf>
    <xf numFmtId="14" fontId="15" fillId="0" borderId="0" xfId="2" applyNumberFormat="1" applyFont="1" applyAlignment="1">
      <alignment horizontal="left"/>
    </xf>
    <xf numFmtId="0" fontId="17" fillId="0" borderId="0" xfId="5" applyFill="1" applyAlignment="1">
      <alignment horizontal="left" vertical="center" wrapText="1"/>
    </xf>
    <xf numFmtId="167" fontId="15" fillId="0" borderId="0" xfId="0" applyNumberFormat="1" applyFont="1" applyAlignment="1">
      <alignment horizontal="left" vertical="center" wrapText="1"/>
    </xf>
    <xf numFmtId="0" fontId="19"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6" fillId="0" borderId="13" xfId="0" applyFont="1" applyBorder="1" applyAlignment="1">
      <alignment vertical="center" wrapText="1"/>
    </xf>
  </cellXfs>
  <cellStyles count="8">
    <cellStyle name="Hyperlink" xfId="5" builtinId="8"/>
    <cellStyle name="Normal" xfId="0" builtinId="0"/>
    <cellStyle name="Normal 2" xfId="1" xr:uid="{00000000-0005-0000-0000-000001000000}"/>
    <cellStyle name="Normal 2 2" xfId="2" xr:uid="{00000000-0005-0000-0000-000002000000}"/>
    <cellStyle name="Normal 2 3" xfId="6" xr:uid="{8D42EB4C-6800-47ED-88C1-4F5847530E58}"/>
    <cellStyle name="Normal 3" xfId="4" xr:uid="{D8840DBE-1810-41FF-A4C3-99D0092C10EA}"/>
    <cellStyle name="Normal 3 2" xfId="7" xr:uid="{E70A64D9-5ACE-470D-AF79-5BBF6EF06C26}"/>
    <cellStyle name="Percent 2" xfId="3" xr:uid="{00000000-0005-0000-0000-000003000000}"/>
  </cellStyles>
  <dxfs count="1038">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haredStrings" Target="sharedStrings.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5.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6.xml"/><Relationship Id="rId105"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E/Factors%20&amp;%20Guidance/2024%20Guidance%20Review/3.%20Guidance%20updates/0.%20Consolidated%20factor%20workbook%20for%20website/Fire%20E%20Consolidated%20Factors%202025-01.xlsm" TargetMode="External"/><Relationship Id="rId2" Type="http://schemas.microsoft.com/office/2019/04/relationships/externalLinkLongPath" Target="/sites/gad_wrkgrp_actuarial/pspsactuarialwork/Client%20Work/Fire%20E/Factors%20&amp;%20Guidance/2024%20Guidance%20Review/3.%20Guidance%20updates/0.%20Consolidated%20factor%20workbook%20for%20website/Fire%20E%20Consolidated%20Factors%202025-01.xlsm?291AFFFF" TargetMode="External"/><Relationship Id="rId1" Type="http://schemas.openxmlformats.org/officeDocument/2006/relationships/externalLinkPath" Target="file:///\\291AFFFF\Fire%20E%20Consolidated%20Factors%202025-01.xlsm" TargetMode="External"/><Relationship Id="rId4" Type="http://schemas.openxmlformats.org/officeDocument/2006/relationships/externalLinkPath" Target="../../../../../../../../../Client%20Work/Fire%20E/Factors%20&amp;%20Guidance/2024%20Guidance%20Review/3.%20Guidance%20updates/0.%20Consolidated%20factor%20workbook%20for%20website/Fire%20E%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S/Factors%20&amp;%20Guidance/2024%20Guidance%20Review/3.%20Guidance%20updates/0.%20Consolidated%20factor%20workbook%20for%20website/Fire%20S%20Consolidated%20Factors%202025-01.xlsm" TargetMode="External"/><Relationship Id="rId2" Type="http://schemas.microsoft.com/office/2019/04/relationships/externalLinkLongPath" Target="/sites/gad_wrkgrp_actuarial/pspsactuarialwork/Client%20Work/Fire%20S/Factors%20&amp;%20Guidance/2024%20Guidance%20Review/3.%20Guidance%20updates/0.%20Consolidated%20factor%20workbook%20for%20website/Fire%20S%20Consolidated%20Factors%202025-01.xlsm?72BEE700" TargetMode="External"/><Relationship Id="rId1" Type="http://schemas.openxmlformats.org/officeDocument/2006/relationships/externalLinkPath" Target="file:///\\72BEE700\Fire%20S%20Consolidated%20Factors%202025-01.xlsm" TargetMode="External"/><Relationship Id="rId4" Type="http://schemas.openxmlformats.org/officeDocument/2006/relationships/externalLinkPath" Target="../../../../../../../../../Client%20Work/Fire%20S/Factors%20&amp;%20Guidance/2024%20Guidance%20Review/3.%20Guidance%20updates/0.%20Consolidated%20factor%20workbook%20for%20website/Fire%20S%20Consolidated%20Factors%202025-01.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 Id="rId4" Type="http://schemas.openxmlformats.org/officeDocument/2006/relationships/externalLinkPath" Target="../../../../../../1.%20Project%20management/2.%20Planning/5.%20Assumption%20considerations/TPS%20EW%20Consolidated%20Factors%202023-04%20-%20%20Assumption%20Templat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NI/Factors%20&amp;%20Guidance/2024%20Guidance%20Review/3.%20Guidance%20updates/0.%20Consolidated%20factor%20workbook%20for%20website/Fire%20NI%20Consolidated%20Factors%202025-01.xlsm" TargetMode="External"/><Relationship Id="rId2" Type="http://schemas.microsoft.com/office/2019/04/relationships/externalLinkLongPath" Target="/sites/gad_wrkgrp_actuarial/pspsactuarialwork/Client%20Work/Fire%20NI/Factors%20&amp;%20Guidance/2024%20Guidance%20Review/3.%20Guidance%20updates/0.%20Consolidated%20factor%20workbook%20for%20website/Fire%20NI%20Consolidated%20Factors%202025-01.xlsm?E094562C" TargetMode="External"/><Relationship Id="rId1" Type="http://schemas.openxmlformats.org/officeDocument/2006/relationships/externalLinkPath" Target="file:///\\E094562C\Fire%20NI%20Consolidated%20Factors%202025-01.xlsm" TargetMode="External"/><Relationship Id="rId4" Type="http://schemas.openxmlformats.org/officeDocument/2006/relationships/externalLinkPath" Target="../../../../../../../../../Client%20Work/Fire%20NI/Factors%20&amp;%20Guidance/2024%20Guidance%20Review/3.%20Guidance%20updates/0.%20Consolidated%20factor%20workbook%20for%20website/Fire%20NI%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Fire_S"/>
      <sheetName val="AnnGenHiddenLists"/>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21"/>
      <sheetName val="x-317"/>
      <sheetName val="x-322"/>
      <sheetName val="x-323"/>
      <sheetName val="x-324"/>
      <sheetName val="x-325"/>
      <sheetName val="x-326"/>
      <sheetName val="x-327"/>
      <sheetName val="x-328"/>
      <sheetName val="x-329"/>
      <sheetName val="x-330"/>
      <sheetName val="x-331"/>
      <sheetName val="x-401"/>
      <sheetName val="x-402"/>
      <sheetName val="x-403"/>
      <sheetName val="x-404"/>
      <sheetName val="x-405"/>
      <sheetName val="x-406 "/>
      <sheetName val="x-407"/>
      <sheetName val="x-501"/>
      <sheetName val="x-502"/>
      <sheetName val="x-503"/>
      <sheetName val="x-504"/>
      <sheetName val="x-505"/>
      <sheetName val="x-506"/>
      <sheetName val="x-507"/>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6"/>
      <sheetName val="x-627"/>
      <sheetName val="x-701"/>
      <sheetName val="x-702"/>
    </sheetNames>
    <sheetDataSet>
      <sheetData sheetId="0">
        <row r="2">
          <cell r="A2" t="str">
            <v>Fire_S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AnnGenHiddenList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s>
    <sheetDataSet>
      <sheetData sheetId="0" refreshError="1"/>
      <sheetData sheetId="1">
        <row r="2">
          <cell r="A2" t="str">
            <v>Fire Northern Ireland - Consolidated Factor Spreadsheet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0D7E415-A301-47DB-B8CB-447D3A48C126}">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heetViews>
  <sheetFormatPr defaultRowHeight="13.2" x14ac:dyDescent="0.25"/>
  <sheetData>
    <row r="1" spans="1:3" x14ac:dyDescent="0.25">
      <c r="A1" t="s">
        <v>0</v>
      </c>
    </row>
    <row r="3" spans="1:3" x14ac:dyDescent="0.25">
      <c r="A3" t="s">
        <v>1</v>
      </c>
      <c r="C3" t="s">
        <v>2</v>
      </c>
    </row>
    <row r="4" spans="1:3" x14ac:dyDescent="0.25">
      <c r="A4" t="s">
        <v>3</v>
      </c>
      <c r="C4" t="s">
        <v>4</v>
      </c>
    </row>
    <row r="5" spans="1:3" x14ac:dyDescent="0.25">
      <c r="A5" t="s">
        <v>5</v>
      </c>
      <c r="C5" t="s">
        <v>6</v>
      </c>
    </row>
    <row r="6" spans="1:3" x14ac:dyDescent="0.25">
      <c r="A6" t="s">
        <v>7</v>
      </c>
      <c r="C6" t="s">
        <v>8</v>
      </c>
    </row>
    <row r="7" spans="1:3" x14ac:dyDescent="0.25">
      <c r="A7" t="s">
        <v>9</v>
      </c>
      <c r="C7" t="s">
        <v>10</v>
      </c>
    </row>
    <row r="8" spans="1:3" x14ac:dyDescent="0.25">
      <c r="A8" t="s">
        <v>11</v>
      </c>
      <c r="C8" t="s">
        <v>12</v>
      </c>
    </row>
    <row r="9" spans="1:3" x14ac:dyDescent="0.25">
      <c r="A9" t="s">
        <v>13</v>
      </c>
      <c r="C9" t="s">
        <v>14</v>
      </c>
    </row>
    <row r="10" spans="1:3" x14ac:dyDescent="0.25">
      <c r="A10" t="s">
        <v>15</v>
      </c>
      <c r="C10" t="s">
        <v>16</v>
      </c>
    </row>
    <row r="11" spans="1:3" x14ac:dyDescent="0.25">
      <c r="A11" t="s">
        <v>17</v>
      </c>
      <c r="C11" t="s">
        <v>18</v>
      </c>
    </row>
    <row r="12" spans="1:3" x14ac:dyDescent="0.25">
      <c r="A12" t="s">
        <v>19</v>
      </c>
      <c r="C12" t="s">
        <v>20</v>
      </c>
    </row>
    <row r="13" spans="1:3" x14ac:dyDescent="0.25">
      <c r="A13" t="s">
        <v>21</v>
      </c>
      <c r="C13" t="s">
        <v>9</v>
      </c>
    </row>
    <row r="14" spans="1:3" x14ac:dyDescent="0.25">
      <c r="A14" t="s">
        <v>22</v>
      </c>
      <c r="C14" t="s">
        <v>23</v>
      </c>
    </row>
    <row r="15" spans="1:3" x14ac:dyDescent="0.25">
      <c r="A15" t="s">
        <v>24</v>
      </c>
      <c r="C15" t="s">
        <v>17</v>
      </c>
    </row>
    <row r="16" spans="1:3" x14ac:dyDescent="0.25">
      <c r="A16" t="s">
        <v>25</v>
      </c>
      <c r="C16" t="s">
        <v>26</v>
      </c>
    </row>
    <row r="17" spans="1:3" x14ac:dyDescent="0.25">
      <c r="A17" t="s">
        <v>27</v>
      </c>
      <c r="C17" t="s">
        <v>28</v>
      </c>
    </row>
    <row r="18" spans="1:3" x14ac:dyDescent="0.25">
      <c r="A18" t="s">
        <v>29</v>
      </c>
      <c r="C18" t="s">
        <v>30</v>
      </c>
    </row>
    <row r="19" spans="1:3" x14ac:dyDescent="0.25">
      <c r="A19" t="s">
        <v>31</v>
      </c>
      <c r="B19" s="8"/>
      <c r="C19" t="s">
        <v>32</v>
      </c>
    </row>
    <row r="20" spans="1:3" x14ac:dyDescent="0.25">
      <c r="A20" t="s">
        <v>33</v>
      </c>
      <c r="C20" t="s">
        <v>34</v>
      </c>
    </row>
    <row r="21" spans="1:3" x14ac:dyDescent="0.25">
      <c r="A21" t="s">
        <v>35</v>
      </c>
      <c r="C21" t="s">
        <v>36</v>
      </c>
    </row>
    <row r="22" spans="1:3" x14ac:dyDescent="0.25">
      <c r="A22" t="s">
        <v>37</v>
      </c>
      <c r="C22" t="s">
        <v>38</v>
      </c>
    </row>
    <row r="23" spans="1:3" x14ac:dyDescent="0.25">
      <c r="A23" t="s">
        <v>39</v>
      </c>
      <c r="C23" t="s">
        <v>40</v>
      </c>
    </row>
    <row r="24" spans="1:3" x14ac:dyDescent="0.25">
      <c r="A24" t="s">
        <v>41</v>
      </c>
      <c r="C24" t="s">
        <v>42</v>
      </c>
    </row>
    <row r="25" spans="1:3" x14ac:dyDescent="0.25">
      <c r="A25" t="s">
        <v>43</v>
      </c>
      <c r="C25" t="s">
        <v>44</v>
      </c>
    </row>
    <row r="26" spans="1:3" x14ac:dyDescent="0.25">
      <c r="A26" t="s">
        <v>45</v>
      </c>
      <c r="C26" t="s">
        <v>46</v>
      </c>
    </row>
    <row r="27" spans="1:3" x14ac:dyDescent="0.25">
      <c r="A27" t="s">
        <v>47</v>
      </c>
      <c r="C27" t="s">
        <v>48</v>
      </c>
    </row>
    <row r="28" spans="1:3" x14ac:dyDescent="0.25">
      <c r="A28" t="s">
        <v>49</v>
      </c>
      <c r="C28" t="s">
        <v>50</v>
      </c>
    </row>
    <row r="29" spans="1:3" x14ac:dyDescent="0.25">
      <c r="A29" t="s">
        <v>51</v>
      </c>
      <c r="C29" t="s">
        <v>52</v>
      </c>
    </row>
    <row r="30" spans="1:3" x14ac:dyDescent="0.25">
      <c r="A30" t="s">
        <v>53</v>
      </c>
      <c r="C30" t="s">
        <v>54</v>
      </c>
    </row>
    <row r="31" spans="1:3" x14ac:dyDescent="0.25">
      <c r="A31" t="s">
        <v>55</v>
      </c>
      <c r="C31" t="s">
        <v>56</v>
      </c>
    </row>
    <row r="32" spans="1:3" x14ac:dyDescent="0.25">
      <c r="A32" t="s">
        <v>57</v>
      </c>
      <c r="C32" t="s">
        <v>58</v>
      </c>
    </row>
    <row r="33" spans="1:3" x14ac:dyDescent="0.25">
      <c r="A33" t="s">
        <v>59</v>
      </c>
      <c r="C33" t="s">
        <v>60</v>
      </c>
    </row>
    <row r="34" spans="1:3" x14ac:dyDescent="0.25">
      <c r="A34" t="s">
        <v>61</v>
      </c>
      <c r="C34" t="s">
        <v>62</v>
      </c>
    </row>
    <row r="35" spans="1:3" x14ac:dyDescent="0.25">
      <c r="A35" t="s">
        <v>63</v>
      </c>
      <c r="C35" t="s">
        <v>64</v>
      </c>
    </row>
    <row r="36" spans="1:3" x14ac:dyDescent="0.25">
      <c r="A36" t="s">
        <v>65</v>
      </c>
      <c r="C36" t="s">
        <v>66</v>
      </c>
    </row>
    <row r="37" spans="1:3" x14ac:dyDescent="0.25">
      <c r="A37" t="s">
        <v>67</v>
      </c>
      <c r="C37" t="s">
        <v>68</v>
      </c>
    </row>
    <row r="38" spans="1:3" x14ac:dyDescent="0.25">
      <c r="A38" t="s">
        <v>69</v>
      </c>
      <c r="C38" t="s">
        <v>70</v>
      </c>
    </row>
    <row r="39" spans="1:3" x14ac:dyDescent="0.25">
      <c r="A39" t="s">
        <v>71</v>
      </c>
      <c r="C39" t="s">
        <v>72</v>
      </c>
    </row>
    <row r="40" spans="1:3" x14ac:dyDescent="0.25">
      <c r="A40" t="s">
        <v>73</v>
      </c>
      <c r="C40" t="s">
        <v>74</v>
      </c>
    </row>
    <row r="41" spans="1:3" x14ac:dyDescent="0.25">
      <c r="A41" t="s">
        <v>75</v>
      </c>
      <c r="C41" t="s">
        <v>76</v>
      </c>
    </row>
    <row r="42" spans="1:3" x14ac:dyDescent="0.25">
      <c r="A42" t="s">
        <v>77</v>
      </c>
      <c r="C42" t="s">
        <v>78</v>
      </c>
    </row>
    <row r="43" spans="1:3" x14ac:dyDescent="0.25">
      <c r="A43" t="s">
        <v>79</v>
      </c>
    </row>
    <row r="44" spans="1:3" x14ac:dyDescent="0.25">
      <c r="A44" t="s">
        <v>80</v>
      </c>
    </row>
    <row r="45" spans="1:3" x14ac:dyDescent="0.25">
      <c r="A45" t="s">
        <v>81</v>
      </c>
    </row>
    <row r="46" spans="1:3" x14ac:dyDescent="0.25">
      <c r="A46" t="s">
        <v>82</v>
      </c>
    </row>
    <row r="47" spans="1:3" x14ac:dyDescent="0.25">
      <c r="A47" t="s">
        <v>83</v>
      </c>
    </row>
    <row r="48" spans="1:3" x14ac:dyDescent="0.25">
      <c r="A48" t="s">
        <v>84</v>
      </c>
    </row>
    <row r="49" spans="1:1" x14ac:dyDescent="0.25">
      <c r="A49" t="s">
        <v>85</v>
      </c>
    </row>
    <row r="50" spans="1:1" x14ac:dyDescent="0.25">
      <c r="A50" t="s">
        <v>86</v>
      </c>
    </row>
    <row r="51" spans="1:1" x14ac:dyDescent="0.25">
      <c r="A51" t="s">
        <v>87</v>
      </c>
    </row>
    <row r="52" spans="1:1" x14ac:dyDescent="0.25">
      <c r="A52" t="s">
        <v>88</v>
      </c>
    </row>
    <row r="53" spans="1:1" x14ac:dyDescent="0.25">
      <c r="A53" t="s">
        <v>89</v>
      </c>
    </row>
    <row r="54" spans="1:1" x14ac:dyDescent="0.25">
      <c r="A54" t="s">
        <v>90</v>
      </c>
    </row>
    <row r="55" spans="1:1" x14ac:dyDescent="0.25">
      <c r="A55" t="s">
        <v>91</v>
      </c>
    </row>
    <row r="56" spans="1:1" x14ac:dyDescent="0.25">
      <c r="A56" t="s">
        <v>92</v>
      </c>
    </row>
    <row r="57" spans="1:1" x14ac:dyDescent="0.25">
      <c r="A57" t="s">
        <v>93</v>
      </c>
    </row>
    <row r="58" spans="1:1" x14ac:dyDescent="0.25">
      <c r="A58" t="s">
        <v>94</v>
      </c>
    </row>
    <row r="59" spans="1:1" x14ac:dyDescent="0.25">
      <c r="A59" t="s">
        <v>95</v>
      </c>
    </row>
    <row r="60" spans="1:1" x14ac:dyDescent="0.25">
      <c r="A60" t="s">
        <v>96</v>
      </c>
    </row>
    <row r="61" spans="1:1" x14ac:dyDescent="0.25">
      <c r="A61" t="s">
        <v>97</v>
      </c>
    </row>
    <row r="62" spans="1:1" x14ac:dyDescent="0.25">
      <c r="A62" t="s">
        <v>98</v>
      </c>
    </row>
    <row r="63" spans="1:1" x14ac:dyDescent="0.25">
      <c r="A63" t="s">
        <v>99</v>
      </c>
    </row>
    <row r="64" spans="1:1" x14ac:dyDescent="0.25">
      <c r="A64" t="s">
        <v>100</v>
      </c>
    </row>
    <row r="65" spans="1:1" x14ac:dyDescent="0.25">
      <c r="A65" t="s">
        <v>101</v>
      </c>
    </row>
    <row r="66" spans="1:1" x14ac:dyDescent="0.25">
      <c r="A66" t="s">
        <v>102</v>
      </c>
    </row>
    <row r="67" spans="1:1" x14ac:dyDescent="0.25">
      <c r="A67" t="s">
        <v>103</v>
      </c>
    </row>
    <row r="68" spans="1:1" x14ac:dyDescent="0.25">
      <c r="A68" t="s">
        <v>104</v>
      </c>
    </row>
    <row r="69" spans="1:1" x14ac:dyDescent="0.25">
      <c r="A69" t="s">
        <v>105</v>
      </c>
    </row>
    <row r="70" spans="1:1" x14ac:dyDescent="0.25">
      <c r="A70" t="s">
        <v>106</v>
      </c>
    </row>
    <row r="71" spans="1:1" x14ac:dyDescent="0.25">
      <c r="A71" t="s">
        <v>107</v>
      </c>
    </row>
    <row r="72" spans="1:1" x14ac:dyDescent="0.25">
      <c r="A72" t="s">
        <v>108</v>
      </c>
    </row>
    <row r="73" spans="1:1" x14ac:dyDescent="0.25">
      <c r="A73" t="s">
        <v>109</v>
      </c>
    </row>
    <row r="74" spans="1:1" x14ac:dyDescent="0.25">
      <c r="A74" t="s">
        <v>110</v>
      </c>
    </row>
    <row r="75" spans="1:1" x14ac:dyDescent="0.25">
      <c r="A75" t="s">
        <v>111</v>
      </c>
    </row>
    <row r="76" spans="1:1" x14ac:dyDescent="0.25">
      <c r="A76" t="s">
        <v>112</v>
      </c>
    </row>
    <row r="77" spans="1:1" x14ac:dyDescent="0.25">
      <c r="A77" t="s">
        <v>113</v>
      </c>
    </row>
    <row r="78" spans="1:1" x14ac:dyDescent="0.25">
      <c r="A78" t="s">
        <v>114</v>
      </c>
    </row>
    <row r="79" spans="1:1" x14ac:dyDescent="0.25">
      <c r="A79" t="s">
        <v>115</v>
      </c>
    </row>
    <row r="80" spans="1:1" x14ac:dyDescent="0.25">
      <c r="A80" t="s">
        <v>116</v>
      </c>
    </row>
    <row r="81" spans="1:1" x14ac:dyDescent="0.25">
      <c r="A81" t="s">
        <v>117</v>
      </c>
    </row>
    <row r="82" spans="1:1" x14ac:dyDescent="0.25">
      <c r="A82" t="s">
        <v>118</v>
      </c>
    </row>
    <row r="83" spans="1:1" x14ac:dyDescent="0.25">
      <c r="A83" t="s">
        <v>119</v>
      </c>
    </row>
    <row r="84" spans="1:1" x14ac:dyDescent="0.25">
      <c r="A84" t="s">
        <v>120</v>
      </c>
    </row>
    <row r="85" spans="1:1" x14ac:dyDescent="0.25">
      <c r="A85" t="s">
        <v>121</v>
      </c>
    </row>
    <row r="86" spans="1:1" x14ac:dyDescent="0.25">
      <c r="A86" t="s">
        <v>122</v>
      </c>
    </row>
    <row r="87" spans="1:1" x14ac:dyDescent="0.25">
      <c r="A87" t="s">
        <v>123</v>
      </c>
    </row>
    <row r="88" spans="1:1" x14ac:dyDescent="0.25">
      <c r="A88" t="s">
        <v>124</v>
      </c>
    </row>
    <row r="89" spans="1:1" x14ac:dyDescent="0.25">
      <c r="A89" t="s">
        <v>125</v>
      </c>
    </row>
    <row r="90" spans="1:1" x14ac:dyDescent="0.25">
      <c r="A90" t="s">
        <v>126</v>
      </c>
    </row>
    <row r="91" spans="1:1" x14ac:dyDescent="0.25">
      <c r="A91" t="s">
        <v>127</v>
      </c>
    </row>
    <row r="92" spans="1:1" x14ac:dyDescent="0.25">
      <c r="A92" t="s">
        <v>128</v>
      </c>
    </row>
    <row r="93" spans="1:1" x14ac:dyDescent="0.25">
      <c r="A93" t="s">
        <v>129</v>
      </c>
    </row>
    <row r="94" spans="1:1" x14ac:dyDescent="0.25">
      <c r="A94" t="s">
        <v>130</v>
      </c>
    </row>
    <row r="95" spans="1:1" x14ac:dyDescent="0.25">
      <c r="A95" t="s">
        <v>131</v>
      </c>
    </row>
    <row r="96" spans="1:1" x14ac:dyDescent="0.25">
      <c r="A96" t="s">
        <v>132</v>
      </c>
    </row>
    <row r="97" spans="1:1" x14ac:dyDescent="0.25">
      <c r="A97" t="s">
        <v>133</v>
      </c>
    </row>
    <row r="98" spans="1:1" x14ac:dyDescent="0.25">
      <c r="A98" t="s">
        <v>134</v>
      </c>
    </row>
    <row r="99" spans="1:1" x14ac:dyDescent="0.25">
      <c r="A99" t="s">
        <v>135</v>
      </c>
    </row>
    <row r="100" spans="1:1" x14ac:dyDescent="0.25">
      <c r="A100" t="s">
        <v>136</v>
      </c>
    </row>
    <row r="101" spans="1:1" x14ac:dyDescent="0.25">
      <c r="A101" t="s">
        <v>137</v>
      </c>
    </row>
    <row r="102" spans="1:1" x14ac:dyDescent="0.25">
      <c r="A102" t="s">
        <v>138</v>
      </c>
    </row>
    <row r="103" spans="1:1" x14ac:dyDescent="0.25">
      <c r="A103" t="s">
        <v>139</v>
      </c>
    </row>
    <row r="104" spans="1:1" x14ac:dyDescent="0.25">
      <c r="A104" t="s">
        <v>140</v>
      </c>
    </row>
    <row r="105" spans="1:1" x14ac:dyDescent="0.25">
      <c r="A105" t="s">
        <v>141</v>
      </c>
    </row>
    <row r="106" spans="1:1" x14ac:dyDescent="0.25">
      <c r="A106" t="s">
        <v>142</v>
      </c>
    </row>
    <row r="107" spans="1:1" x14ac:dyDescent="0.25">
      <c r="A107" t="s">
        <v>143</v>
      </c>
    </row>
    <row r="108" spans="1:1" x14ac:dyDescent="0.25">
      <c r="A108" t="s">
        <v>144</v>
      </c>
    </row>
    <row r="109" spans="1:1" x14ac:dyDescent="0.25">
      <c r="A109" t="s">
        <v>145</v>
      </c>
    </row>
    <row r="110" spans="1:1" x14ac:dyDescent="0.25">
      <c r="A110" t="s">
        <v>146</v>
      </c>
    </row>
    <row r="111" spans="1:1" x14ac:dyDescent="0.25">
      <c r="A111" t="s">
        <v>147</v>
      </c>
    </row>
    <row r="112" spans="1:1" x14ac:dyDescent="0.25">
      <c r="A112" t="s">
        <v>148</v>
      </c>
    </row>
    <row r="113" spans="1:1" x14ac:dyDescent="0.25">
      <c r="A113" t="s">
        <v>149</v>
      </c>
    </row>
    <row r="114" spans="1:1" x14ac:dyDescent="0.25">
      <c r="A114" t="s">
        <v>150</v>
      </c>
    </row>
    <row r="115" spans="1:1" x14ac:dyDescent="0.25">
      <c r="A115" t="s">
        <v>151</v>
      </c>
    </row>
    <row r="116" spans="1:1" x14ac:dyDescent="0.25">
      <c r="A116" t="s">
        <v>152</v>
      </c>
    </row>
    <row r="117" spans="1:1" x14ac:dyDescent="0.25">
      <c r="A117" t="s">
        <v>153</v>
      </c>
    </row>
    <row r="118" spans="1:1" x14ac:dyDescent="0.25">
      <c r="A118" t="s">
        <v>154</v>
      </c>
    </row>
    <row r="119" spans="1:1" x14ac:dyDescent="0.25">
      <c r="A119" t="s">
        <v>155</v>
      </c>
    </row>
    <row r="120" spans="1:1" x14ac:dyDescent="0.25">
      <c r="A120" t="s">
        <v>156</v>
      </c>
    </row>
    <row r="121" spans="1:1" x14ac:dyDescent="0.25">
      <c r="A121" t="s">
        <v>157</v>
      </c>
    </row>
    <row r="122" spans="1:1" x14ac:dyDescent="0.25">
      <c r="A122" t="s">
        <v>158</v>
      </c>
    </row>
    <row r="123" spans="1:1" x14ac:dyDescent="0.25">
      <c r="A123" t="s">
        <v>159</v>
      </c>
    </row>
    <row r="124" spans="1:1" x14ac:dyDescent="0.25">
      <c r="A124" t="s">
        <v>160</v>
      </c>
    </row>
    <row r="125" spans="1:1" x14ac:dyDescent="0.25">
      <c r="A125" t="s">
        <v>161</v>
      </c>
    </row>
    <row r="126" spans="1:1" x14ac:dyDescent="0.25">
      <c r="A126" t="s">
        <v>162</v>
      </c>
    </row>
    <row r="127" spans="1:1" x14ac:dyDescent="0.25">
      <c r="A127" t="s">
        <v>163</v>
      </c>
    </row>
    <row r="128" spans="1:1" x14ac:dyDescent="0.25">
      <c r="A128" t="s">
        <v>164</v>
      </c>
    </row>
    <row r="129" spans="1:1" x14ac:dyDescent="0.25">
      <c r="A129" t="s">
        <v>165</v>
      </c>
    </row>
    <row r="130" spans="1:1" x14ac:dyDescent="0.25">
      <c r="A130" t="s">
        <v>166</v>
      </c>
    </row>
    <row r="131" spans="1:1" x14ac:dyDescent="0.25">
      <c r="A131" t="s">
        <v>167</v>
      </c>
    </row>
    <row r="132" spans="1:1" x14ac:dyDescent="0.25">
      <c r="A132" t="s">
        <v>168</v>
      </c>
    </row>
    <row r="133" spans="1:1" x14ac:dyDescent="0.25">
      <c r="A133" t="s">
        <v>169</v>
      </c>
    </row>
    <row r="134" spans="1:1" x14ac:dyDescent="0.25">
      <c r="A134" t="s">
        <v>170</v>
      </c>
    </row>
    <row r="135" spans="1:1" x14ac:dyDescent="0.25">
      <c r="A135" t="s">
        <v>171</v>
      </c>
    </row>
    <row r="136" spans="1:1" x14ac:dyDescent="0.25">
      <c r="A136" t="s">
        <v>172</v>
      </c>
    </row>
    <row r="137" spans="1:1" x14ac:dyDescent="0.25">
      <c r="A137" t="s">
        <v>173</v>
      </c>
    </row>
    <row r="138" spans="1:1" x14ac:dyDescent="0.25">
      <c r="A138" t="s">
        <v>174</v>
      </c>
    </row>
    <row r="139" spans="1:1" x14ac:dyDescent="0.25">
      <c r="A139" t="s">
        <v>175</v>
      </c>
    </row>
    <row r="140" spans="1:1" x14ac:dyDescent="0.25">
      <c r="A140" t="s">
        <v>176</v>
      </c>
    </row>
    <row r="141" spans="1:1" x14ac:dyDescent="0.25">
      <c r="A141" t="s">
        <v>177</v>
      </c>
    </row>
    <row r="142" spans="1:1" x14ac:dyDescent="0.25">
      <c r="A142" t="s">
        <v>178</v>
      </c>
    </row>
    <row r="143" spans="1:1" x14ac:dyDescent="0.25">
      <c r="A143" t="s">
        <v>179</v>
      </c>
    </row>
    <row r="144" spans="1:1" x14ac:dyDescent="0.25">
      <c r="A144" t="s">
        <v>180</v>
      </c>
    </row>
    <row r="145" spans="1:1" x14ac:dyDescent="0.25">
      <c r="A145" t="s">
        <v>181</v>
      </c>
    </row>
    <row r="146" spans="1:1" x14ac:dyDescent="0.25">
      <c r="A146" t="s">
        <v>182</v>
      </c>
    </row>
    <row r="147" spans="1:1" x14ac:dyDescent="0.25">
      <c r="A147" t="s">
        <v>183</v>
      </c>
    </row>
    <row r="148" spans="1:1" x14ac:dyDescent="0.25">
      <c r="A148" t="s">
        <v>184</v>
      </c>
    </row>
    <row r="149" spans="1:1" x14ac:dyDescent="0.25">
      <c r="A149" t="s">
        <v>185</v>
      </c>
    </row>
    <row r="150" spans="1:1" x14ac:dyDescent="0.25">
      <c r="A150" t="s">
        <v>186</v>
      </c>
    </row>
    <row r="151" spans="1:1" x14ac:dyDescent="0.25">
      <c r="A151" t="s">
        <v>187</v>
      </c>
    </row>
    <row r="152" spans="1:1" x14ac:dyDescent="0.25">
      <c r="A152" t="s">
        <v>188</v>
      </c>
    </row>
    <row r="153" spans="1:1" x14ac:dyDescent="0.25">
      <c r="A153" t="s">
        <v>189</v>
      </c>
    </row>
    <row r="154" spans="1:1" x14ac:dyDescent="0.25">
      <c r="A154" t="s">
        <v>190</v>
      </c>
    </row>
    <row r="155" spans="1:1" x14ac:dyDescent="0.25">
      <c r="A155" t="s">
        <v>191</v>
      </c>
    </row>
    <row r="156" spans="1:1" x14ac:dyDescent="0.25">
      <c r="A156" t="s">
        <v>192</v>
      </c>
    </row>
    <row r="157" spans="1:1" x14ac:dyDescent="0.25">
      <c r="A157" t="s">
        <v>193</v>
      </c>
    </row>
    <row r="158" spans="1:1" x14ac:dyDescent="0.25">
      <c r="A158" t="s">
        <v>194</v>
      </c>
    </row>
    <row r="159" spans="1:1" x14ac:dyDescent="0.25">
      <c r="A159" t="s">
        <v>195</v>
      </c>
    </row>
    <row r="160" spans="1:1" x14ac:dyDescent="0.25">
      <c r="A160" t="s">
        <v>196</v>
      </c>
    </row>
    <row r="161" spans="1:1" x14ac:dyDescent="0.25">
      <c r="A161" t="s">
        <v>197</v>
      </c>
    </row>
    <row r="162" spans="1:1" x14ac:dyDescent="0.25">
      <c r="A162" t="s">
        <v>198</v>
      </c>
    </row>
    <row r="163" spans="1:1" x14ac:dyDescent="0.25">
      <c r="A163" t="s">
        <v>199</v>
      </c>
    </row>
    <row r="164" spans="1:1" x14ac:dyDescent="0.25">
      <c r="A164" t="s">
        <v>200</v>
      </c>
    </row>
    <row r="165" spans="1:1" x14ac:dyDescent="0.25">
      <c r="A165" t="s">
        <v>201</v>
      </c>
    </row>
    <row r="166" spans="1:1" x14ac:dyDescent="0.25">
      <c r="A166" t="s">
        <v>202</v>
      </c>
    </row>
    <row r="167" spans="1:1" x14ac:dyDescent="0.25">
      <c r="A167" t="s">
        <v>203</v>
      </c>
    </row>
    <row r="168" spans="1:1" x14ac:dyDescent="0.25">
      <c r="A168" t="s">
        <v>204</v>
      </c>
    </row>
    <row r="169" spans="1:1" x14ac:dyDescent="0.25">
      <c r="A169" t="s">
        <v>205</v>
      </c>
    </row>
    <row r="170" spans="1:1" x14ac:dyDescent="0.25">
      <c r="A170" t="s">
        <v>206</v>
      </c>
    </row>
    <row r="171" spans="1:1" x14ac:dyDescent="0.25">
      <c r="A171" t="s">
        <v>207</v>
      </c>
    </row>
    <row r="172" spans="1:1" x14ac:dyDescent="0.25">
      <c r="A172" t="s">
        <v>208</v>
      </c>
    </row>
    <row r="173" spans="1:1" x14ac:dyDescent="0.25">
      <c r="A173" t="s">
        <v>209</v>
      </c>
    </row>
    <row r="174" spans="1:1" x14ac:dyDescent="0.25">
      <c r="A174" t="s">
        <v>210</v>
      </c>
    </row>
    <row r="175" spans="1:1" x14ac:dyDescent="0.25">
      <c r="A175" t="s">
        <v>211</v>
      </c>
    </row>
    <row r="176" spans="1:1" x14ac:dyDescent="0.25">
      <c r="A176" t="s">
        <v>212</v>
      </c>
    </row>
    <row r="177" spans="1:1" x14ac:dyDescent="0.25">
      <c r="A177" t="s">
        <v>213</v>
      </c>
    </row>
    <row r="178" spans="1:1" x14ac:dyDescent="0.25">
      <c r="A178" t="s">
        <v>214</v>
      </c>
    </row>
    <row r="179" spans="1:1" x14ac:dyDescent="0.25">
      <c r="A179" t="s">
        <v>215</v>
      </c>
    </row>
    <row r="180" spans="1:1" x14ac:dyDescent="0.25">
      <c r="A180" t="s">
        <v>216</v>
      </c>
    </row>
    <row r="181" spans="1:1" x14ac:dyDescent="0.25">
      <c r="A181" t="s">
        <v>217</v>
      </c>
    </row>
    <row r="182" spans="1:1" x14ac:dyDescent="0.25">
      <c r="A182" t="s">
        <v>218</v>
      </c>
    </row>
    <row r="183" spans="1:1" x14ac:dyDescent="0.25">
      <c r="A183" t="s">
        <v>219</v>
      </c>
    </row>
    <row r="184" spans="1:1" x14ac:dyDescent="0.25">
      <c r="A184" t="s">
        <v>220</v>
      </c>
    </row>
    <row r="185" spans="1:1" x14ac:dyDescent="0.25">
      <c r="A185" t="s">
        <v>221</v>
      </c>
    </row>
    <row r="186" spans="1:1" x14ac:dyDescent="0.25">
      <c r="A186" t="s">
        <v>222</v>
      </c>
    </row>
    <row r="187" spans="1:1" x14ac:dyDescent="0.25">
      <c r="A187" t="s">
        <v>223</v>
      </c>
    </row>
    <row r="188" spans="1:1" x14ac:dyDescent="0.25">
      <c r="A188" t="s">
        <v>224</v>
      </c>
    </row>
    <row r="189" spans="1:1" x14ac:dyDescent="0.25">
      <c r="A189" t="s">
        <v>225</v>
      </c>
    </row>
    <row r="190" spans="1:1" x14ac:dyDescent="0.25">
      <c r="A190" t="s">
        <v>226</v>
      </c>
    </row>
  </sheetData>
  <sheetProtection algorithmName="SHA-512" hashValue="lI+308xk5/1n7YgkSIzBXQUMRtnv1CYkEJyP1ctfDN2wydUN9G2GgQIqsmLw26I+8Tm6Ew2Mpo3qUwjg2r6oTA==" saltValue="rhoR64HpuK6zBWikLSzJ8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x-202</v>
      </c>
      <c r="B3" s="43"/>
      <c r="C3" s="43"/>
      <c r="D3" s="43"/>
      <c r="E3" s="43"/>
      <c r="F3" s="43"/>
      <c r="G3" s="43"/>
    </row>
    <row r="4" spans="1:7" x14ac:dyDescent="0.25">
      <c r="A4" s="45"/>
    </row>
    <row r="6" spans="1:7" x14ac:dyDescent="0.25">
      <c r="A6" s="149" t="s">
        <v>558</v>
      </c>
      <c r="B6" s="110" t="s">
        <v>559</v>
      </c>
      <c r="C6" s="110"/>
      <c r="D6" s="110"/>
    </row>
    <row r="7" spans="1:7" x14ac:dyDescent="0.25">
      <c r="A7" s="73" t="s">
        <v>305</v>
      </c>
      <c r="B7" s="110" t="s">
        <v>319</v>
      </c>
      <c r="C7" s="110"/>
      <c r="D7" s="110"/>
    </row>
    <row r="8" spans="1:7" x14ac:dyDescent="0.25">
      <c r="A8" s="73" t="s">
        <v>306</v>
      </c>
      <c r="B8" s="110">
        <v>1992</v>
      </c>
      <c r="C8" s="110"/>
      <c r="D8" s="110"/>
    </row>
    <row r="9" spans="1:7" x14ac:dyDescent="0.25">
      <c r="A9" s="73" t="s">
        <v>307</v>
      </c>
      <c r="B9" s="110" t="s">
        <v>320</v>
      </c>
      <c r="C9" s="110"/>
      <c r="D9" s="110"/>
    </row>
    <row r="10" spans="1:7" ht="12.6" customHeight="1" x14ac:dyDescent="0.25">
      <c r="A10" s="73" t="s">
        <v>233</v>
      </c>
      <c r="B10" s="110" t="s">
        <v>321</v>
      </c>
      <c r="C10" s="110"/>
      <c r="D10" s="110"/>
    </row>
    <row r="11" spans="1:7" x14ac:dyDescent="0.25">
      <c r="A11" s="73" t="s">
        <v>308</v>
      </c>
      <c r="B11" s="110" t="s">
        <v>328</v>
      </c>
      <c r="C11" s="110"/>
      <c r="D11" s="110"/>
    </row>
    <row r="12" spans="1:7" ht="12.6" customHeight="1" x14ac:dyDescent="0.25">
      <c r="A12" s="73" t="s">
        <v>309</v>
      </c>
      <c r="B12" s="110" t="s">
        <v>323</v>
      </c>
      <c r="C12" s="110"/>
      <c r="D12" s="110"/>
    </row>
    <row r="13" spans="1:7" ht="12.6" customHeight="1" x14ac:dyDescent="0.25">
      <c r="A13" s="73" t="s">
        <v>566</v>
      </c>
      <c r="B13" s="110">
        <v>2</v>
      </c>
      <c r="C13" s="110"/>
      <c r="D13" s="110"/>
    </row>
    <row r="14" spans="1:7" ht="12.6" customHeight="1" x14ac:dyDescent="0.25">
      <c r="A14" s="73" t="s">
        <v>311</v>
      </c>
      <c r="B14" s="110">
        <v>202</v>
      </c>
      <c r="C14" s="110"/>
      <c r="D14" s="110"/>
    </row>
    <row r="15" spans="1:7" x14ac:dyDescent="0.25">
      <c r="A15" s="73" t="s">
        <v>569</v>
      </c>
      <c r="B15" s="110" t="s">
        <v>329</v>
      </c>
      <c r="C15" s="110"/>
      <c r="D15" s="110"/>
    </row>
    <row r="16" spans="1:7" ht="18" customHeight="1" x14ac:dyDescent="0.25">
      <c r="A16" s="73" t="s">
        <v>313</v>
      </c>
      <c r="B16" s="110" t="s">
        <v>330</v>
      </c>
      <c r="C16" s="110"/>
      <c r="D16" s="110"/>
    </row>
    <row r="17" spans="1:4" ht="76.5"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9.6" x14ac:dyDescent="0.25">
      <c r="A26" s="92" t="s">
        <v>640</v>
      </c>
      <c r="B26" s="92" t="s">
        <v>641</v>
      </c>
      <c r="C26" s="92" t="s">
        <v>642</v>
      </c>
      <c r="D26" s="92" t="s">
        <v>643</v>
      </c>
    </row>
    <row r="27" spans="1:4" x14ac:dyDescent="0.25">
      <c r="A27" s="93">
        <v>18</v>
      </c>
      <c r="B27" s="94">
        <v>10.87</v>
      </c>
      <c r="C27" s="94">
        <v>2.37</v>
      </c>
      <c r="D27" s="94">
        <v>0</v>
      </c>
    </row>
    <row r="28" spans="1:4" x14ac:dyDescent="0.25">
      <c r="A28" s="93">
        <v>19</v>
      </c>
      <c r="B28" s="94">
        <v>11.02</v>
      </c>
      <c r="C28" s="94">
        <v>2.4700000000000002</v>
      </c>
      <c r="D28" s="94">
        <v>0</v>
      </c>
    </row>
    <row r="29" spans="1:4" x14ac:dyDescent="0.25">
      <c r="A29" s="93">
        <v>20</v>
      </c>
      <c r="B29" s="94">
        <v>11.18</v>
      </c>
      <c r="C29" s="94">
        <v>2.52</v>
      </c>
      <c r="D29" s="94">
        <v>0</v>
      </c>
    </row>
    <row r="30" spans="1:4" x14ac:dyDescent="0.25">
      <c r="A30" s="93">
        <v>21</v>
      </c>
      <c r="B30" s="94">
        <v>11.34</v>
      </c>
      <c r="C30" s="94">
        <v>2.56</v>
      </c>
      <c r="D30" s="94">
        <v>0</v>
      </c>
    </row>
    <row r="31" spans="1:4" x14ac:dyDescent="0.25">
      <c r="A31" s="93">
        <v>22</v>
      </c>
      <c r="B31" s="94">
        <v>11.51</v>
      </c>
      <c r="C31" s="94">
        <v>2.6</v>
      </c>
      <c r="D31" s="94">
        <v>0</v>
      </c>
    </row>
    <row r="32" spans="1:4" x14ac:dyDescent="0.25">
      <c r="A32" s="93">
        <v>23</v>
      </c>
      <c r="B32" s="94">
        <v>11.67</v>
      </c>
      <c r="C32" s="94">
        <v>2.64</v>
      </c>
      <c r="D32" s="94">
        <v>0</v>
      </c>
    </row>
    <row r="33" spans="1:4" x14ac:dyDescent="0.25">
      <c r="A33" s="93">
        <v>24</v>
      </c>
      <c r="B33" s="94">
        <v>11.84</v>
      </c>
      <c r="C33" s="94">
        <v>2.68</v>
      </c>
      <c r="D33" s="94">
        <v>0</v>
      </c>
    </row>
    <row r="34" spans="1:4" x14ac:dyDescent="0.25">
      <c r="A34" s="93">
        <v>25</v>
      </c>
      <c r="B34" s="94">
        <v>12.01</v>
      </c>
      <c r="C34" s="94">
        <v>2.73</v>
      </c>
      <c r="D34" s="94">
        <v>0</v>
      </c>
    </row>
    <row r="35" spans="1:4" x14ac:dyDescent="0.25">
      <c r="A35" s="93">
        <v>26</v>
      </c>
      <c r="B35" s="94">
        <v>12.19</v>
      </c>
      <c r="C35" s="94">
        <v>2.77</v>
      </c>
      <c r="D35" s="94">
        <v>0</v>
      </c>
    </row>
    <row r="36" spans="1:4" x14ac:dyDescent="0.25">
      <c r="A36" s="93">
        <v>27</v>
      </c>
      <c r="B36" s="94">
        <v>12.36</v>
      </c>
      <c r="C36" s="94">
        <v>2.81</v>
      </c>
      <c r="D36" s="94">
        <v>0</v>
      </c>
    </row>
    <row r="37" spans="1:4" x14ac:dyDescent="0.25">
      <c r="A37" s="93">
        <v>28</v>
      </c>
      <c r="B37" s="94">
        <v>12.54</v>
      </c>
      <c r="C37" s="94">
        <v>2.86</v>
      </c>
      <c r="D37" s="94">
        <v>0</v>
      </c>
    </row>
    <row r="38" spans="1:4" x14ac:dyDescent="0.25">
      <c r="A38" s="93">
        <v>29</v>
      </c>
      <c r="B38" s="94">
        <v>12.73</v>
      </c>
      <c r="C38" s="94">
        <v>2.9</v>
      </c>
      <c r="D38" s="94">
        <v>0</v>
      </c>
    </row>
    <row r="39" spans="1:4" x14ac:dyDescent="0.25">
      <c r="A39" s="93">
        <v>30</v>
      </c>
      <c r="B39" s="94">
        <v>12.91</v>
      </c>
      <c r="C39" s="94">
        <v>2.94</v>
      </c>
      <c r="D39" s="94">
        <v>0</v>
      </c>
    </row>
    <row r="40" spans="1:4" x14ac:dyDescent="0.25">
      <c r="A40" s="93">
        <v>31</v>
      </c>
      <c r="B40" s="94">
        <v>13.1</v>
      </c>
      <c r="C40" s="94">
        <v>2.99</v>
      </c>
      <c r="D40" s="94">
        <v>0</v>
      </c>
    </row>
    <row r="41" spans="1:4" x14ac:dyDescent="0.25">
      <c r="A41" s="93">
        <v>32</v>
      </c>
      <c r="B41" s="94">
        <v>13.3</v>
      </c>
      <c r="C41" s="94">
        <v>3.03</v>
      </c>
      <c r="D41" s="94">
        <v>0</v>
      </c>
    </row>
    <row r="42" spans="1:4" x14ac:dyDescent="0.25">
      <c r="A42" s="93">
        <v>33</v>
      </c>
      <c r="B42" s="94">
        <v>13.49</v>
      </c>
      <c r="C42" s="94">
        <v>3.07</v>
      </c>
      <c r="D42" s="94">
        <v>0</v>
      </c>
    </row>
    <row r="43" spans="1:4" x14ac:dyDescent="0.25">
      <c r="A43" s="93">
        <v>34</v>
      </c>
      <c r="B43" s="94">
        <v>13.69</v>
      </c>
      <c r="C43" s="94">
        <v>3.11</v>
      </c>
      <c r="D43" s="94">
        <v>0</v>
      </c>
    </row>
    <row r="44" spans="1:4" x14ac:dyDescent="0.25">
      <c r="A44" s="93">
        <v>35</v>
      </c>
      <c r="B44" s="94">
        <v>13.89</v>
      </c>
      <c r="C44" s="94">
        <v>3.15</v>
      </c>
      <c r="D44" s="94">
        <v>0</v>
      </c>
    </row>
    <row r="45" spans="1:4" x14ac:dyDescent="0.25">
      <c r="A45" s="93">
        <v>36</v>
      </c>
      <c r="B45" s="94">
        <v>14.1</v>
      </c>
      <c r="C45" s="94">
        <v>3.19</v>
      </c>
      <c r="D45" s="94">
        <v>0</v>
      </c>
    </row>
    <row r="46" spans="1:4" x14ac:dyDescent="0.25">
      <c r="A46" s="93">
        <v>37</v>
      </c>
      <c r="B46" s="94">
        <v>14.31</v>
      </c>
      <c r="C46" s="94">
        <v>3.23</v>
      </c>
      <c r="D46" s="94">
        <v>0</v>
      </c>
    </row>
    <row r="47" spans="1:4" x14ac:dyDescent="0.25">
      <c r="A47" s="93">
        <v>38</v>
      </c>
      <c r="B47" s="94">
        <v>14.53</v>
      </c>
      <c r="C47" s="94">
        <v>3.27</v>
      </c>
      <c r="D47" s="94">
        <v>0</v>
      </c>
    </row>
    <row r="48" spans="1:4" x14ac:dyDescent="0.25">
      <c r="A48" s="93">
        <v>39</v>
      </c>
      <c r="B48" s="94">
        <v>14.75</v>
      </c>
      <c r="C48" s="94">
        <v>3.31</v>
      </c>
      <c r="D48" s="94">
        <v>0</v>
      </c>
    </row>
    <row r="49" spans="1:4" x14ac:dyDescent="0.25">
      <c r="A49" s="93">
        <v>40</v>
      </c>
      <c r="B49" s="94">
        <v>14.97</v>
      </c>
      <c r="C49" s="94">
        <v>3.35</v>
      </c>
      <c r="D49" s="94">
        <v>0</v>
      </c>
    </row>
    <row r="50" spans="1:4" x14ac:dyDescent="0.25">
      <c r="A50" s="93">
        <v>41</v>
      </c>
      <c r="B50" s="94">
        <v>15.2</v>
      </c>
      <c r="C50" s="94">
        <v>3.39</v>
      </c>
      <c r="D50" s="94">
        <v>0</v>
      </c>
    </row>
    <row r="51" spans="1:4" x14ac:dyDescent="0.25">
      <c r="A51" s="93">
        <v>42</v>
      </c>
      <c r="B51" s="94">
        <v>15.43</v>
      </c>
      <c r="C51" s="94">
        <v>3.43</v>
      </c>
      <c r="D51" s="94">
        <v>0</v>
      </c>
    </row>
    <row r="52" spans="1:4" x14ac:dyDescent="0.25">
      <c r="A52" s="93">
        <v>43</v>
      </c>
      <c r="B52" s="94">
        <v>15.67</v>
      </c>
      <c r="C52" s="94">
        <v>3.46</v>
      </c>
      <c r="D52" s="94">
        <v>0</v>
      </c>
    </row>
    <row r="53" spans="1:4" x14ac:dyDescent="0.25">
      <c r="A53" s="93">
        <v>44</v>
      </c>
      <c r="B53" s="94">
        <v>15.91</v>
      </c>
      <c r="C53" s="94">
        <v>3.49</v>
      </c>
      <c r="D53" s="94">
        <v>0</v>
      </c>
    </row>
    <row r="54" spans="1:4" x14ac:dyDescent="0.25">
      <c r="A54" s="93">
        <v>45</v>
      </c>
      <c r="B54" s="94">
        <v>16.16</v>
      </c>
      <c r="C54" s="94">
        <v>3.53</v>
      </c>
      <c r="D54" s="94">
        <v>0</v>
      </c>
    </row>
    <row r="55" spans="1:4" x14ac:dyDescent="0.25">
      <c r="A55" s="93">
        <v>46</v>
      </c>
      <c r="B55" s="94">
        <v>16.420000000000002</v>
      </c>
      <c r="C55" s="94">
        <v>3.56</v>
      </c>
      <c r="D55" s="94">
        <v>0</v>
      </c>
    </row>
    <row r="56" spans="1:4" x14ac:dyDescent="0.25">
      <c r="A56" s="93">
        <v>47</v>
      </c>
      <c r="B56" s="94">
        <v>16.68</v>
      </c>
      <c r="C56" s="94">
        <v>3.59</v>
      </c>
      <c r="D56" s="94">
        <v>0</v>
      </c>
    </row>
    <row r="57" spans="1:4" x14ac:dyDescent="0.25">
      <c r="A57" s="93">
        <v>48</v>
      </c>
      <c r="B57" s="94">
        <v>16.940000000000001</v>
      </c>
      <c r="C57" s="94">
        <v>3.62</v>
      </c>
      <c r="D57" s="94">
        <v>0</v>
      </c>
    </row>
    <row r="58" spans="1:4" x14ac:dyDescent="0.25">
      <c r="A58" s="93">
        <v>49</v>
      </c>
      <c r="B58" s="94">
        <v>17.22</v>
      </c>
      <c r="C58" s="94">
        <v>3.64</v>
      </c>
      <c r="D58" s="94">
        <v>0</v>
      </c>
    </row>
    <row r="59" spans="1:4" x14ac:dyDescent="0.25">
      <c r="A59" s="93">
        <v>50</v>
      </c>
      <c r="B59" s="94">
        <v>17.5</v>
      </c>
      <c r="C59" s="94">
        <v>3.67</v>
      </c>
      <c r="D59" s="94">
        <v>0</v>
      </c>
    </row>
    <row r="60" spans="1:4" x14ac:dyDescent="0.25">
      <c r="A60" s="93">
        <v>51</v>
      </c>
      <c r="B60" s="94">
        <v>17.79</v>
      </c>
      <c r="C60" s="94">
        <v>3.69</v>
      </c>
      <c r="D60" s="94">
        <v>0</v>
      </c>
    </row>
    <row r="61" spans="1:4" x14ac:dyDescent="0.25">
      <c r="A61" s="93">
        <v>52</v>
      </c>
      <c r="B61" s="94">
        <v>18.09</v>
      </c>
      <c r="C61" s="94">
        <v>3.72</v>
      </c>
      <c r="D61" s="94">
        <v>0</v>
      </c>
    </row>
    <row r="62" spans="1:4" x14ac:dyDescent="0.25">
      <c r="A62" s="93">
        <v>53</v>
      </c>
      <c r="B62" s="94">
        <v>18.39</v>
      </c>
      <c r="C62" s="94">
        <v>3.74</v>
      </c>
      <c r="D62" s="94">
        <v>0</v>
      </c>
    </row>
    <row r="63" spans="1:4" x14ac:dyDescent="0.25">
      <c r="A63" s="93">
        <v>54</v>
      </c>
      <c r="B63" s="94">
        <v>18.71</v>
      </c>
      <c r="C63" s="94">
        <v>3.76</v>
      </c>
      <c r="D63" s="94">
        <v>0</v>
      </c>
    </row>
    <row r="64" spans="1:4" x14ac:dyDescent="0.25">
      <c r="A64" s="93">
        <v>55</v>
      </c>
      <c r="B64" s="94">
        <v>19.03</v>
      </c>
      <c r="C64" s="94">
        <v>3.78</v>
      </c>
      <c r="D64" s="94">
        <v>0</v>
      </c>
    </row>
    <row r="65" spans="1:4" x14ac:dyDescent="0.25">
      <c r="A65" s="93">
        <v>56</v>
      </c>
      <c r="B65" s="94">
        <v>19.36</v>
      </c>
      <c r="C65" s="94">
        <v>3.79</v>
      </c>
      <c r="D65" s="94">
        <v>0</v>
      </c>
    </row>
    <row r="66" spans="1:4" x14ac:dyDescent="0.25">
      <c r="A66" s="93">
        <v>57</v>
      </c>
      <c r="B66" s="94">
        <v>19.71</v>
      </c>
      <c r="C66" s="94">
        <v>3.81</v>
      </c>
      <c r="D66" s="94">
        <v>0</v>
      </c>
    </row>
    <row r="67" spans="1:4" x14ac:dyDescent="0.25">
      <c r="A67" s="93">
        <v>58</v>
      </c>
      <c r="B67" s="94">
        <v>20.07</v>
      </c>
      <c r="C67" s="94">
        <v>3.82</v>
      </c>
      <c r="D67" s="94">
        <v>0</v>
      </c>
    </row>
    <row r="68" spans="1:4" x14ac:dyDescent="0.25">
      <c r="A68" s="93">
        <v>59</v>
      </c>
      <c r="B68" s="94">
        <v>20.440000000000001</v>
      </c>
      <c r="C68" s="94">
        <v>3.83</v>
      </c>
      <c r="D68" s="94">
        <v>0</v>
      </c>
    </row>
  </sheetData>
  <sheetProtection algorithmName="SHA-512" hashValue="rc0jmB8b/8NmeNPnMqNh4W0F0/0P116eUqBRTPTDsAqpPmlioRrnJas7kIezKP0VTjKZc645WUBsVidm5xlXJg==" saltValue="P9Nnrvrx5/TEYKhVIuLGkw==" spinCount="100000" sheet="1" objects="1" scenarios="1"/>
  <conditionalFormatting sqref="A6:A21">
    <cfRule type="expression" dxfId="995" priority="21" stopIfTrue="1">
      <formula>MOD(ROW(),2)=0</formula>
    </cfRule>
    <cfRule type="expression" dxfId="994" priority="22" stopIfTrue="1">
      <formula>MOD(ROW(),2)&lt;&gt;0</formula>
    </cfRule>
  </conditionalFormatting>
  <conditionalFormatting sqref="A26:A68">
    <cfRule type="expression" dxfId="993" priority="11" stopIfTrue="1">
      <formula>MOD(ROW(),2)=0</formula>
    </cfRule>
    <cfRule type="expression" dxfId="992" priority="12" stopIfTrue="1">
      <formula>MOD(ROW(),2)&lt;&gt;0</formula>
    </cfRule>
  </conditionalFormatting>
  <conditionalFormatting sqref="B6:D21 B26:D68">
    <cfRule type="expression" dxfId="991" priority="29" stopIfTrue="1">
      <formula>MOD(ROW(),2)=0</formula>
    </cfRule>
    <cfRule type="expression" dxfId="990" priority="30" stopIfTrue="1">
      <formula>MOD(ROW(),2)&lt;&gt;0</formula>
    </cfRule>
  </conditionalFormatting>
  <conditionalFormatting sqref="B17:D21">
    <cfRule type="expression" dxfId="989" priority="1" stopIfTrue="1">
      <formula>MOD(ROW(),2)=0</formula>
    </cfRule>
    <cfRule type="expression" dxfId="9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x-203</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2007</v>
      </c>
      <c r="C8" s="110"/>
    </row>
    <row r="9" spans="1:7" x14ac:dyDescent="0.25">
      <c r="A9" s="73" t="s">
        <v>307</v>
      </c>
      <c r="B9" s="110" t="s">
        <v>320</v>
      </c>
      <c r="C9" s="110"/>
    </row>
    <row r="10" spans="1:7" ht="25.2" customHeight="1" x14ac:dyDescent="0.25">
      <c r="A10" s="73" t="s">
        <v>233</v>
      </c>
      <c r="B10" s="110" t="s">
        <v>331</v>
      </c>
      <c r="C10" s="110"/>
    </row>
    <row r="11" spans="1:7" x14ac:dyDescent="0.25">
      <c r="A11" s="73" t="s">
        <v>308</v>
      </c>
      <c r="B11" s="110" t="s">
        <v>322</v>
      </c>
      <c r="C11" s="110"/>
    </row>
    <row r="12" spans="1:7" ht="12.6" customHeight="1" x14ac:dyDescent="0.25">
      <c r="A12" s="73" t="s">
        <v>309</v>
      </c>
      <c r="B12" s="110" t="s">
        <v>323</v>
      </c>
      <c r="C12" s="110"/>
    </row>
    <row r="13" spans="1:7" ht="12.6" customHeight="1" x14ac:dyDescent="0.25">
      <c r="A13" s="73" t="s">
        <v>566</v>
      </c>
      <c r="B13" s="110">
        <v>1</v>
      </c>
      <c r="C13" s="110"/>
    </row>
    <row r="14" spans="1:7" ht="12.6" customHeight="1" x14ac:dyDescent="0.25">
      <c r="A14" s="73" t="s">
        <v>311</v>
      </c>
      <c r="B14" s="110">
        <v>203</v>
      </c>
      <c r="C14" s="110"/>
    </row>
    <row r="15" spans="1:7" x14ac:dyDescent="0.25">
      <c r="A15" s="73" t="s">
        <v>569</v>
      </c>
      <c r="B15" s="110" t="s">
        <v>332</v>
      </c>
      <c r="C15" s="110"/>
    </row>
    <row r="16" spans="1:7" x14ac:dyDescent="0.25">
      <c r="A16" s="73" t="s">
        <v>313</v>
      </c>
      <c r="B16" s="110" t="s">
        <v>325</v>
      </c>
      <c r="C16" s="110"/>
    </row>
    <row r="17" spans="1:4" ht="90.6" customHeight="1" x14ac:dyDescent="0.25">
      <c r="A17" s="73" t="s">
        <v>639</v>
      </c>
      <c r="B17" s="110"/>
      <c r="C17" s="110"/>
      <c r="D17" s="74"/>
    </row>
    <row r="18" spans="1:4" x14ac:dyDescent="0.25">
      <c r="A18" s="73" t="s">
        <v>315</v>
      </c>
      <c r="B18" s="150">
        <v>45070</v>
      </c>
      <c r="C18" s="110"/>
    </row>
    <row r="19" spans="1:4" x14ac:dyDescent="0.25">
      <c r="A19" s="73" t="s">
        <v>316</v>
      </c>
      <c r="B19" s="150">
        <v>45014</v>
      </c>
      <c r="C19" s="110"/>
    </row>
    <row r="20" spans="1:4" x14ac:dyDescent="0.25">
      <c r="A20" s="73" t="s">
        <v>317</v>
      </c>
      <c r="B20" s="110" t="s">
        <v>326</v>
      </c>
      <c r="C20" s="110"/>
    </row>
    <row r="21" spans="1:4" x14ac:dyDescent="0.25">
      <c r="A21" s="73" t="s">
        <v>318</v>
      </c>
      <c r="B21" s="110" t="s">
        <v>327</v>
      </c>
      <c r="C21" s="110"/>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2" t="s">
        <v>640</v>
      </c>
      <c r="B26" s="92" t="s">
        <v>641</v>
      </c>
      <c r="C26" s="92" t="s">
        <v>644</v>
      </c>
    </row>
    <row r="27" spans="1:4" x14ac:dyDescent="0.25">
      <c r="A27" s="93">
        <v>18</v>
      </c>
      <c r="B27" s="94">
        <v>8.64</v>
      </c>
      <c r="C27" s="94">
        <v>2.56</v>
      </c>
    </row>
    <row r="28" spans="1:4" x14ac:dyDescent="0.25">
      <c r="A28" s="93">
        <v>19</v>
      </c>
      <c r="B28" s="94">
        <v>8.76</v>
      </c>
      <c r="C28" s="94">
        <v>2.68</v>
      </c>
    </row>
    <row r="29" spans="1:4" x14ac:dyDescent="0.25">
      <c r="A29" s="93">
        <v>20</v>
      </c>
      <c r="B29" s="94">
        <v>8.8800000000000008</v>
      </c>
      <c r="C29" s="94">
        <v>2.72</v>
      </c>
    </row>
    <row r="30" spans="1:4" x14ac:dyDescent="0.25">
      <c r="A30" s="93">
        <v>21</v>
      </c>
      <c r="B30" s="94">
        <v>9</v>
      </c>
      <c r="C30" s="94">
        <v>2.77</v>
      </c>
    </row>
    <row r="31" spans="1:4" x14ac:dyDescent="0.25">
      <c r="A31" s="93">
        <v>22</v>
      </c>
      <c r="B31" s="94">
        <v>9.1300000000000008</v>
      </c>
      <c r="C31" s="94">
        <v>2.81</v>
      </c>
    </row>
    <row r="32" spans="1:4" x14ac:dyDescent="0.25">
      <c r="A32" s="93">
        <v>23</v>
      </c>
      <c r="B32" s="94">
        <v>9.25</v>
      </c>
      <c r="C32" s="94">
        <v>2.86</v>
      </c>
    </row>
    <row r="33" spans="1:3" x14ac:dyDescent="0.25">
      <c r="A33" s="93">
        <v>24</v>
      </c>
      <c r="B33" s="94">
        <v>9.3800000000000008</v>
      </c>
      <c r="C33" s="94">
        <v>2.91</v>
      </c>
    </row>
    <row r="34" spans="1:3" x14ac:dyDescent="0.25">
      <c r="A34" s="93">
        <v>25</v>
      </c>
      <c r="B34" s="94">
        <v>9.51</v>
      </c>
      <c r="C34" s="94">
        <v>2.95</v>
      </c>
    </row>
    <row r="35" spans="1:3" x14ac:dyDescent="0.25">
      <c r="A35" s="93">
        <v>26</v>
      </c>
      <c r="B35" s="94">
        <v>9.65</v>
      </c>
      <c r="C35" s="94">
        <v>3</v>
      </c>
    </row>
    <row r="36" spans="1:3" x14ac:dyDescent="0.25">
      <c r="A36" s="93">
        <v>27</v>
      </c>
      <c r="B36" s="94">
        <v>9.7799999999999994</v>
      </c>
      <c r="C36" s="94">
        <v>3.05</v>
      </c>
    </row>
    <row r="37" spans="1:3" x14ac:dyDescent="0.25">
      <c r="A37" s="93">
        <v>28</v>
      </c>
      <c r="B37" s="94">
        <v>9.92</v>
      </c>
      <c r="C37" s="94">
        <v>3.1</v>
      </c>
    </row>
    <row r="38" spans="1:3" x14ac:dyDescent="0.25">
      <c r="A38" s="93">
        <v>29</v>
      </c>
      <c r="B38" s="94">
        <v>10.050000000000001</v>
      </c>
      <c r="C38" s="94">
        <v>3.14</v>
      </c>
    </row>
    <row r="39" spans="1:3" x14ac:dyDescent="0.25">
      <c r="A39" s="93">
        <v>30</v>
      </c>
      <c r="B39" s="94">
        <v>10.199999999999999</v>
      </c>
      <c r="C39" s="94">
        <v>3.19</v>
      </c>
    </row>
    <row r="40" spans="1:3" x14ac:dyDescent="0.25">
      <c r="A40" s="93">
        <v>31</v>
      </c>
      <c r="B40" s="94">
        <v>10.34</v>
      </c>
      <c r="C40" s="94">
        <v>3.24</v>
      </c>
    </row>
    <row r="41" spans="1:3" x14ac:dyDescent="0.25">
      <c r="A41" s="93">
        <v>32</v>
      </c>
      <c r="B41" s="94">
        <v>10.49</v>
      </c>
      <c r="C41" s="94">
        <v>3.28</v>
      </c>
    </row>
    <row r="42" spans="1:3" x14ac:dyDescent="0.25">
      <c r="A42" s="93">
        <v>33</v>
      </c>
      <c r="B42" s="94">
        <v>10.63</v>
      </c>
      <c r="C42" s="94">
        <v>3.33</v>
      </c>
    </row>
    <row r="43" spans="1:3" x14ac:dyDescent="0.25">
      <c r="A43" s="93">
        <v>34</v>
      </c>
      <c r="B43" s="94">
        <v>10.78</v>
      </c>
      <c r="C43" s="94">
        <v>3.38</v>
      </c>
    </row>
    <row r="44" spans="1:3" x14ac:dyDescent="0.25">
      <c r="A44" s="93">
        <v>35</v>
      </c>
      <c r="B44" s="94">
        <v>10.94</v>
      </c>
      <c r="C44" s="94">
        <v>3.42</v>
      </c>
    </row>
    <row r="45" spans="1:3" x14ac:dyDescent="0.25">
      <c r="A45" s="93">
        <v>36</v>
      </c>
      <c r="B45" s="94">
        <v>11.09</v>
      </c>
      <c r="C45" s="94">
        <v>3.47</v>
      </c>
    </row>
    <row r="46" spans="1:3" x14ac:dyDescent="0.25">
      <c r="A46" s="93">
        <v>37</v>
      </c>
      <c r="B46" s="94">
        <v>11.25</v>
      </c>
      <c r="C46" s="94">
        <v>3.51</v>
      </c>
    </row>
    <row r="47" spans="1:3" x14ac:dyDescent="0.25">
      <c r="A47" s="93">
        <v>38</v>
      </c>
      <c r="B47" s="94">
        <v>11.42</v>
      </c>
      <c r="C47" s="94">
        <v>3.55</v>
      </c>
    </row>
    <row r="48" spans="1:3" x14ac:dyDescent="0.25">
      <c r="A48" s="93">
        <v>39</v>
      </c>
      <c r="B48" s="94">
        <v>11.58</v>
      </c>
      <c r="C48" s="94">
        <v>3.6</v>
      </c>
    </row>
    <row r="49" spans="1:3" x14ac:dyDescent="0.25">
      <c r="A49" s="93">
        <v>40</v>
      </c>
      <c r="B49" s="94">
        <v>11.75</v>
      </c>
      <c r="C49" s="94">
        <v>3.64</v>
      </c>
    </row>
    <row r="50" spans="1:3" x14ac:dyDescent="0.25">
      <c r="A50" s="93">
        <v>41</v>
      </c>
      <c r="B50" s="94">
        <v>11.92</v>
      </c>
      <c r="C50" s="94">
        <v>3.68</v>
      </c>
    </row>
    <row r="51" spans="1:3" x14ac:dyDescent="0.25">
      <c r="A51" s="93">
        <v>42</v>
      </c>
      <c r="B51" s="94">
        <v>12.09</v>
      </c>
      <c r="C51" s="94">
        <v>3.72</v>
      </c>
    </row>
    <row r="52" spans="1:3" x14ac:dyDescent="0.25">
      <c r="A52" s="93">
        <v>43</v>
      </c>
      <c r="B52" s="94">
        <v>12.27</v>
      </c>
      <c r="C52" s="94">
        <v>3.76</v>
      </c>
    </row>
    <row r="53" spans="1:3" x14ac:dyDescent="0.25">
      <c r="A53" s="93">
        <v>44</v>
      </c>
      <c r="B53" s="94">
        <v>12.46</v>
      </c>
      <c r="C53" s="94">
        <v>3.8</v>
      </c>
    </row>
    <row r="54" spans="1:3" x14ac:dyDescent="0.25">
      <c r="A54" s="93">
        <v>45</v>
      </c>
      <c r="B54" s="94">
        <v>12.64</v>
      </c>
      <c r="C54" s="94">
        <v>3.84</v>
      </c>
    </row>
    <row r="55" spans="1:3" x14ac:dyDescent="0.25">
      <c r="A55" s="93">
        <v>46</v>
      </c>
      <c r="B55" s="94">
        <v>12.83</v>
      </c>
      <c r="C55" s="94">
        <v>3.87</v>
      </c>
    </row>
    <row r="56" spans="1:3" x14ac:dyDescent="0.25">
      <c r="A56" s="93">
        <v>47</v>
      </c>
      <c r="B56" s="94">
        <v>13.03</v>
      </c>
      <c r="C56" s="94">
        <v>3.9</v>
      </c>
    </row>
    <row r="57" spans="1:3" x14ac:dyDescent="0.25">
      <c r="A57" s="93">
        <v>48</v>
      </c>
      <c r="B57" s="94">
        <v>13.23</v>
      </c>
      <c r="C57" s="94">
        <v>3.94</v>
      </c>
    </row>
    <row r="58" spans="1:3" x14ac:dyDescent="0.25">
      <c r="A58" s="93">
        <v>49</v>
      </c>
      <c r="B58" s="94">
        <v>13.44</v>
      </c>
      <c r="C58" s="94">
        <v>3.97</v>
      </c>
    </row>
    <row r="59" spans="1:3" x14ac:dyDescent="0.25">
      <c r="A59" s="93">
        <v>50</v>
      </c>
      <c r="B59" s="94">
        <v>13.65</v>
      </c>
      <c r="C59" s="94">
        <v>4</v>
      </c>
    </row>
    <row r="60" spans="1:3" x14ac:dyDescent="0.25">
      <c r="A60" s="93">
        <v>51</v>
      </c>
      <c r="B60" s="94">
        <v>13.86</v>
      </c>
      <c r="C60" s="94">
        <v>4.0199999999999996</v>
      </c>
    </row>
    <row r="61" spans="1:3" x14ac:dyDescent="0.25">
      <c r="A61" s="93">
        <v>52</v>
      </c>
      <c r="B61" s="94">
        <v>14.08</v>
      </c>
      <c r="C61" s="94">
        <v>4.05</v>
      </c>
    </row>
    <row r="62" spans="1:3" x14ac:dyDescent="0.25">
      <c r="A62" s="93">
        <v>53</v>
      </c>
      <c r="B62" s="94">
        <v>14.31</v>
      </c>
      <c r="C62" s="94">
        <v>4.07</v>
      </c>
    </row>
    <row r="63" spans="1:3" x14ac:dyDescent="0.25">
      <c r="A63" s="93">
        <v>54</v>
      </c>
      <c r="B63" s="94">
        <v>14.55</v>
      </c>
      <c r="C63" s="94">
        <v>4.0999999999999996</v>
      </c>
    </row>
    <row r="64" spans="1:3" x14ac:dyDescent="0.25">
      <c r="A64" s="93">
        <v>55</v>
      </c>
      <c r="B64" s="94">
        <v>14.79</v>
      </c>
      <c r="C64" s="94">
        <v>4.12</v>
      </c>
    </row>
    <row r="65" spans="1:3" x14ac:dyDescent="0.25">
      <c r="A65" s="93">
        <v>56</v>
      </c>
      <c r="B65" s="94">
        <v>15.04</v>
      </c>
      <c r="C65" s="94">
        <v>4.13</v>
      </c>
    </row>
    <row r="66" spans="1:3" x14ac:dyDescent="0.25">
      <c r="A66" s="93">
        <v>57</v>
      </c>
      <c r="B66" s="94">
        <v>15.3</v>
      </c>
      <c r="C66" s="94">
        <v>4.1500000000000004</v>
      </c>
    </row>
    <row r="67" spans="1:3" x14ac:dyDescent="0.25">
      <c r="A67" s="93">
        <v>58</v>
      </c>
      <c r="B67" s="94">
        <v>15.56</v>
      </c>
      <c r="C67" s="94">
        <v>4.16</v>
      </c>
    </row>
    <row r="68" spans="1:3" x14ac:dyDescent="0.25">
      <c r="A68" s="93">
        <v>59</v>
      </c>
      <c r="B68" s="94">
        <v>15.84</v>
      </c>
      <c r="C68" s="94">
        <v>4.17</v>
      </c>
    </row>
    <row r="69" spans="1:3" x14ac:dyDescent="0.25">
      <c r="A69" s="93">
        <v>60</v>
      </c>
      <c r="B69" s="94">
        <v>16.13</v>
      </c>
      <c r="C69" s="94">
        <v>4.18</v>
      </c>
    </row>
    <row r="70" spans="1:3" x14ac:dyDescent="0.25">
      <c r="A70" s="93">
        <v>61</v>
      </c>
      <c r="B70" s="94">
        <v>16.43</v>
      </c>
      <c r="C70" s="94">
        <v>4.18</v>
      </c>
    </row>
    <row r="71" spans="1:3" x14ac:dyDescent="0.25">
      <c r="A71" s="93">
        <v>62</v>
      </c>
      <c r="B71" s="94">
        <v>16.75</v>
      </c>
      <c r="C71" s="94">
        <v>4.18</v>
      </c>
    </row>
    <row r="72" spans="1:3" x14ac:dyDescent="0.25">
      <c r="A72" s="93">
        <v>63</v>
      </c>
      <c r="B72" s="94">
        <v>17.079999999999998</v>
      </c>
      <c r="C72" s="94">
        <v>4.17</v>
      </c>
    </row>
    <row r="73" spans="1:3" x14ac:dyDescent="0.25">
      <c r="A73" s="93">
        <v>64</v>
      </c>
      <c r="B73" s="94">
        <v>17.43</v>
      </c>
      <c r="C73" s="94">
        <v>4.16</v>
      </c>
    </row>
  </sheetData>
  <sheetProtection algorithmName="SHA-512" hashValue="BLMClqWAwa+GSEscU3xXeFjGjY8qjBM5YhjMXUBtQLFSiajCNTRajgIawbKpoHb7UAs3B8WYYQiTTVETBNIhew==" saltValue="Kf92RdFKv4FUeFDcQ8C/uA==" spinCount="100000" sheet="1" objects="1" scenarios="1"/>
  <conditionalFormatting sqref="A6:A21">
    <cfRule type="expression" dxfId="987" priority="19" stopIfTrue="1">
      <formula>MOD(ROW(),2)=0</formula>
    </cfRule>
    <cfRule type="expression" dxfId="986" priority="20" stopIfTrue="1">
      <formula>MOD(ROW(),2)&lt;&gt;0</formula>
    </cfRule>
  </conditionalFormatting>
  <conditionalFormatting sqref="A26:A73">
    <cfRule type="expression" dxfId="985" priority="7" stopIfTrue="1">
      <formula>MOD(ROW(),2)=0</formula>
    </cfRule>
    <cfRule type="expression" dxfId="984" priority="8" stopIfTrue="1">
      <formula>MOD(ROW(),2)&lt;&gt;0</formula>
    </cfRule>
  </conditionalFormatting>
  <conditionalFormatting sqref="B6:C21">
    <cfRule type="expression" dxfId="983" priority="27" stopIfTrue="1">
      <formula>MOD(ROW(),2)=0</formula>
    </cfRule>
    <cfRule type="expression" dxfId="982" priority="28" stopIfTrue="1">
      <formula>MOD(ROW(),2)&lt;&gt;0</formula>
    </cfRule>
  </conditionalFormatting>
  <conditionalFormatting sqref="B11:C21">
    <cfRule type="expression" dxfId="981" priority="1" stopIfTrue="1">
      <formula>MOD(ROW(),2)=0</formula>
    </cfRule>
    <cfRule type="expression" dxfId="980" priority="2" stopIfTrue="1">
      <formula>MOD(ROW(),2)&lt;&gt;0</formula>
    </cfRule>
  </conditionalFormatting>
  <conditionalFormatting sqref="B26:C73">
    <cfRule type="expression" dxfId="979" priority="9" stopIfTrue="1">
      <formula>MOD(ROW(),2)=0</formula>
    </cfRule>
    <cfRule type="expression" dxfId="97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4.21875" style="27" customWidth="1"/>
    <col min="3" max="3" width="23.4414062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x-204</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2007</v>
      </c>
      <c r="C8" s="110"/>
    </row>
    <row r="9" spans="1:7" x14ac:dyDescent="0.25">
      <c r="A9" s="73" t="s">
        <v>307</v>
      </c>
      <c r="B9" s="110" t="s">
        <v>320</v>
      </c>
      <c r="C9" s="110"/>
    </row>
    <row r="10" spans="1:7" ht="25.2" customHeight="1" x14ac:dyDescent="0.25">
      <c r="A10" s="73" t="s">
        <v>233</v>
      </c>
      <c r="B10" s="110" t="s">
        <v>333</v>
      </c>
      <c r="C10" s="110"/>
    </row>
    <row r="11" spans="1:7" x14ac:dyDescent="0.25">
      <c r="A11" s="73" t="s">
        <v>308</v>
      </c>
      <c r="B11" s="110" t="s">
        <v>328</v>
      </c>
      <c r="C11" s="110"/>
    </row>
    <row r="12" spans="1:7" ht="12.6" customHeight="1" x14ac:dyDescent="0.25">
      <c r="A12" s="73" t="s">
        <v>309</v>
      </c>
      <c r="B12" s="110" t="s">
        <v>323</v>
      </c>
      <c r="C12" s="110"/>
    </row>
    <row r="13" spans="1:7" ht="12.6" customHeight="1" x14ac:dyDescent="0.25">
      <c r="A13" s="73" t="s">
        <v>566</v>
      </c>
      <c r="B13" s="110">
        <v>1</v>
      </c>
      <c r="C13" s="110"/>
    </row>
    <row r="14" spans="1:7" ht="12.6" customHeight="1" x14ac:dyDescent="0.25">
      <c r="A14" s="73" t="s">
        <v>311</v>
      </c>
      <c r="B14" s="110">
        <v>204</v>
      </c>
      <c r="C14" s="110"/>
    </row>
    <row r="15" spans="1:7" x14ac:dyDescent="0.25">
      <c r="A15" s="73" t="s">
        <v>569</v>
      </c>
      <c r="B15" s="110" t="s">
        <v>334</v>
      </c>
      <c r="C15" s="110"/>
    </row>
    <row r="16" spans="1:7" x14ac:dyDescent="0.25">
      <c r="A16" s="73" t="s">
        <v>313</v>
      </c>
      <c r="B16" s="110" t="s">
        <v>330</v>
      </c>
      <c r="C16" s="110"/>
    </row>
    <row r="17" spans="1:3" ht="76.2"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641</v>
      </c>
      <c r="C26" s="92" t="s">
        <v>644</v>
      </c>
    </row>
    <row r="27" spans="1:3" x14ac:dyDescent="0.25">
      <c r="A27" s="93">
        <v>18</v>
      </c>
      <c r="B27" s="94">
        <v>8.64</v>
      </c>
      <c r="C27" s="94">
        <v>2.56</v>
      </c>
    </row>
    <row r="28" spans="1:3" x14ac:dyDescent="0.25">
      <c r="A28" s="93">
        <v>19</v>
      </c>
      <c r="B28" s="94">
        <v>8.76</v>
      </c>
      <c r="C28" s="94">
        <v>2.68</v>
      </c>
    </row>
    <row r="29" spans="1:3" x14ac:dyDescent="0.25">
      <c r="A29" s="93">
        <v>20</v>
      </c>
      <c r="B29" s="94">
        <v>8.8800000000000008</v>
      </c>
      <c r="C29" s="94">
        <v>2.72</v>
      </c>
    </row>
    <row r="30" spans="1:3" x14ac:dyDescent="0.25">
      <c r="A30" s="93">
        <v>21</v>
      </c>
      <c r="B30" s="94">
        <v>9</v>
      </c>
      <c r="C30" s="94">
        <v>2.77</v>
      </c>
    </row>
    <row r="31" spans="1:3" x14ac:dyDescent="0.25">
      <c r="A31" s="93">
        <v>22</v>
      </c>
      <c r="B31" s="94">
        <v>9.1300000000000008</v>
      </c>
      <c r="C31" s="94">
        <v>2.81</v>
      </c>
    </row>
    <row r="32" spans="1:3" x14ac:dyDescent="0.25">
      <c r="A32" s="93">
        <v>23</v>
      </c>
      <c r="B32" s="94">
        <v>9.25</v>
      </c>
      <c r="C32" s="94">
        <v>2.86</v>
      </c>
    </row>
    <row r="33" spans="1:3" x14ac:dyDescent="0.25">
      <c r="A33" s="93">
        <v>24</v>
      </c>
      <c r="B33" s="94">
        <v>9.3800000000000008</v>
      </c>
      <c r="C33" s="94">
        <v>2.91</v>
      </c>
    </row>
    <row r="34" spans="1:3" x14ac:dyDescent="0.25">
      <c r="A34" s="93">
        <v>25</v>
      </c>
      <c r="B34" s="94">
        <v>9.51</v>
      </c>
      <c r="C34" s="94">
        <v>2.95</v>
      </c>
    </row>
    <row r="35" spans="1:3" x14ac:dyDescent="0.25">
      <c r="A35" s="93">
        <v>26</v>
      </c>
      <c r="B35" s="94">
        <v>9.65</v>
      </c>
      <c r="C35" s="94">
        <v>3</v>
      </c>
    </row>
    <row r="36" spans="1:3" x14ac:dyDescent="0.25">
      <c r="A36" s="93">
        <v>27</v>
      </c>
      <c r="B36" s="94">
        <v>9.7799999999999994</v>
      </c>
      <c r="C36" s="94">
        <v>3.05</v>
      </c>
    </row>
    <row r="37" spans="1:3" x14ac:dyDescent="0.25">
      <c r="A37" s="93">
        <v>28</v>
      </c>
      <c r="B37" s="94">
        <v>9.92</v>
      </c>
      <c r="C37" s="94">
        <v>3.1</v>
      </c>
    </row>
    <row r="38" spans="1:3" x14ac:dyDescent="0.25">
      <c r="A38" s="93">
        <v>29</v>
      </c>
      <c r="B38" s="94">
        <v>10.050000000000001</v>
      </c>
      <c r="C38" s="94">
        <v>3.14</v>
      </c>
    </row>
    <row r="39" spans="1:3" x14ac:dyDescent="0.25">
      <c r="A39" s="93">
        <v>30</v>
      </c>
      <c r="B39" s="94">
        <v>10.199999999999999</v>
      </c>
      <c r="C39" s="94">
        <v>3.19</v>
      </c>
    </row>
    <row r="40" spans="1:3" x14ac:dyDescent="0.25">
      <c r="A40" s="93">
        <v>31</v>
      </c>
      <c r="B40" s="94">
        <v>10.34</v>
      </c>
      <c r="C40" s="94">
        <v>3.24</v>
      </c>
    </row>
    <row r="41" spans="1:3" x14ac:dyDescent="0.25">
      <c r="A41" s="93">
        <v>32</v>
      </c>
      <c r="B41" s="94">
        <v>10.49</v>
      </c>
      <c r="C41" s="94">
        <v>3.28</v>
      </c>
    </row>
    <row r="42" spans="1:3" x14ac:dyDescent="0.25">
      <c r="A42" s="93">
        <v>33</v>
      </c>
      <c r="B42" s="94">
        <v>10.63</v>
      </c>
      <c r="C42" s="94">
        <v>3.33</v>
      </c>
    </row>
    <row r="43" spans="1:3" x14ac:dyDescent="0.25">
      <c r="A43" s="93">
        <v>34</v>
      </c>
      <c r="B43" s="94">
        <v>10.78</v>
      </c>
      <c r="C43" s="94">
        <v>3.38</v>
      </c>
    </row>
    <row r="44" spans="1:3" x14ac:dyDescent="0.25">
      <c r="A44" s="93">
        <v>35</v>
      </c>
      <c r="B44" s="94">
        <v>10.94</v>
      </c>
      <c r="C44" s="94">
        <v>3.42</v>
      </c>
    </row>
    <row r="45" spans="1:3" x14ac:dyDescent="0.25">
      <c r="A45" s="93">
        <v>36</v>
      </c>
      <c r="B45" s="94">
        <v>11.09</v>
      </c>
      <c r="C45" s="94">
        <v>3.47</v>
      </c>
    </row>
    <row r="46" spans="1:3" x14ac:dyDescent="0.25">
      <c r="A46" s="93">
        <v>37</v>
      </c>
      <c r="B46" s="94">
        <v>11.25</v>
      </c>
      <c r="C46" s="94">
        <v>3.51</v>
      </c>
    </row>
    <row r="47" spans="1:3" x14ac:dyDescent="0.25">
      <c r="A47" s="93">
        <v>38</v>
      </c>
      <c r="B47" s="94">
        <v>11.42</v>
      </c>
      <c r="C47" s="94">
        <v>3.55</v>
      </c>
    </row>
    <row r="48" spans="1:3" x14ac:dyDescent="0.25">
      <c r="A48" s="93">
        <v>39</v>
      </c>
      <c r="B48" s="94">
        <v>11.58</v>
      </c>
      <c r="C48" s="94">
        <v>3.6</v>
      </c>
    </row>
    <row r="49" spans="1:3" x14ac:dyDescent="0.25">
      <c r="A49" s="93">
        <v>40</v>
      </c>
      <c r="B49" s="94">
        <v>11.75</v>
      </c>
      <c r="C49" s="94">
        <v>3.64</v>
      </c>
    </row>
    <row r="50" spans="1:3" x14ac:dyDescent="0.25">
      <c r="A50" s="93">
        <v>41</v>
      </c>
      <c r="B50" s="94">
        <v>11.92</v>
      </c>
      <c r="C50" s="94">
        <v>3.68</v>
      </c>
    </row>
    <row r="51" spans="1:3" x14ac:dyDescent="0.25">
      <c r="A51" s="93">
        <v>42</v>
      </c>
      <c r="B51" s="94">
        <v>12.09</v>
      </c>
      <c r="C51" s="94">
        <v>3.72</v>
      </c>
    </row>
    <row r="52" spans="1:3" x14ac:dyDescent="0.25">
      <c r="A52" s="93">
        <v>43</v>
      </c>
      <c r="B52" s="94">
        <v>12.27</v>
      </c>
      <c r="C52" s="94">
        <v>3.76</v>
      </c>
    </row>
    <row r="53" spans="1:3" x14ac:dyDescent="0.25">
      <c r="A53" s="93">
        <v>44</v>
      </c>
      <c r="B53" s="94">
        <v>12.46</v>
      </c>
      <c r="C53" s="94">
        <v>3.8</v>
      </c>
    </row>
    <row r="54" spans="1:3" x14ac:dyDescent="0.25">
      <c r="A54" s="93">
        <v>45</v>
      </c>
      <c r="B54" s="94">
        <v>12.64</v>
      </c>
      <c r="C54" s="94">
        <v>3.84</v>
      </c>
    </row>
    <row r="55" spans="1:3" x14ac:dyDescent="0.25">
      <c r="A55" s="93">
        <v>46</v>
      </c>
      <c r="B55" s="94">
        <v>12.83</v>
      </c>
      <c r="C55" s="94">
        <v>3.87</v>
      </c>
    </row>
    <row r="56" spans="1:3" x14ac:dyDescent="0.25">
      <c r="A56" s="93">
        <v>47</v>
      </c>
      <c r="B56" s="94">
        <v>13.03</v>
      </c>
      <c r="C56" s="94">
        <v>3.9</v>
      </c>
    </row>
    <row r="57" spans="1:3" x14ac:dyDescent="0.25">
      <c r="A57" s="93">
        <v>48</v>
      </c>
      <c r="B57" s="94">
        <v>13.23</v>
      </c>
      <c r="C57" s="94">
        <v>3.94</v>
      </c>
    </row>
    <row r="58" spans="1:3" x14ac:dyDescent="0.25">
      <c r="A58" s="93">
        <v>49</v>
      </c>
      <c r="B58" s="94">
        <v>13.44</v>
      </c>
      <c r="C58" s="94">
        <v>3.97</v>
      </c>
    </row>
    <row r="59" spans="1:3" x14ac:dyDescent="0.25">
      <c r="A59" s="93">
        <v>50</v>
      </c>
      <c r="B59" s="94">
        <v>13.65</v>
      </c>
      <c r="C59" s="94">
        <v>4</v>
      </c>
    </row>
    <row r="60" spans="1:3" x14ac:dyDescent="0.25">
      <c r="A60" s="93">
        <v>51</v>
      </c>
      <c r="B60" s="94">
        <v>13.86</v>
      </c>
      <c r="C60" s="94">
        <v>4.0199999999999996</v>
      </c>
    </row>
    <row r="61" spans="1:3" x14ac:dyDescent="0.25">
      <c r="A61" s="93">
        <v>52</v>
      </c>
      <c r="B61" s="94">
        <v>14.08</v>
      </c>
      <c r="C61" s="94">
        <v>4.05</v>
      </c>
    </row>
    <row r="62" spans="1:3" x14ac:dyDescent="0.25">
      <c r="A62" s="93">
        <v>53</v>
      </c>
      <c r="B62" s="94">
        <v>14.31</v>
      </c>
      <c r="C62" s="94">
        <v>4.07</v>
      </c>
    </row>
    <row r="63" spans="1:3" x14ac:dyDescent="0.25">
      <c r="A63" s="93">
        <v>54</v>
      </c>
      <c r="B63" s="94">
        <v>14.55</v>
      </c>
      <c r="C63" s="94">
        <v>4.0999999999999996</v>
      </c>
    </row>
    <row r="64" spans="1:3" x14ac:dyDescent="0.25">
      <c r="A64" s="93">
        <v>55</v>
      </c>
      <c r="B64" s="94">
        <v>14.79</v>
      </c>
      <c r="C64" s="94">
        <v>4.12</v>
      </c>
    </row>
    <row r="65" spans="1:3" x14ac:dyDescent="0.25">
      <c r="A65" s="93">
        <v>56</v>
      </c>
      <c r="B65" s="94">
        <v>15.04</v>
      </c>
      <c r="C65" s="94">
        <v>4.13</v>
      </c>
    </row>
    <row r="66" spans="1:3" x14ac:dyDescent="0.25">
      <c r="A66" s="93">
        <v>57</v>
      </c>
      <c r="B66" s="94">
        <v>15.3</v>
      </c>
      <c r="C66" s="94">
        <v>4.1500000000000004</v>
      </c>
    </row>
    <row r="67" spans="1:3" x14ac:dyDescent="0.25">
      <c r="A67" s="93">
        <v>58</v>
      </c>
      <c r="B67" s="94">
        <v>15.56</v>
      </c>
      <c r="C67" s="94">
        <v>4.16</v>
      </c>
    </row>
    <row r="68" spans="1:3" x14ac:dyDescent="0.25">
      <c r="A68" s="93">
        <v>59</v>
      </c>
      <c r="B68" s="94">
        <v>15.84</v>
      </c>
      <c r="C68" s="94">
        <v>4.17</v>
      </c>
    </row>
  </sheetData>
  <sheetProtection algorithmName="SHA-512" hashValue="T9DZdZ085njgtCy30FAaYxxxj0wQ47/Vgtf5/7IlQP+91zP56sz2UNZ6zbRXb4Vfoah9iIu+vX4BviMQzlFDwA==" saltValue="38Kg44G/4cWdktUPQHAqLg==" spinCount="100000" sheet="1" objects="1" scenarios="1"/>
  <conditionalFormatting sqref="A6:A21">
    <cfRule type="expression" dxfId="977" priority="23" stopIfTrue="1">
      <formula>MOD(ROW(),2)=0</formula>
    </cfRule>
    <cfRule type="expression" dxfId="976" priority="24" stopIfTrue="1">
      <formula>MOD(ROW(),2)&lt;&gt;0</formula>
    </cfRule>
  </conditionalFormatting>
  <conditionalFormatting sqref="A26:A68">
    <cfRule type="expression" dxfId="975" priority="7" stopIfTrue="1">
      <formula>MOD(ROW(),2)=0</formula>
    </cfRule>
    <cfRule type="expression" dxfId="974" priority="8" stopIfTrue="1">
      <formula>MOD(ROW(),2)&lt;&gt;0</formula>
    </cfRule>
  </conditionalFormatting>
  <conditionalFormatting sqref="B17:B19">
    <cfRule type="expression" dxfId="973" priority="1" stopIfTrue="1">
      <formula>MOD(ROW(),2)=0</formula>
    </cfRule>
  </conditionalFormatting>
  <conditionalFormatting sqref="B18:B19">
    <cfRule type="expression" dxfId="972" priority="2" stopIfTrue="1">
      <formula>MOD(ROW(),2)&lt;&gt;0</formula>
    </cfRule>
  </conditionalFormatting>
  <conditionalFormatting sqref="B6:C21">
    <cfRule type="expression" dxfId="971" priority="31" stopIfTrue="1">
      <formula>MOD(ROW(),2)=0</formula>
    </cfRule>
    <cfRule type="expression" dxfId="970" priority="32" stopIfTrue="1">
      <formula>MOD(ROW(),2)&lt;&gt;0</formula>
    </cfRule>
  </conditionalFormatting>
  <conditionalFormatting sqref="B17:C17">
    <cfRule type="expression" dxfId="969" priority="4" stopIfTrue="1">
      <formula>MOD(ROW(),2)&lt;&gt;0</formula>
    </cfRule>
  </conditionalFormatting>
  <conditionalFormatting sqref="B26:C68">
    <cfRule type="expression" dxfId="968" priority="9" stopIfTrue="1">
      <formula>MOD(ROW(),2)=0</formula>
    </cfRule>
    <cfRule type="expression" dxfId="967" priority="10" stopIfTrue="1">
      <formula>MOD(ROW(),2)&lt;&gt;0</formula>
    </cfRule>
  </conditionalFormatting>
  <conditionalFormatting sqref="C17">
    <cfRule type="expression" dxfId="966"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6" ht="21" x14ac:dyDescent="0.4">
      <c r="A1" s="40" t="s">
        <v>227</v>
      </c>
      <c r="B1" s="41"/>
      <c r="C1" s="41"/>
      <c r="D1" s="41"/>
      <c r="E1" s="41"/>
      <c r="F1" s="41"/>
    </row>
    <row r="2" spans="1:6" ht="15.6" x14ac:dyDescent="0.3">
      <c r="A2" s="42" t="str">
        <f>IF(title="&gt; Enter workbook title here","Enter workbook title in Cover sheet",title)</f>
        <v>Fire Wales - Consolidated Factor Spreadsheet</v>
      </c>
      <c r="B2" s="43"/>
      <c r="C2" s="43"/>
      <c r="D2" s="43"/>
      <c r="E2" s="43"/>
      <c r="F2" s="43"/>
    </row>
    <row r="3" spans="1:6" ht="15.6" x14ac:dyDescent="0.3">
      <c r="A3" s="44" t="str">
        <f>TABLE_FACTOR_TYPE_1&amp;" - x-"&amp;TABLE_SERIES_NUMBER_1</f>
        <v>CETV - x-205</v>
      </c>
      <c r="B3" s="43"/>
      <c r="C3" s="43"/>
      <c r="D3" s="43"/>
      <c r="E3" s="43"/>
      <c r="F3" s="43"/>
    </row>
    <row r="4" spans="1:6" x14ac:dyDescent="0.25">
      <c r="A4" s="45"/>
    </row>
    <row r="6" spans="1:6" x14ac:dyDescent="0.25">
      <c r="A6" s="149" t="s">
        <v>558</v>
      </c>
      <c r="B6" s="110" t="s">
        <v>559</v>
      </c>
      <c r="C6" s="110"/>
    </row>
    <row r="7" spans="1:6" x14ac:dyDescent="0.25">
      <c r="A7" s="73" t="s">
        <v>305</v>
      </c>
      <c r="B7" s="110" t="s">
        <v>319</v>
      </c>
      <c r="C7" s="110"/>
    </row>
    <row r="8" spans="1:6" x14ac:dyDescent="0.25">
      <c r="A8" s="73" t="s">
        <v>306</v>
      </c>
      <c r="B8" s="110">
        <v>2007</v>
      </c>
      <c r="C8" s="110"/>
    </row>
    <row r="9" spans="1:6" x14ac:dyDescent="0.25">
      <c r="A9" s="73" t="s">
        <v>307</v>
      </c>
      <c r="B9" s="110" t="s">
        <v>320</v>
      </c>
      <c r="C9" s="110"/>
    </row>
    <row r="10" spans="1:6" ht="25.2" customHeight="1" x14ac:dyDescent="0.25">
      <c r="A10" s="73" t="s">
        <v>233</v>
      </c>
      <c r="B10" s="110" t="s">
        <v>335</v>
      </c>
      <c r="C10" s="110"/>
    </row>
    <row r="11" spans="1:6" x14ac:dyDescent="0.25">
      <c r="A11" s="73" t="s">
        <v>308</v>
      </c>
      <c r="B11" s="110" t="s">
        <v>328</v>
      </c>
      <c r="C11" s="110"/>
    </row>
    <row r="12" spans="1:6" ht="12.6" customHeight="1" x14ac:dyDescent="0.25">
      <c r="A12" s="73" t="s">
        <v>309</v>
      </c>
      <c r="B12" s="110" t="s">
        <v>323</v>
      </c>
      <c r="C12" s="110"/>
    </row>
    <row r="13" spans="1:6" ht="12.6" customHeight="1" x14ac:dyDescent="0.25">
      <c r="A13" s="73" t="s">
        <v>566</v>
      </c>
      <c r="B13" s="110">
        <v>1</v>
      </c>
      <c r="C13" s="110"/>
    </row>
    <row r="14" spans="1:6" ht="12.6" customHeight="1" x14ac:dyDescent="0.25">
      <c r="A14" s="73" t="s">
        <v>311</v>
      </c>
      <c r="B14" s="110">
        <v>205</v>
      </c>
      <c r="C14" s="110"/>
    </row>
    <row r="15" spans="1:6" x14ac:dyDescent="0.25">
      <c r="A15" s="73" t="s">
        <v>569</v>
      </c>
      <c r="B15" s="110" t="s">
        <v>336</v>
      </c>
      <c r="C15" s="110"/>
    </row>
    <row r="16" spans="1:6" x14ac:dyDescent="0.25">
      <c r="A16" s="73" t="s">
        <v>313</v>
      </c>
      <c r="B16" s="110" t="s">
        <v>337</v>
      </c>
      <c r="C16" s="110"/>
    </row>
    <row r="17" spans="1:3" ht="82.3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641</v>
      </c>
      <c r="C26" s="92" t="s">
        <v>645</v>
      </c>
    </row>
    <row r="27" spans="1:3" x14ac:dyDescent="0.25">
      <c r="A27" s="93">
        <v>60</v>
      </c>
      <c r="B27" s="94">
        <v>16.13</v>
      </c>
      <c r="C27" s="94">
        <v>4.18</v>
      </c>
    </row>
    <row r="28" spans="1:3" x14ac:dyDescent="0.25">
      <c r="A28" s="93">
        <v>61</v>
      </c>
      <c r="B28" s="94">
        <v>16.43</v>
      </c>
      <c r="C28" s="94">
        <v>4.18</v>
      </c>
    </row>
    <row r="29" spans="1:3" x14ac:dyDescent="0.25">
      <c r="A29" s="93">
        <v>62</v>
      </c>
      <c r="B29" s="94">
        <v>16.75</v>
      </c>
      <c r="C29" s="94">
        <v>4.18</v>
      </c>
    </row>
    <row r="30" spans="1:3" x14ac:dyDescent="0.25">
      <c r="A30" s="93">
        <v>63</v>
      </c>
      <c r="B30" s="94">
        <v>17.079999999999998</v>
      </c>
      <c r="C30" s="94">
        <v>4.17</v>
      </c>
    </row>
    <row r="31" spans="1:3" x14ac:dyDescent="0.25">
      <c r="A31" s="93">
        <v>64</v>
      </c>
      <c r="B31" s="94">
        <v>17.43</v>
      </c>
      <c r="C31" s="94">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Dne941W3W0qkCKtXO3p39fWnjK/2CCzGxNmpuyAOp89bxFamPp+H/jFnOF780kPEHQeJA7hQM0i+2zZh5fYdg==" saltValue="1TG9gAlfsQ121T29mODUQg==" spinCount="100000" sheet="1" objects="1" scenarios="1"/>
  <conditionalFormatting sqref="A6:A21">
    <cfRule type="expression" dxfId="965" priority="9" stopIfTrue="1">
      <formula>MOD(ROW(),2)=0</formula>
    </cfRule>
    <cfRule type="expression" dxfId="964" priority="10" stopIfTrue="1">
      <formula>MOD(ROW(),2)&lt;&gt;0</formula>
    </cfRule>
  </conditionalFormatting>
  <conditionalFormatting sqref="A26:A31">
    <cfRule type="expression" dxfId="963" priority="15" stopIfTrue="1">
      <formula>MOD(ROW(),2)=0</formula>
    </cfRule>
    <cfRule type="expression" dxfId="962" priority="16" stopIfTrue="1">
      <formula>MOD(ROW(),2)&lt;&gt;0</formula>
    </cfRule>
  </conditionalFormatting>
  <conditionalFormatting sqref="B17:B19">
    <cfRule type="expression" dxfId="961" priority="1" stopIfTrue="1">
      <formula>MOD(ROW(),2)=0</formula>
    </cfRule>
  </conditionalFormatting>
  <conditionalFormatting sqref="B18:B19">
    <cfRule type="expression" dxfId="960" priority="2" stopIfTrue="1">
      <formula>MOD(ROW(),2)&lt;&gt;0</formula>
    </cfRule>
  </conditionalFormatting>
  <conditionalFormatting sqref="B6:C21">
    <cfRule type="expression" dxfId="959" priority="37" stopIfTrue="1">
      <formula>MOD(ROW(),2)=0</formula>
    </cfRule>
    <cfRule type="expression" dxfId="958" priority="38" stopIfTrue="1">
      <formula>MOD(ROW(),2)&lt;&gt;0</formula>
    </cfRule>
  </conditionalFormatting>
  <conditionalFormatting sqref="B16:C16">
    <cfRule type="expression" dxfId="957" priority="13" stopIfTrue="1">
      <formula>MOD(ROW(),2)=0</formula>
    </cfRule>
    <cfRule type="expression" dxfId="956" priority="14" stopIfTrue="1">
      <formula>MOD(ROW(),2)&lt;&gt;0</formula>
    </cfRule>
  </conditionalFormatting>
  <conditionalFormatting sqref="B17:C17">
    <cfRule type="expression" dxfId="955" priority="4" stopIfTrue="1">
      <formula>MOD(ROW(),2)&lt;&gt;0</formula>
    </cfRule>
  </conditionalFormatting>
  <conditionalFormatting sqref="B26:C31">
    <cfRule type="expression" dxfId="954" priority="17" stopIfTrue="1">
      <formula>MOD(ROW(),2)=0</formula>
    </cfRule>
    <cfRule type="expression" dxfId="953" priority="18" stopIfTrue="1">
      <formula>MOD(ROW(),2)&lt;&gt;0</formula>
    </cfRule>
  </conditionalFormatting>
  <conditionalFormatting sqref="C17">
    <cfRule type="expression" dxfId="952"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x-206</v>
      </c>
      <c r="B3" s="43"/>
      <c r="C3" s="43"/>
      <c r="D3" s="43"/>
      <c r="E3" s="43"/>
      <c r="F3" s="43"/>
      <c r="G3" s="43"/>
    </row>
    <row r="4" spans="1:7" x14ac:dyDescent="0.25">
      <c r="A4" s="45"/>
    </row>
    <row r="6" spans="1:7" x14ac:dyDescent="0.25">
      <c r="A6" s="149" t="s">
        <v>558</v>
      </c>
      <c r="B6" s="110" t="s">
        <v>559</v>
      </c>
      <c r="C6" s="110"/>
      <c r="D6" s="110"/>
    </row>
    <row r="7" spans="1:7" x14ac:dyDescent="0.25">
      <c r="A7" s="73" t="s">
        <v>305</v>
      </c>
      <c r="B7" s="110" t="s">
        <v>319</v>
      </c>
      <c r="C7" s="110"/>
      <c r="D7" s="110"/>
    </row>
    <row r="8" spans="1:7" x14ac:dyDescent="0.25">
      <c r="A8" s="73" t="s">
        <v>306</v>
      </c>
      <c r="B8" s="110">
        <v>2007</v>
      </c>
      <c r="C8" s="110"/>
      <c r="D8" s="110"/>
    </row>
    <row r="9" spans="1:7" x14ac:dyDescent="0.25">
      <c r="A9" s="73" t="s">
        <v>307</v>
      </c>
      <c r="B9" s="110" t="s">
        <v>320</v>
      </c>
      <c r="C9" s="110"/>
      <c r="D9" s="110"/>
    </row>
    <row r="10" spans="1:7" ht="12.6" customHeight="1" x14ac:dyDescent="0.25">
      <c r="A10" s="73" t="s">
        <v>233</v>
      </c>
      <c r="B10" s="110" t="s">
        <v>321</v>
      </c>
      <c r="C10" s="110"/>
      <c r="D10" s="110"/>
    </row>
    <row r="11" spans="1:7" x14ac:dyDescent="0.25">
      <c r="A11" s="73" t="s">
        <v>308</v>
      </c>
      <c r="B11" s="110" t="s">
        <v>322</v>
      </c>
      <c r="C11" s="110"/>
      <c r="D11" s="110"/>
    </row>
    <row r="12" spans="1:7" ht="12.6" customHeight="1" x14ac:dyDescent="0.25">
      <c r="A12" s="73" t="s">
        <v>309</v>
      </c>
      <c r="B12" s="110" t="s">
        <v>323</v>
      </c>
      <c r="C12" s="110"/>
      <c r="D12" s="110"/>
    </row>
    <row r="13" spans="1:7" ht="12.6" customHeight="1" x14ac:dyDescent="0.25">
      <c r="A13" s="73" t="s">
        <v>566</v>
      </c>
      <c r="B13" s="110">
        <v>1</v>
      </c>
      <c r="C13" s="110"/>
      <c r="D13" s="110"/>
    </row>
    <row r="14" spans="1:7" ht="12.6" customHeight="1" x14ac:dyDescent="0.25">
      <c r="A14" s="73" t="s">
        <v>311</v>
      </c>
      <c r="B14" s="110">
        <v>206</v>
      </c>
      <c r="C14" s="110"/>
      <c r="D14" s="110"/>
    </row>
    <row r="15" spans="1:7" x14ac:dyDescent="0.25">
      <c r="A15" s="73" t="s">
        <v>569</v>
      </c>
      <c r="B15" s="110" t="s">
        <v>338</v>
      </c>
      <c r="C15" s="110"/>
      <c r="D15" s="110"/>
    </row>
    <row r="16" spans="1:7" x14ac:dyDescent="0.25">
      <c r="A16" s="73" t="s">
        <v>313</v>
      </c>
      <c r="B16" s="110" t="s">
        <v>339</v>
      </c>
      <c r="C16" s="110"/>
      <c r="D16" s="110"/>
    </row>
    <row r="17" spans="1:4" ht="67.2"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2" t="s">
        <v>640</v>
      </c>
      <c r="B26" s="92" t="s">
        <v>641</v>
      </c>
      <c r="C26" s="92" t="s">
        <v>645</v>
      </c>
      <c r="D26" s="92" t="s">
        <v>643</v>
      </c>
    </row>
    <row r="27" spans="1:4" x14ac:dyDescent="0.25">
      <c r="A27" s="93">
        <v>18</v>
      </c>
      <c r="B27" s="94">
        <v>10.88</v>
      </c>
      <c r="C27" s="94">
        <v>2.52</v>
      </c>
      <c r="D27" s="94">
        <v>0</v>
      </c>
    </row>
    <row r="28" spans="1:4" x14ac:dyDescent="0.25">
      <c r="A28" s="93">
        <v>19</v>
      </c>
      <c r="B28" s="94">
        <v>11.04</v>
      </c>
      <c r="C28" s="94">
        <v>2.64</v>
      </c>
      <c r="D28" s="94">
        <v>0</v>
      </c>
    </row>
    <row r="29" spans="1:4" x14ac:dyDescent="0.25">
      <c r="A29" s="93">
        <v>20</v>
      </c>
      <c r="B29" s="94">
        <v>11.2</v>
      </c>
      <c r="C29" s="94">
        <v>2.68</v>
      </c>
      <c r="D29" s="94">
        <v>0</v>
      </c>
    </row>
    <row r="30" spans="1:4" x14ac:dyDescent="0.25">
      <c r="A30" s="93">
        <v>21</v>
      </c>
      <c r="B30" s="94">
        <v>11.36</v>
      </c>
      <c r="C30" s="94">
        <v>2.73</v>
      </c>
      <c r="D30" s="94">
        <v>0</v>
      </c>
    </row>
    <row r="31" spans="1:4" x14ac:dyDescent="0.25">
      <c r="A31" s="93">
        <v>22</v>
      </c>
      <c r="B31" s="94">
        <v>11.53</v>
      </c>
      <c r="C31" s="94">
        <v>2.77</v>
      </c>
      <c r="D31" s="94">
        <v>0</v>
      </c>
    </row>
    <row r="32" spans="1:4" x14ac:dyDescent="0.25">
      <c r="A32" s="93">
        <v>23</v>
      </c>
      <c r="B32" s="94">
        <v>11.69</v>
      </c>
      <c r="C32" s="94">
        <v>2.82</v>
      </c>
      <c r="D32" s="94">
        <v>0</v>
      </c>
    </row>
    <row r="33" spans="1:4" x14ac:dyDescent="0.25">
      <c r="A33" s="93">
        <v>24</v>
      </c>
      <c r="B33" s="94">
        <v>11.86</v>
      </c>
      <c r="C33" s="94">
        <v>2.86</v>
      </c>
      <c r="D33" s="94">
        <v>0</v>
      </c>
    </row>
    <row r="34" spans="1:4" x14ac:dyDescent="0.25">
      <c r="A34" s="93">
        <v>25</v>
      </c>
      <c r="B34" s="94">
        <v>12.04</v>
      </c>
      <c r="C34" s="94">
        <v>2.91</v>
      </c>
      <c r="D34" s="94">
        <v>0</v>
      </c>
    </row>
    <row r="35" spans="1:4" x14ac:dyDescent="0.25">
      <c r="A35" s="93">
        <v>26</v>
      </c>
      <c r="B35" s="94">
        <v>12.21</v>
      </c>
      <c r="C35" s="94">
        <v>2.96</v>
      </c>
      <c r="D35" s="94">
        <v>0</v>
      </c>
    </row>
    <row r="36" spans="1:4" x14ac:dyDescent="0.25">
      <c r="A36" s="93">
        <v>27</v>
      </c>
      <c r="B36" s="94">
        <v>12.39</v>
      </c>
      <c r="C36" s="94">
        <v>3</v>
      </c>
      <c r="D36" s="94">
        <v>0</v>
      </c>
    </row>
    <row r="37" spans="1:4" x14ac:dyDescent="0.25">
      <c r="A37" s="93">
        <v>28</v>
      </c>
      <c r="B37" s="94">
        <v>12.57</v>
      </c>
      <c r="C37" s="94">
        <v>3.05</v>
      </c>
      <c r="D37" s="94">
        <v>0</v>
      </c>
    </row>
    <row r="38" spans="1:4" x14ac:dyDescent="0.25">
      <c r="A38" s="93">
        <v>29</v>
      </c>
      <c r="B38" s="94">
        <v>12.75</v>
      </c>
      <c r="C38" s="94">
        <v>3.09</v>
      </c>
      <c r="D38" s="94">
        <v>0</v>
      </c>
    </row>
    <row r="39" spans="1:4" x14ac:dyDescent="0.25">
      <c r="A39" s="93">
        <v>30</v>
      </c>
      <c r="B39" s="94">
        <v>12.94</v>
      </c>
      <c r="C39" s="94">
        <v>3.14</v>
      </c>
      <c r="D39" s="94">
        <v>0</v>
      </c>
    </row>
    <row r="40" spans="1:4" x14ac:dyDescent="0.25">
      <c r="A40" s="93">
        <v>31</v>
      </c>
      <c r="B40" s="94">
        <v>13.13</v>
      </c>
      <c r="C40" s="94">
        <v>3.19</v>
      </c>
      <c r="D40" s="94">
        <v>0</v>
      </c>
    </row>
    <row r="41" spans="1:4" x14ac:dyDescent="0.25">
      <c r="A41" s="93">
        <v>32</v>
      </c>
      <c r="B41" s="94">
        <v>13.32</v>
      </c>
      <c r="C41" s="94">
        <v>3.23</v>
      </c>
      <c r="D41" s="94">
        <v>0</v>
      </c>
    </row>
    <row r="42" spans="1:4" x14ac:dyDescent="0.25">
      <c r="A42" s="93">
        <v>33</v>
      </c>
      <c r="B42" s="94">
        <v>13.52</v>
      </c>
      <c r="C42" s="94">
        <v>3.27</v>
      </c>
      <c r="D42" s="94">
        <v>0</v>
      </c>
    </row>
    <row r="43" spans="1:4" x14ac:dyDescent="0.25">
      <c r="A43" s="93">
        <v>34</v>
      </c>
      <c r="B43" s="94">
        <v>13.72</v>
      </c>
      <c r="C43" s="94">
        <v>3.32</v>
      </c>
      <c r="D43" s="94">
        <v>0</v>
      </c>
    </row>
    <row r="44" spans="1:4" x14ac:dyDescent="0.25">
      <c r="A44" s="93">
        <v>35</v>
      </c>
      <c r="B44" s="94">
        <v>13.92</v>
      </c>
      <c r="C44" s="94">
        <v>3.36</v>
      </c>
      <c r="D44" s="94">
        <v>0</v>
      </c>
    </row>
    <row r="45" spans="1:4" x14ac:dyDescent="0.25">
      <c r="A45" s="93">
        <v>36</v>
      </c>
      <c r="B45" s="94">
        <v>14.13</v>
      </c>
      <c r="C45" s="94">
        <v>3.41</v>
      </c>
      <c r="D45" s="94">
        <v>0</v>
      </c>
    </row>
    <row r="46" spans="1:4" x14ac:dyDescent="0.25">
      <c r="A46" s="93">
        <v>37</v>
      </c>
      <c r="B46" s="94">
        <v>14.34</v>
      </c>
      <c r="C46" s="94">
        <v>3.45</v>
      </c>
      <c r="D46" s="94">
        <v>0</v>
      </c>
    </row>
    <row r="47" spans="1:4" x14ac:dyDescent="0.25">
      <c r="A47" s="93">
        <v>38</v>
      </c>
      <c r="B47" s="94">
        <v>14.56</v>
      </c>
      <c r="C47" s="94">
        <v>3.49</v>
      </c>
      <c r="D47" s="94">
        <v>0</v>
      </c>
    </row>
    <row r="48" spans="1:4" x14ac:dyDescent="0.25">
      <c r="A48" s="93">
        <v>39</v>
      </c>
      <c r="B48" s="94">
        <v>14.78</v>
      </c>
      <c r="C48" s="94">
        <v>3.53</v>
      </c>
      <c r="D48" s="94">
        <v>0</v>
      </c>
    </row>
    <row r="49" spans="1:4" x14ac:dyDescent="0.25">
      <c r="A49" s="93">
        <v>40</v>
      </c>
      <c r="B49" s="94">
        <v>15</v>
      </c>
      <c r="C49" s="94">
        <v>3.57</v>
      </c>
      <c r="D49" s="94">
        <v>0</v>
      </c>
    </row>
    <row r="50" spans="1:4" x14ac:dyDescent="0.25">
      <c r="A50" s="93">
        <v>41</v>
      </c>
      <c r="B50" s="94">
        <v>15.23</v>
      </c>
      <c r="C50" s="94">
        <v>3.61</v>
      </c>
      <c r="D50" s="94">
        <v>0</v>
      </c>
    </row>
    <row r="51" spans="1:4" x14ac:dyDescent="0.25">
      <c r="A51" s="93">
        <v>42</v>
      </c>
      <c r="B51" s="94">
        <v>15.47</v>
      </c>
      <c r="C51" s="94">
        <v>3.65</v>
      </c>
      <c r="D51" s="94">
        <v>0</v>
      </c>
    </row>
    <row r="52" spans="1:4" x14ac:dyDescent="0.25">
      <c r="A52" s="93">
        <v>43</v>
      </c>
      <c r="B52" s="94">
        <v>15.71</v>
      </c>
      <c r="C52" s="94">
        <v>3.69</v>
      </c>
      <c r="D52" s="94">
        <v>0</v>
      </c>
    </row>
    <row r="53" spans="1:4" x14ac:dyDescent="0.25">
      <c r="A53" s="93">
        <v>44</v>
      </c>
      <c r="B53" s="94">
        <v>15.95</v>
      </c>
      <c r="C53" s="94">
        <v>3.73</v>
      </c>
      <c r="D53" s="94">
        <v>0</v>
      </c>
    </row>
    <row r="54" spans="1:4" x14ac:dyDescent="0.25">
      <c r="A54" s="93">
        <v>45</v>
      </c>
      <c r="B54" s="94">
        <v>16.2</v>
      </c>
      <c r="C54" s="94">
        <v>3.76</v>
      </c>
      <c r="D54" s="94">
        <v>0</v>
      </c>
    </row>
    <row r="55" spans="1:4" x14ac:dyDescent="0.25">
      <c r="A55" s="93">
        <v>46</v>
      </c>
      <c r="B55" s="94">
        <v>16.46</v>
      </c>
      <c r="C55" s="94">
        <v>3.8</v>
      </c>
      <c r="D55" s="94">
        <v>0</v>
      </c>
    </row>
    <row r="56" spans="1:4" x14ac:dyDescent="0.25">
      <c r="A56" s="93">
        <v>47</v>
      </c>
      <c r="B56" s="94">
        <v>16.72</v>
      </c>
      <c r="C56" s="94">
        <v>3.83</v>
      </c>
      <c r="D56" s="94">
        <v>0</v>
      </c>
    </row>
    <row r="57" spans="1:4" x14ac:dyDescent="0.25">
      <c r="A57" s="93">
        <v>48</v>
      </c>
      <c r="B57" s="94">
        <v>16.989999999999998</v>
      </c>
      <c r="C57" s="94">
        <v>3.86</v>
      </c>
      <c r="D57" s="94">
        <v>0</v>
      </c>
    </row>
    <row r="58" spans="1:4" x14ac:dyDescent="0.25">
      <c r="A58" s="93">
        <v>49</v>
      </c>
      <c r="B58" s="94">
        <v>17.260000000000002</v>
      </c>
      <c r="C58" s="94">
        <v>3.89</v>
      </c>
      <c r="D58" s="94">
        <v>0</v>
      </c>
    </row>
    <row r="59" spans="1:4" x14ac:dyDescent="0.25">
      <c r="A59" s="93">
        <v>50</v>
      </c>
      <c r="B59" s="94">
        <v>17.55</v>
      </c>
      <c r="C59" s="94">
        <v>3.91</v>
      </c>
      <c r="D59" s="94">
        <v>0</v>
      </c>
    </row>
    <row r="60" spans="1:4" x14ac:dyDescent="0.25">
      <c r="A60" s="93">
        <v>51</v>
      </c>
      <c r="B60" s="94">
        <v>17.84</v>
      </c>
      <c r="C60" s="94">
        <v>3.94</v>
      </c>
      <c r="D60" s="94">
        <v>0</v>
      </c>
    </row>
    <row r="61" spans="1:4" x14ac:dyDescent="0.25">
      <c r="A61" s="93">
        <v>52</v>
      </c>
      <c r="B61" s="94">
        <v>18.14</v>
      </c>
      <c r="C61" s="94">
        <v>3.97</v>
      </c>
      <c r="D61" s="94">
        <v>0</v>
      </c>
    </row>
    <row r="62" spans="1:4" x14ac:dyDescent="0.25">
      <c r="A62" s="93">
        <v>53</v>
      </c>
      <c r="B62" s="94">
        <v>18.440000000000001</v>
      </c>
      <c r="C62" s="94">
        <v>3.99</v>
      </c>
      <c r="D62" s="94">
        <v>0</v>
      </c>
    </row>
    <row r="63" spans="1:4" x14ac:dyDescent="0.25">
      <c r="A63" s="93">
        <v>54</v>
      </c>
      <c r="B63" s="94">
        <v>18.760000000000002</v>
      </c>
      <c r="C63" s="94">
        <v>4.01</v>
      </c>
      <c r="D63" s="94">
        <v>0</v>
      </c>
    </row>
    <row r="64" spans="1:4" x14ac:dyDescent="0.25">
      <c r="A64" s="93">
        <v>55</v>
      </c>
      <c r="B64" s="94">
        <v>19.079999999999998</v>
      </c>
      <c r="C64" s="94">
        <v>4.03</v>
      </c>
      <c r="D64" s="94">
        <v>0</v>
      </c>
    </row>
    <row r="65" spans="1:4" x14ac:dyDescent="0.25">
      <c r="A65" s="93">
        <v>56</v>
      </c>
      <c r="B65" s="94">
        <v>19.420000000000002</v>
      </c>
      <c r="C65" s="94">
        <v>4.05</v>
      </c>
      <c r="D65" s="94">
        <v>0</v>
      </c>
    </row>
    <row r="66" spans="1:4" x14ac:dyDescent="0.25">
      <c r="A66" s="93">
        <v>57</v>
      </c>
      <c r="B66" s="94">
        <v>19.77</v>
      </c>
      <c r="C66" s="94">
        <v>4.0599999999999996</v>
      </c>
      <c r="D66" s="94">
        <v>0</v>
      </c>
    </row>
    <row r="67" spans="1:4" x14ac:dyDescent="0.25">
      <c r="A67" s="93">
        <v>58</v>
      </c>
      <c r="B67" s="94">
        <v>20.13</v>
      </c>
      <c r="C67" s="94">
        <v>4.07</v>
      </c>
      <c r="D67" s="94">
        <v>0</v>
      </c>
    </row>
    <row r="68" spans="1:4" x14ac:dyDescent="0.25">
      <c r="A68" s="93">
        <v>59</v>
      </c>
      <c r="B68" s="94">
        <v>20.5</v>
      </c>
      <c r="C68" s="94">
        <v>4.08</v>
      </c>
      <c r="D68" s="94">
        <v>0</v>
      </c>
    </row>
  </sheetData>
  <sheetProtection algorithmName="SHA-512" hashValue="8YT8lVI1AvdZOE7snDiBNYzYmOZsKVSRIc/JRxLzyxHfpff2FPXHLuS+75A16RBMir3/7lctttye9yti0M7FUg==" saltValue="YK01A1dl9QuexL90TYMDRA==" spinCount="100000" sheet="1" objects="1" scenarios="1"/>
  <conditionalFormatting sqref="A6:A21">
    <cfRule type="expression" dxfId="951" priority="21" stopIfTrue="1">
      <formula>MOD(ROW(),2)=0</formula>
    </cfRule>
    <cfRule type="expression" dxfId="950" priority="22" stopIfTrue="1">
      <formula>MOD(ROW(),2)&lt;&gt;0</formula>
    </cfRule>
  </conditionalFormatting>
  <conditionalFormatting sqref="A26:A68">
    <cfRule type="expression" dxfId="949" priority="7" stopIfTrue="1">
      <formula>MOD(ROW(),2)=0</formula>
    </cfRule>
    <cfRule type="expression" dxfId="948" priority="8" stopIfTrue="1">
      <formula>MOD(ROW(),2)&lt;&gt;0</formula>
    </cfRule>
  </conditionalFormatting>
  <conditionalFormatting sqref="B17:B19">
    <cfRule type="expression" dxfId="947" priority="1" stopIfTrue="1">
      <formula>MOD(ROW(),2)=0</formula>
    </cfRule>
    <cfRule type="expression" dxfId="946" priority="2" stopIfTrue="1">
      <formula>MOD(ROW(),2)&lt;&gt;0</formula>
    </cfRule>
  </conditionalFormatting>
  <conditionalFormatting sqref="B6:D21 B26:D68">
    <cfRule type="expression" dxfId="945" priority="29" stopIfTrue="1">
      <formula>MOD(ROW(),2)=0</formula>
    </cfRule>
    <cfRule type="expression" dxfId="944" priority="30" stopIfTrue="1">
      <formula>MOD(ROW(),2)&lt;&gt;0</formula>
    </cfRule>
  </conditionalFormatting>
  <conditionalFormatting sqref="C17:D17">
    <cfRule type="expression" dxfId="943" priority="3" stopIfTrue="1">
      <formula>MOD(ROW(),2)=0</formula>
    </cfRule>
    <cfRule type="expression" dxfId="9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x-207</v>
      </c>
      <c r="B3" s="43"/>
      <c r="C3" s="43"/>
      <c r="D3" s="43"/>
      <c r="E3" s="43"/>
      <c r="F3" s="43"/>
      <c r="G3" s="43"/>
    </row>
    <row r="4" spans="1:7" x14ac:dyDescent="0.25">
      <c r="A4" s="45"/>
    </row>
    <row r="6" spans="1:7" x14ac:dyDescent="0.25">
      <c r="A6" s="149" t="s">
        <v>558</v>
      </c>
      <c r="B6" s="110" t="s">
        <v>559</v>
      </c>
      <c r="C6" s="110"/>
      <c r="D6" s="110"/>
    </row>
    <row r="7" spans="1:7" x14ac:dyDescent="0.25">
      <c r="A7" s="73" t="s">
        <v>305</v>
      </c>
      <c r="B7" s="110" t="s">
        <v>319</v>
      </c>
      <c r="C7" s="110"/>
      <c r="D7" s="110"/>
    </row>
    <row r="8" spans="1:7" x14ac:dyDescent="0.25">
      <c r="A8" s="73" t="s">
        <v>306</v>
      </c>
      <c r="B8" s="110">
        <v>2007</v>
      </c>
      <c r="C8" s="110"/>
      <c r="D8" s="110"/>
    </row>
    <row r="9" spans="1:7" x14ac:dyDescent="0.25">
      <c r="A9" s="73" t="s">
        <v>307</v>
      </c>
      <c r="B9" s="110" t="s">
        <v>320</v>
      </c>
      <c r="C9" s="110"/>
      <c r="D9" s="110"/>
    </row>
    <row r="10" spans="1:7" ht="12.6" customHeight="1" x14ac:dyDescent="0.25">
      <c r="A10" s="73" t="s">
        <v>233</v>
      </c>
      <c r="B10" s="110" t="s">
        <v>321</v>
      </c>
      <c r="C10" s="110"/>
      <c r="D10" s="110"/>
    </row>
    <row r="11" spans="1:7" x14ac:dyDescent="0.25">
      <c r="A11" s="73" t="s">
        <v>308</v>
      </c>
      <c r="B11" s="110" t="s">
        <v>328</v>
      </c>
      <c r="C11" s="110"/>
      <c r="D11" s="110"/>
    </row>
    <row r="12" spans="1:7" ht="12.6" customHeight="1" x14ac:dyDescent="0.25">
      <c r="A12" s="73" t="s">
        <v>309</v>
      </c>
      <c r="B12" s="110" t="s">
        <v>323</v>
      </c>
      <c r="C12" s="110"/>
      <c r="D12" s="110"/>
    </row>
    <row r="13" spans="1:7" ht="12.6" customHeight="1" x14ac:dyDescent="0.25">
      <c r="A13" s="73" t="s">
        <v>566</v>
      </c>
      <c r="B13" s="110">
        <v>1</v>
      </c>
      <c r="C13" s="110"/>
      <c r="D13" s="110"/>
    </row>
    <row r="14" spans="1:7" ht="12.6" customHeight="1" x14ac:dyDescent="0.25">
      <c r="A14" s="73" t="s">
        <v>311</v>
      </c>
      <c r="B14" s="110">
        <v>207</v>
      </c>
      <c r="C14" s="110"/>
      <c r="D14" s="110"/>
    </row>
    <row r="15" spans="1:7" x14ac:dyDescent="0.25">
      <c r="A15" s="73" t="s">
        <v>569</v>
      </c>
      <c r="B15" s="110" t="s">
        <v>340</v>
      </c>
      <c r="C15" s="110"/>
      <c r="D15" s="110"/>
    </row>
    <row r="16" spans="1:7" ht="12.75" customHeight="1" x14ac:dyDescent="0.25">
      <c r="A16" s="73" t="s">
        <v>313</v>
      </c>
      <c r="B16" s="110" t="s">
        <v>341</v>
      </c>
      <c r="C16" s="110"/>
      <c r="D16" s="110"/>
    </row>
    <row r="17" spans="1:4" ht="70.2"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2" t="s">
        <v>640</v>
      </c>
      <c r="B26" s="92" t="s">
        <v>641</v>
      </c>
      <c r="C26" s="92" t="s">
        <v>645</v>
      </c>
      <c r="D26" s="92" t="s">
        <v>643</v>
      </c>
    </row>
    <row r="27" spans="1:4" x14ac:dyDescent="0.25">
      <c r="A27" s="93">
        <v>18</v>
      </c>
      <c r="B27" s="94">
        <v>10.88</v>
      </c>
      <c r="C27" s="94">
        <v>2.52</v>
      </c>
      <c r="D27" s="94">
        <v>0</v>
      </c>
    </row>
    <row r="28" spans="1:4" x14ac:dyDescent="0.25">
      <c r="A28" s="93">
        <v>19</v>
      </c>
      <c r="B28" s="94">
        <v>11.04</v>
      </c>
      <c r="C28" s="94">
        <v>2.64</v>
      </c>
      <c r="D28" s="94">
        <v>0</v>
      </c>
    </row>
    <row r="29" spans="1:4" x14ac:dyDescent="0.25">
      <c r="A29" s="93">
        <v>20</v>
      </c>
      <c r="B29" s="94">
        <v>11.2</v>
      </c>
      <c r="C29" s="94">
        <v>2.68</v>
      </c>
      <c r="D29" s="94">
        <v>0</v>
      </c>
    </row>
    <row r="30" spans="1:4" x14ac:dyDescent="0.25">
      <c r="A30" s="93">
        <v>21</v>
      </c>
      <c r="B30" s="94">
        <v>11.36</v>
      </c>
      <c r="C30" s="94">
        <v>2.73</v>
      </c>
      <c r="D30" s="94">
        <v>0</v>
      </c>
    </row>
    <row r="31" spans="1:4" x14ac:dyDescent="0.25">
      <c r="A31" s="93">
        <v>22</v>
      </c>
      <c r="B31" s="94">
        <v>11.53</v>
      </c>
      <c r="C31" s="94">
        <v>2.77</v>
      </c>
      <c r="D31" s="94">
        <v>0</v>
      </c>
    </row>
    <row r="32" spans="1:4" x14ac:dyDescent="0.25">
      <c r="A32" s="93">
        <v>23</v>
      </c>
      <c r="B32" s="94">
        <v>11.69</v>
      </c>
      <c r="C32" s="94">
        <v>2.82</v>
      </c>
      <c r="D32" s="94">
        <v>0</v>
      </c>
    </row>
    <row r="33" spans="1:4" x14ac:dyDescent="0.25">
      <c r="A33" s="93">
        <v>24</v>
      </c>
      <c r="B33" s="94">
        <v>11.86</v>
      </c>
      <c r="C33" s="94">
        <v>2.86</v>
      </c>
      <c r="D33" s="94">
        <v>0</v>
      </c>
    </row>
    <row r="34" spans="1:4" x14ac:dyDescent="0.25">
      <c r="A34" s="93">
        <v>25</v>
      </c>
      <c r="B34" s="94">
        <v>12.04</v>
      </c>
      <c r="C34" s="94">
        <v>2.91</v>
      </c>
      <c r="D34" s="94">
        <v>0</v>
      </c>
    </row>
    <row r="35" spans="1:4" x14ac:dyDescent="0.25">
      <c r="A35" s="93">
        <v>26</v>
      </c>
      <c r="B35" s="94">
        <v>12.21</v>
      </c>
      <c r="C35" s="94">
        <v>2.96</v>
      </c>
      <c r="D35" s="94">
        <v>0</v>
      </c>
    </row>
    <row r="36" spans="1:4" x14ac:dyDescent="0.25">
      <c r="A36" s="93">
        <v>27</v>
      </c>
      <c r="B36" s="94">
        <v>12.39</v>
      </c>
      <c r="C36" s="94">
        <v>3</v>
      </c>
      <c r="D36" s="94">
        <v>0</v>
      </c>
    </row>
    <row r="37" spans="1:4" x14ac:dyDescent="0.25">
      <c r="A37" s="93">
        <v>28</v>
      </c>
      <c r="B37" s="94">
        <v>12.57</v>
      </c>
      <c r="C37" s="94">
        <v>3.05</v>
      </c>
      <c r="D37" s="94">
        <v>0</v>
      </c>
    </row>
    <row r="38" spans="1:4" x14ac:dyDescent="0.25">
      <c r="A38" s="93">
        <v>29</v>
      </c>
      <c r="B38" s="94">
        <v>12.75</v>
      </c>
      <c r="C38" s="94">
        <v>3.09</v>
      </c>
      <c r="D38" s="94">
        <v>0</v>
      </c>
    </row>
    <row r="39" spans="1:4" x14ac:dyDescent="0.25">
      <c r="A39" s="93">
        <v>30</v>
      </c>
      <c r="B39" s="94">
        <v>12.94</v>
      </c>
      <c r="C39" s="94">
        <v>3.14</v>
      </c>
      <c r="D39" s="94">
        <v>0</v>
      </c>
    </row>
    <row r="40" spans="1:4" x14ac:dyDescent="0.25">
      <c r="A40" s="93">
        <v>31</v>
      </c>
      <c r="B40" s="94">
        <v>13.13</v>
      </c>
      <c r="C40" s="94">
        <v>3.19</v>
      </c>
      <c r="D40" s="94">
        <v>0</v>
      </c>
    </row>
    <row r="41" spans="1:4" x14ac:dyDescent="0.25">
      <c r="A41" s="93">
        <v>32</v>
      </c>
      <c r="B41" s="94">
        <v>13.32</v>
      </c>
      <c r="C41" s="94">
        <v>3.23</v>
      </c>
      <c r="D41" s="94">
        <v>0</v>
      </c>
    </row>
    <row r="42" spans="1:4" x14ac:dyDescent="0.25">
      <c r="A42" s="93">
        <v>33</v>
      </c>
      <c r="B42" s="94">
        <v>13.52</v>
      </c>
      <c r="C42" s="94">
        <v>3.27</v>
      </c>
      <c r="D42" s="94">
        <v>0</v>
      </c>
    </row>
    <row r="43" spans="1:4" x14ac:dyDescent="0.25">
      <c r="A43" s="93">
        <v>34</v>
      </c>
      <c r="B43" s="94">
        <v>13.72</v>
      </c>
      <c r="C43" s="94">
        <v>3.32</v>
      </c>
      <c r="D43" s="94">
        <v>0</v>
      </c>
    </row>
    <row r="44" spans="1:4" x14ac:dyDescent="0.25">
      <c r="A44" s="93">
        <v>35</v>
      </c>
      <c r="B44" s="94">
        <v>13.92</v>
      </c>
      <c r="C44" s="94">
        <v>3.36</v>
      </c>
      <c r="D44" s="94">
        <v>0</v>
      </c>
    </row>
    <row r="45" spans="1:4" x14ac:dyDescent="0.25">
      <c r="A45" s="93">
        <v>36</v>
      </c>
      <c r="B45" s="94">
        <v>14.13</v>
      </c>
      <c r="C45" s="94">
        <v>3.41</v>
      </c>
      <c r="D45" s="94">
        <v>0</v>
      </c>
    </row>
    <row r="46" spans="1:4" x14ac:dyDescent="0.25">
      <c r="A46" s="93">
        <v>37</v>
      </c>
      <c r="B46" s="94">
        <v>14.34</v>
      </c>
      <c r="C46" s="94">
        <v>3.45</v>
      </c>
      <c r="D46" s="94">
        <v>0</v>
      </c>
    </row>
    <row r="47" spans="1:4" x14ac:dyDescent="0.25">
      <c r="A47" s="93">
        <v>38</v>
      </c>
      <c r="B47" s="94">
        <v>14.56</v>
      </c>
      <c r="C47" s="94">
        <v>3.49</v>
      </c>
      <c r="D47" s="94">
        <v>0</v>
      </c>
    </row>
    <row r="48" spans="1:4" x14ac:dyDescent="0.25">
      <c r="A48" s="93">
        <v>39</v>
      </c>
      <c r="B48" s="94">
        <v>14.78</v>
      </c>
      <c r="C48" s="94">
        <v>3.53</v>
      </c>
      <c r="D48" s="94">
        <v>0</v>
      </c>
    </row>
    <row r="49" spans="1:4" x14ac:dyDescent="0.25">
      <c r="A49" s="93">
        <v>40</v>
      </c>
      <c r="B49" s="94">
        <v>15</v>
      </c>
      <c r="C49" s="94">
        <v>3.57</v>
      </c>
      <c r="D49" s="94">
        <v>0</v>
      </c>
    </row>
    <row r="50" spans="1:4" x14ac:dyDescent="0.25">
      <c r="A50" s="93">
        <v>41</v>
      </c>
      <c r="B50" s="94">
        <v>15.23</v>
      </c>
      <c r="C50" s="94">
        <v>3.61</v>
      </c>
      <c r="D50" s="94">
        <v>0</v>
      </c>
    </row>
    <row r="51" spans="1:4" x14ac:dyDescent="0.25">
      <c r="A51" s="93">
        <v>42</v>
      </c>
      <c r="B51" s="94">
        <v>15.47</v>
      </c>
      <c r="C51" s="94">
        <v>3.65</v>
      </c>
      <c r="D51" s="94">
        <v>0</v>
      </c>
    </row>
    <row r="52" spans="1:4" x14ac:dyDescent="0.25">
      <c r="A52" s="93">
        <v>43</v>
      </c>
      <c r="B52" s="94">
        <v>15.71</v>
      </c>
      <c r="C52" s="94">
        <v>3.69</v>
      </c>
      <c r="D52" s="94">
        <v>0</v>
      </c>
    </row>
    <row r="53" spans="1:4" x14ac:dyDescent="0.25">
      <c r="A53" s="93">
        <v>44</v>
      </c>
      <c r="B53" s="94">
        <v>15.95</v>
      </c>
      <c r="C53" s="94">
        <v>3.73</v>
      </c>
      <c r="D53" s="94">
        <v>0</v>
      </c>
    </row>
    <row r="54" spans="1:4" x14ac:dyDescent="0.25">
      <c r="A54" s="93">
        <v>45</v>
      </c>
      <c r="B54" s="94">
        <v>16.2</v>
      </c>
      <c r="C54" s="94">
        <v>3.76</v>
      </c>
      <c r="D54" s="94">
        <v>0</v>
      </c>
    </row>
    <row r="55" spans="1:4" x14ac:dyDescent="0.25">
      <c r="A55" s="93">
        <v>46</v>
      </c>
      <c r="B55" s="94">
        <v>16.46</v>
      </c>
      <c r="C55" s="94">
        <v>3.8</v>
      </c>
      <c r="D55" s="94">
        <v>0</v>
      </c>
    </row>
    <row r="56" spans="1:4" x14ac:dyDescent="0.25">
      <c r="A56" s="93">
        <v>47</v>
      </c>
      <c r="B56" s="94">
        <v>16.72</v>
      </c>
      <c r="C56" s="94">
        <v>3.83</v>
      </c>
      <c r="D56" s="94">
        <v>0</v>
      </c>
    </row>
    <row r="57" spans="1:4" x14ac:dyDescent="0.25">
      <c r="A57" s="93">
        <v>48</v>
      </c>
      <c r="B57" s="94">
        <v>16.989999999999998</v>
      </c>
      <c r="C57" s="94">
        <v>3.86</v>
      </c>
      <c r="D57" s="94">
        <v>0</v>
      </c>
    </row>
    <row r="58" spans="1:4" x14ac:dyDescent="0.25">
      <c r="A58" s="93">
        <v>49</v>
      </c>
      <c r="B58" s="94">
        <v>17.260000000000002</v>
      </c>
      <c r="C58" s="94">
        <v>3.89</v>
      </c>
      <c r="D58" s="94">
        <v>0</v>
      </c>
    </row>
    <row r="59" spans="1:4" x14ac:dyDescent="0.25">
      <c r="A59" s="93">
        <v>50</v>
      </c>
      <c r="B59" s="94">
        <v>17.55</v>
      </c>
      <c r="C59" s="94">
        <v>3.91</v>
      </c>
      <c r="D59" s="94">
        <v>0</v>
      </c>
    </row>
    <row r="60" spans="1:4" x14ac:dyDescent="0.25">
      <c r="A60" s="93">
        <v>51</v>
      </c>
      <c r="B60" s="94">
        <v>17.84</v>
      </c>
      <c r="C60" s="94">
        <v>3.94</v>
      </c>
      <c r="D60" s="94">
        <v>0</v>
      </c>
    </row>
    <row r="61" spans="1:4" x14ac:dyDescent="0.25">
      <c r="A61" s="93">
        <v>52</v>
      </c>
      <c r="B61" s="94">
        <v>18.14</v>
      </c>
      <c r="C61" s="94">
        <v>3.97</v>
      </c>
      <c r="D61" s="94">
        <v>0</v>
      </c>
    </row>
    <row r="62" spans="1:4" x14ac:dyDescent="0.25">
      <c r="A62" s="93">
        <v>53</v>
      </c>
      <c r="B62" s="94">
        <v>18.440000000000001</v>
      </c>
      <c r="C62" s="94">
        <v>3.99</v>
      </c>
      <c r="D62" s="94">
        <v>0</v>
      </c>
    </row>
    <row r="63" spans="1:4" x14ac:dyDescent="0.25">
      <c r="A63" s="93">
        <v>54</v>
      </c>
      <c r="B63" s="94">
        <v>18.760000000000002</v>
      </c>
      <c r="C63" s="94">
        <v>4.01</v>
      </c>
      <c r="D63" s="94">
        <v>0</v>
      </c>
    </row>
    <row r="64" spans="1:4" x14ac:dyDescent="0.25">
      <c r="A64" s="93">
        <v>55</v>
      </c>
      <c r="B64" s="94">
        <v>19.079999999999998</v>
      </c>
      <c r="C64" s="94">
        <v>4.03</v>
      </c>
      <c r="D64" s="94">
        <v>0</v>
      </c>
    </row>
    <row r="65" spans="1:4" x14ac:dyDescent="0.25">
      <c r="A65" s="93">
        <v>56</v>
      </c>
      <c r="B65" s="94">
        <v>19.420000000000002</v>
      </c>
      <c r="C65" s="94">
        <v>4.05</v>
      </c>
      <c r="D65" s="94">
        <v>0</v>
      </c>
    </row>
    <row r="66" spans="1:4" x14ac:dyDescent="0.25">
      <c r="A66" s="93">
        <v>57</v>
      </c>
      <c r="B66" s="94">
        <v>19.77</v>
      </c>
      <c r="C66" s="94">
        <v>4.0599999999999996</v>
      </c>
      <c r="D66" s="94">
        <v>0</v>
      </c>
    </row>
    <row r="67" spans="1:4" x14ac:dyDescent="0.25">
      <c r="A67" s="93">
        <v>58</v>
      </c>
      <c r="B67" s="94">
        <v>20.13</v>
      </c>
      <c r="C67" s="94">
        <v>4.07</v>
      </c>
      <c r="D67" s="94">
        <v>0</v>
      </c>
    </row>
    <row r="68" spans="1:4" x14ac:dyDescent="0.25">
      <c r="A68" s="93">
        <v>59</v>
      </c>
      <c r="B68" s="94">
        <v>20.5</v>
      </c>
      <c r="C68" s="94">
        <v>4.08</v>
      </c>
      <c r="D68" s="94">
        <v>0</v>
      </c>
    </row>
  </sheetData>
  <sheetProtection algorithmName="SHA-512" hashValue="XnhzCp0IYZcKZNQOuL1MQvfVUfJDivCQrVF16FvyftWfcdRnq0powSbQr3WuVA9W6vf5CBuKi56wR0X5nFxtWg==" saltValue="Bsa33cskgQL2CAze1IPBrw==" spinCount="100000" sheet="1" objects="1" scenarios="1"/>
  <conditionalFormatting sqref="A6:A21">
    <cfRule type="expression" dxfId="941" priority="25" stopIfTrue="1">
      <formula>MOD(ROW(),2)=0</formula>
    </cfRule>
    <cfRule type="expression" dxfId="940" priority="26" stopIfTrue="1">
      <formula>MOD(ROW(),2)&lt;&gt;0</formula>
    </cfRule>
  </conditionalFormatting>
  <conditionalFormatting sqref="A26:A68">
    <cfRule type="expression" dxfId="939" priority="7" stopIfTrue="1">
      <formula>MOD(ROW(),2)=0</formula>
    </cfRule>
    <cfRule type="expression" dxfId="938" priority="8" stopIfTrue="1">
      <formula>MOD(ROW(),2)&lt;&gt;0</formula>
    </cfRule>
  </conditionalFormatting>
  <conditionalFormatting sqref="B17:B19">
    <cfRule type="expression" dxfId="937" priority="1" stopIfTrue="1">
      <formula>MOD(ROW(),2)=0</formula>
    </cfRule>
    <cfRule type="expression" dxfId="936" priority="2" stopIfTrue="1">
      <formula>MOD(ROW(),2)&lt;&gt;0</formula>
    </cfRule>
  </conditionalFormatting>
  <conditionalFormatting sqref="B6:D21 B26:D68">
    <cfRule type="expression" dxfId="935" priority="33" stopIfTrue="1">
      <formula>MOD(ROW(),2)=0</formula>
    </cfRule>
    <cfRule type="expression" dxfId="934" priority="34" stopIfTrue="1">
      <formula>MOD(ROW(),2)&lt;&gt;0</formula>
    </cfRule>
  </conditionalFormatting>
  <conditionalFormatting sqref="C17:D17">
    <cfRule type="expression" dxfId="933" priority="3" stopIfTrue="1">
      <formula>MOD(ROW(),2)=0</formula>
    </cfRule>
    <cfRule type="expression" dxfId="9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4.21875" style="27" customWidth="1"/>
    <col min="3"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x-208</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342</v>
      </c>
      <c r="C10" s="110"/>
    </row>
    <row r="11" spans="1:7" x14ac:dyDescent="0.25">
      <c r="A11" s="73" t="s">
        <v>308</v>
      </c>
      <c r="B11" s="110" t="s">
        <v>322</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208</v>
      </c>
      <c r="C14" s="110"/>
    </row>
    <row r="15" spans="1:7" x14ac:dyDescent="0.25">
      <c r="A15" s="73" t="s">
        <v>569</v>
      </c>
      <c r="B15" s="110" t="s">
        <v>343</v>
      </c>
      <c r="C15" s="110"/>
    </row>
    <row r="16" spans="1:7" x14ac:dyDescent="0.25">
      <c r="A16" s="73" t="s">
        <v>313</v>
      </c>
      <c r="B16" s="110" t="s">
        <v>344</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1" customHeight="1" x14ac:dyDescent="0.25">
      <c r="A26" s="92" t="s">
        <v>640</v>
      </c>
      <c r="B26" s="92" t="s">
        <v>646</v>
      </c>
      <c r="C26" s="92" t="s">
        <v>647</v>
      </c>
    </row>
    <row r="27" spans="1:3" x14ac:dyDescent="0.25">
      <c r="A27" s="93">
        <v>16</v>
      </c>
      <c r="B27" s="94">
        <v>8.4</v>
      </c>
      <c r="C27" s="94">
        <v>2.2000000000000002</v>
      </c>
    </row>
    <row r="28" spans="1:3" x14ac:dyDescent="0.25">
      <c r="A28" s="93">
        <v>17</v>
      </c>
      <c r="B28" s="94">
        <v>8.52</v>
      </c>
      <c r="C28" s="94">
        <v>2.37</v>
      </c>
    </row>
    <row r="29" spans="1:3" x14ac:dyDescent="0.25">
      <c r="A29" s="93">
        <v>18</v>
      </c>
      <c r="B29" s="94">
        <v>8.64</v>
      </c>
      <c r="C29" s="94">
        <v>2.56</v>
      </c>
    </row>
    <row r="30" spans="1:3" x14ac:dyDescent="0.25">
      <c r="A30" s="93">
        <v>19</v>
      </c>
      <c r="B30" s="94">
        <v>8.76</v>
      </c>
      <c r="C30" s="94">
        <v>2.68</v>
      </c>
    </row>
    <row r="31" spans="1:3" x14ac:dyDescent="0.25">
      <c r="A31" s="93">
        <v>20</v>
      </c>
      <c r="B31" s="94">
        <v>8.8800000000000008</v>
      </c>
      <c r="C31" s="94">
        <v>2.72</v>
      </c>
    </row>
    <row r="32" spans="1:3" x14ac:dyDescent="0.25">
      <c r="A32" s="93">
        <v>21</v>
      </c>
      <c r="B32" s="94">
        <v>9</v>
      </c>
      <c r="C32" s="94">
        <v>2.77</v>
      </c>
    </row>
    <row r="33" spans="1:3" x14ac:dyDescent="0.25">
      <c r="A33" s="93">
        <v>22</v>
      </c>
      <c r="B33" s="94">
        <v>9.1300000000000008</v>
      </c>
      <c r="C33" s="94">
        <v>2.81</v>
      </c>
    </row>
    <row r="34" spans="1:3" x14ac:dyDescent="0.25">
      <c r="A34" s="93">
        <v>23</v>
      </c>
      <c r="B34" s="94">
        <v>9.25</v>
      </c>
      <c r="C34" s="94">
        <v>2.86</v>
      </c>
    </row>
    <row r="35" spans="1:3" x14ac:dyDescent="0.25">
      <c r="A35" s="93">
        <v>24</v>
      </c>
      <c r="B35" s="94">
        <v>9.3800000000000008</v>
      </c>
      <c r="C35" s="94">
        <v>2.91</v>
      </c>
    </row>
    <row r="36" spans="1:3" x14ac:dyDescent="0.25">
      <c r="A36" s="93">
        <v>25</v>
      </c>
      <c r="B36" s="94">
        <v>9.51</v>
      </c>
      <c r="C36" s="94">
        <v>2.95</v>
      </c>
    </row>
    <row r="37" spans="1:3" x14ac:dyDescent="0.25">
      <c r="A37" s="93">
        <v>26</v>
      </c>
      <c r="B37" s="94">
        <v>9.65</v>
      </c>
      <c r="C37" s="94">
        <v>3</v>
      </c>
    </row>
    <row r="38" spans="1:3" x14ac:dyDescent="0.25">
      <c r="A38" s="93">
        <v>27</v>
      </c>
      <c r="B38" s="94">
        <v>9.7799999999999994</v>
      </c>
      <c r="C38" s="94">
        <v>3.05</v>
      </c>
    </row>
    <row r="39" spans="1:3" x14ac:dyDescent="0.25">
      <c r="A39" s="93">
        <v>28</v>
      </c>
      <c r="B39" s="94">
        <v>9.92</v>
      </c>
      <c r="C39" s="94">
        <v>3.1</v>
      </c>
    </row>
    <row r="40" spans="1:3" x14ac:dyDescent="0.25">
      <c r="A40" s="93">
        <v>29</v>
      </c>
      <c r="B40" s="94">
        <v>10.050000000000001</v>
      </c>
      <c r="C40" s="94">
        <v>3.14</v>
      </c>
    </row>
    <row r="41" spans="1:3" x14ac:dyDescent="0.25">
      <c r="A41" s="93">
        <v>30</v>
      </c>
      <c r="B41" s="94">
        <v>10.199999999999999</v>
      </c>
      <c r="C41" s="94">
        <v>3.19</v>
      </c>
    </row>
    <row r="42" spans="1:3" x14ac:dyDescent="0.25">
      <c r="A42" s="93">
        <v>31</v>
      </c>
      <c r="B42" s="94">
        <v>10.34</v>
      </c>
      <c r="C42" s="94">
        <v>3.24</v>
      </c>
    </row>
    <row r="43" spans="1:3" x14ac:dyDescent="0.25">
      <c r="A43" s="93">
        <v>32</v>
      </c>
      <c r="B43" s="94">
        <v>10.49</v>
      </c>
      <c r="C43" s="94">
        <v>3.28</v>
      </c>
    </row>
    <row r="44" spans="1:3" x14ac:dyDescent="0.25">
      <c r="A44" s="93">
        <v>33</v>
      </c>
      <c r="B44" s="94">
        <v>10.63</v>
      </c>
      <c r="C44" s="94">
        <v>3.33</v>
      </c>
    </row>
    <row r="45" spans="1:3" x14ac:dyDescent="0.25">
      <c r="A45" s="93">
        <v>34</v>
      </c>
      <c r="B45" s="94">
        <v>10.78</v>
      </c>
      <c r="C45" s="94">
        <v>3.38</v>
      </c>
    </row>
    <row r="46" spans="1:3" x14ac:dyDescent="0.25">
      <c r="A46" s="93">
        <v>35</v>
      </c>
      <c r="B46" s="94">
        <v>10.94</v>
      </c>
      <c r="C46" s="94">
        <v>3.42</v>
      </c>
    </row>
    <row r="47" spans="1:3" x14ac:dyDescent="0.25">
      <c r="A47" s="93">
        <v>36</v>
      </c>
      <c r="B47" s="94">
        <v>11.09</v>
      </c>
      <c r="C47" s="94">
        <v>3.47</v>
      </c>
    </row>
    <row r="48" spans="1:3" x14ac:dyDescent="0.25">
      <c r="A48" s="93">
        <v>37</v>
      </c>
      <c r="B48" s="94">
        <v>11.25</v>
      </c>
      <c r="C48" s="94">
        <v>3.51</v>
      </c>
    </row>
    <row r="49" spans="1:3" x14ac:dyDescent="0.25">
      <c r="A49" s="93">
        <v>38</v>
      </c>
      <c r="B49" s="94">
        <v>11.42</v>
      </c>
      <c r="C49" s="94">
        <v>3.55</v>
      </c>
    </row>
    <row r="50" spans="1:3" x14ac:dyDescent="0.25">
      <c r="A50" s="93">
        <v>39</v>
      </c>
      <c r="B50" s="94">
        <v>11.58</v>
      </c>
      <c r="C50" s="94">
        <v>3.6</v>
      </c>
    </row>
    <row r="51" spans="1:3" x14ac:dyDescent="0.25">
      <c r="A51" s="93">
        <v>40</v>
      </c>
      <c r="B51" s="94">
        <v>11.75</v>
      </c>
      <c r="C51" s="94">
        <v>3.64</v>
      </c>
    </row>
    <row r="52" spans="1:3" x14ac:dyDescent="0.25">
      <c r="A52" s="93">
        <v>41</v>
      </c>
      <c r="B52" s="94">
        <v>11.92</v>
      </c>
      <c r="C52" s="94">
        <v>3.68</v>
      </c>
    </row>
    <row r="53" spans="1:3" x14ac:dyDescent="0.25">
      <c r="A53" s="93">
        <v>42</v>
      </c>
      <c r="B53" s="94">
        <v>12.09</v>
      </c>
      <c r="C53" s="94">
        <v>3.72</v>
      </c>
    </row>
    <row r="54" spans="1:3" x14ac:dyDescent="0.25">
      <c r="A54" s="93">
        <v>43</v>
      </c>
      <c r="B54" s="94">
        <v>12.27</v>
      </c>
      <c r="C54" s="94">
        <v>3.76</v>
      </c>
    </row>
    <row r="55" spans="1:3" x14ac:dyDescent="0.25">
      <c r="A55" s="93">
        <v>44</v>
      </c>
      <c r="B55" s="94">
        <v>12.46</v>
      </c>
      <c r="C55" s="94">
        <v>3.8</v>
      </c>
    </row>
    <row r="56" spans="1:3" x14ac:dyDescent="0.25">
      <c r="A56" s="93">
        <v>45</v>
      </c>
      <c r="B56" s="94">
        <v>12.64</v>
      </c>
      <c r="C56" s="94">
        <v>3.84</v>
      </c>
    </row>
    <row r="57" spans="1:3" x14ac:dyDescent="0.25">
      <c r="A57" s="93">
        <v>46</v>
      </c>
      <c r="B57" s="94">
        <v>12.83</v>
      </c>
      <c r="C57" s="94">
        <v>3.87</v>
      </c>
    </row>
    <row r="58" spans="1:3" x14ac:dyDescent="0.25">
      <c r="A58" s="93">
        <v>47</v>
      </c>
      <c r="B58" s="94">
        <v>13.03</v>
      </c>
      <c r="C58" s="94">
        <v>3.9</v>
      </c>
    </row>
    <row r="59" spans="1:3" x14ac:dyDescent="0.25">
      <c r="A59" s="93">
        <v>48</v>
      </c>
      <c r="B59" s="94">
        <v>13.23</v>
      </c>
      <c r="C59" s="94">
        <v>3.94</v>
      </c>
    </row>
    <row r="60" spans="1:3" x14ac:dyDescent="0.25">
      <c r="A60" s="93">
        <v>49</v>
      </c>
      <c r="B60" s="94">
        <v>13.44</v>
      </c>
      <c r="C60" s="94">
        <v>3.97</v>
      </c>
    </row>
    <row r="61" spans="1:3" x14ac:dyDescent="0.25">
      <c r="A61" s="93">
        <v>50</v>
      </c>
      <c r="B61" s="94">
        <v>13.65</v>
      </c>
      <c r="C61" s="94">
        <v>4</v>
      </c>
    </row>
    <row r="62" spans="1:3" x14ac:dyDescent="0.25">
      <c r="A62" s="93">
        <v>51</v>
      </c>
      <c r="B62" s="94">
        <v>13.86</v>
      </c>
      <c r="C62" s="94">
        <v>4.0199999999999996</v>
      </c>
    </row>
    <row r="63" spans="1:3" x14ac:dyDescent="0.25">
      <c r="A63" s="93">
        <v>52</v>
      </c>
      <c r="B63" s="94">
        <v>14.08</v>
      </c>
      <c r="C63" s="94">
        <v>4.05</v>
      </c>
    </row>
    <row r="64" spans="1:3" x14ac:dyDescent="0.25">
      <c r="A64" s="93">
        <v>53</v>
      </c>
      <c r="B64" s="94">
        <v>14.31</v>
      </c>
      <c r="C64" s="94">
        <v>4.07</v>
      </c>
    </row>
    <row r="65" spans="1:3" x14ac:dyDescent="0.25">
      <c r="A65" s="93">
        <v>54</v>
      </c>
      <c r="B65" s="94">
        <v>14.55</v>
      </c>
      <c r="C65" s="94">
        <v>4.0999999999999996</v>
      </c>
    </row>
    <row r="66" spans="1:3" x14ac:dyDescent="0.25">
      <c r="A66" s="93">
        <v>55</v>
      </c>
      <c r="B66" s="94">
        <v>14.79</v>
      </c>
      <c r="C66" s="94">
        <v>4.12</v>
      </c>
    </row>
    <row r="67" spans="1:3" x14ac:dyDescent="0.25">
      <c r="A67" s="93">
        <v>56</v>
      </c>
      <c r="B67" s="94">
        <v>15.04</v>
      </c>
      <c r="C67" s="94">
        <v>4.13</v>
      </c>
    </row>
    <row r="68" spans="1:3" x14ac:dyDescent="0.25">
      <c r="A68" s="93">
        <v>57</v>
      </c>
      <c r="B68" s="94">
        <v>15.3</v>
      </c>
      <c r="C68" s="94">
        <v>4.1500000000000004</v>
      </c>
    </row>
    <row r="69" spans="1:3" x14ac:dyDescent="0.25">
      <c r="A69" s="93">
        <v>58</v>
      </c>
      <c r="B69" s="94">
        <v>15.56</v>
      </c>
      <c r="C69" s="94">
        <v>4.16</v>
      </c>
    </row>
    <row r="70" spans="1:3" x14ac:dyDescent="0.25">
      <c r="A70" s="93">
        <v>59</v>
      </c>
      <c r="B70" s="94">
        <v>15.84</v>
      </c>
      <c r="C70" s="94">
        <v>4.17</v>
      </c>
    </row>
    <row r="71" spans="1:3" x14ac:dyDescent="0.25">
      <c r="A71" s="93">
        <v>60</v>
      </c>
      <c r="B71" s="94">
        <v>16.13</v>
      </c>
      <c r="C71" s="94">
        <v>4.18</v>
      </c>
    </row>
    <row r="72" spans="1:3" x14ac:dyDescent="0.25">
      <c r="A72" s="93">
        <v>61</v>
      </c>
      <c r="B72" s="94">
        <v>16.43</v>
      </c>
      <c r="C72" s="94">
        <v>4.18</v>
      </c>
    </row>
    <row r="73" spans="1:3" x14ac:dyDescent="0.25">
      <c r="A73" s="93">
        <v>62</v>
      </c>
      <c r="B73" s="94">
        <v>16.75</v>
      </c>
      <c r="C73" s="94">
        <v>4.18</v>
      </c>
    </row>
    <row r="74" spans="1:3" x14ac:dyDescent="0.25">
      <c r="A74" s="93">
        <v>63</v>
      </c>
      <c r="B74" s="94">
        <v>17.079999999999998</v>
      </c>
      <c r="C74" s="94">
        <v>4.17</v>
      </c>
    </row>
    <row r="75" spans="1:3" x14ac:dyDescent="0.25">
      <c r="A75" s="93">
        <v>64</v>
      </c>
      <c r="B75" s="94">
        <v>17.43</v>
      </c>
      <c r="C75" s="94">
        <v>4.16</v>
      </c>
    </row>
    <row r="76" spans="1:3" x14ac:dyDescent="0.25">
      <c r="A76" s="93">
        <v>65</v>
      </c>
      <c r="B76" s="94">
        <v>17.29</v>
      </c>
      <c r="C76" s="94">
        <v>4.1500000000000004</v>
      </c>
    </row>
    <row r="77" spans="1:3" x14ac:dyDescent="0.25">
      <c r="A77" s="93">
        <v>66</v>
      </c>
      <c r="B77" s="94">
        <v>16.63</v>
      </c>
      <c r="C77" s="94">
        <v>4.1500000000000004</v>
      </c>
    </row>
    <row r="78" spans="1:3" x14ac:dyDescent="0.25">
      <c r="A78" s="93">
        <v>67</v>
      </c>
      <c r="B78" s="94">
        <v>15.97</v>
      </c>
      <c r="C78" s="94">
        <v>4.1500000000000004</v>
      </c>
    </row>
    <row r="79" spans="1:3" x14ac:dyDescent="0.25">
      <c r="A79" s="93">
        <v>68</v>
      </c>
      <c r="B79" s="94">
        <v>15.32</v>
      </c>
      <c r="C79" s="94">
        <v>4.1399999999999997</v>
      </c>
    </row>
    <row r="80" spans="1:3" x14ac:dyDescent="0.25">
      <c r="A80" s="93">
        <v>69</v>
      </c>
      <c r="B80" s="94">
        <v>14.68</v>
      </c>
      <c r="C80" s="94">
        <v>4.07</v>
      </c>
    </row>
    <row r="81" spans="1:3" x14ac:dyDescent="0.25">
      <c r="A81" s="93">
        <v>70</v>
      </c>
      <c r="B81" s="94">
        <v>14.04</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85uqM+mOrQpU7NDi6SQ1E0ZwmtgFTnVHI78xxEmFsYHiMogu/0HC/YkXqaoMksBse9b+LvWCxgCIM4IY0SqL5g==" saltValue="BkTdw89PZKSiReAVCPH6mA==" spinCount="100000" sheet="1" objects="1" scenarios="1"/>
  <conditionalFormatting sqref="A6:A21">
    <cfRule type="expression" dxfId="931" priority="15" stopIfTrue="1">
      <formula>MOD(ROW(),2)=0</formula>
    </cfRule>
    <cfRule type="expression" dxfId="930" priority="16" stopIfTrue="1">
      <formula>MOD(ROW(),2)&lt;&gt;0</formula>
    </cfRule>
  </conditionalFormatting>
  <conditionalFormatting sqref="A26:A85">
    <cfRule type="expression" dxfId="929" priority="5" stopIfTrue="1">
      <formula>MOD(ROW(),2)=0</formula>
    </cfRule>
    <cfRule type="expression" dxfId="928" priority="6" stopIfTrue="1">
      <formula>MOD(ROW(),2)&lt;&gt;0</formula>
    </cfRule>
  </conditionalFormatting>
  <conditionalFormatting sqref="B17:B19">
    <cfRule type="expression" dxfId="927" priority="1" stopIfTrue="1">
      <formula>MOD(ROW(),2)=0</formula>
    </cfRule>
  </conditionalFormatting>
  <conditionalFormatting sqref="B18:B19">
    <cfRule type="expression" dxfId="926" priority="2" stopIfTrue="1">
      <formula>MOD(ROW(),2)&lt;&gt;0</formula>
    </cfRule>
  </conditionalFormatting>
  <conditionalFormatting sqref="B6:C21">
    <cfRule type="expression" dxfId="925" priority="23" stopIfTrue="1">
      <formula>MOD(ROW(),2)=0</formula>
    </cfRule>
    <cfRule type="expression" dxfId="924" priority="24" stopIfTrue="1">
      <formula>MOD(ROW(),2)&lt;&gt;0</formula>
    </cfRule>
  </conditionalFormatting>
  <conditionalFormatting sqref="B17:C17">
    <cfRule type="expression" dxfId="923" priority="4" stopIfTrue="1">
      <formula>MOD(ROW(),2)&lt;&gt;0</formula>
    </cfRule>
  </conditionalFormatting>
  <conditionalFormatting sqref="B26:C85">
    <cfRule type="expression" dxfId="922" priority="7" stopIfTrue="1">
      <formula>MOD(ROW(),2)=0</formula>
    </cfRule>
    <cfRule type="expression" dxfId="921" priority="8" stopIfTrue="1">
      <formula>MOD(ROW(),2)&lt;&gt;0</formula>
    </cfRule>
  </conditionalFormatting>
  <conditionalFormatting sqref="C17">
    <cfRule type="expression" dxfId="920"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x-209</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342</v>
      </c>
      <c r="C10" s="110"/>
    </row>
    <row r="11" spans="1:7" x14ac:dyDescent="0.25">
      <c r="A11" s="73" t="s">
        <v>308</v>
      </c>
      <c r="B11" s="110" t="s">
        <v>328</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209</v>
      </c>
      <c r="C14" s="110"/>
    </row>
    <row r="15" spans="1:7" x14ac:dyDescent="0.25">
      <c r="A15" s="73" t="s">
        <v>569</v>
      </c>
      <c r="B15" s="110" t="s">
        <v>345</v>
      </c>
      <c r="C15" s="110"/>
    </row>
    <row r="16" spans="1:7" x14ac:dyDescent="0.25">
      <c r="A16" s="73" t="s">
        <v>313</v>
      </c>
      <c r="B16" s="110" t="s">
        <v>346</v>
      </c>
      <c r="C16" s="110"/>
    </row>
    <row r="17" spans="1:3" ht="40.3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8.4</v>
      </c>
      <c r="C27" s="94">
        <v>2.2000000000000002</v>
      </c>
    </row>
    <row r="28" spans="1:3" x14ac:dyDescent="0.25">
      <c r="A28" s="93">
        <v>17</v>
      </c>
      <c r="B28" s="94">
        <v>8.52</v>
      </c>
      <c r="C28" s="94">
        <v>2.37</v>
      </c>
    </row>
    <row r="29" spans="1:3" x14ac:dyDescent="0.25">
      <c r="A29" s="93">
        <v>18</v>
      </c>
      <c r="B29" s="94">
        <v>8.64</v>
      </c>
      <c r="C29" s="94">
        <v>2.56</v>
      </c>
    </row>
    <row r="30" spans="1:3" x14ac:dyDescent="0.25">
      <c r="A30" s="93">
        <v>19</v>
      </c>
      <c r="B30" s="94">
        <v>8.76</v>
      </c>
      <c r="C30" s="94">
        <v>2.68</v>
      </c>
    </row>
    <row r="31" spans="1:3" x14ac:dyDescent="0.25">
      <c r="A31" s="93">
        <v>20</v>
      </c>
      <c r="B31" s="94">
        <v>8.8800000000000008</v>
      </c>
      <c r="C31" s="94">
        <v>2.72</v>
      </c>
    </row>
    <row r="32" spans="1:3" x14ac:dyDescent="0.25">
      <c r="A32" s="93">
        <v>21</v>
      </c>
      <c r="B32" s="94">
        <v>9</v>
      </c>
      <c r="C32" s="94">
        <v>2.77</v>
      </c>
    </row>
    <row r="33" spans="1:3" x14ac:dyDescent="0.25">
      <c r="A33" s="93">
        <v>22</v>
      </c>
      <c r="B33" s="94">
        <v>9.1300000000000008</v>
      </c>
      <c r="C33" s="94">
        <v>2.81</v>
      </c>
    </row>
    <row r="34" spans="1:3" x14ac:dyDescent="0.25">
      <c r="A34" s="93">
        <v>23</v>
      </c>
      <c r="B34" s="94">
        <v>9.25</v>
      </c>
      <c r="C34" s="94">
        <v>2.86</v>
      </c>
    </row>
    <row r="35" spans="1:3" x14ac:dyDescent="0.25">
      <c r="A35" s="93">
        <v>24</v>
      </c>
      <c r="B35" s="94">
        <v>9.3800000000000008</v>
      </c>
      <c r="C35" s="94">
        <v>2.91</v>
      </c>
    </row>
    <row r="36" spans="1:3" x14ac:dyDescent="0.25">
      <c r="A36" s="93">
        <v>25</v>
      </c>
      <c r="B36" s="94">
        <v>9.51</v>
      </c>
      <c r="C36" s="94">
        <v>2.95</v>
      </c>
    </row>
    <row r="37" spans="1:3" x14ac:dyDescent="0.25">
      <c r="A37" s="93">
        <v>26</v>
      </c>
      <c r="B37" s="94">
        <v>9.65</v>
      </c>
      <c r="C37" s="94">
        <v>3</v>
      </c>
    </row>
    <row r="38" spans="1:3" x14ac:dyDescent="0.25">
      <c r="A38" s="93">
        <v>27</v>
      </c>
      <c r="B38" s="94">
        <v>9.7799999999999994</v>
      </c>
      <c r="C38" s="94">
        <v>3.05</v>
      </c>
    </row>
    <row r="39" spans="1:3" x14ac:dyDescent="0.25">
      <c r="A39" s="93">
        <v>28</v>
      </c>
      <c r="B39" s="94">
        <v>9.92</v>
      </c>
      <c r="C39" s="94">
        <v>3.1</v>
      </c>
    </row>
    <row r="40" spans="1:3" x14ac:dyDescent="0.25">
      <c r="A40" s="93">
        <v>29</v>
      </c>
      <c r="B40" s="94">
        <v>10.050000000000001</v>
      </c>
      <c r="C40" s="94">
        <v>3.14</v>
      </c>
    </row>
    <row r="41" spans="1:3" x14ac:dyDescent="0.25">
      <c r="A41" s="93">
        <v>30</v>
      </c>
      <c r="B41" s="94">
        <v>10.199999999999999</v>
      </c>
      <c r="C41" s="94">
        <v>3.19</v>
      </c>
    </row>
    <row r="42" spans="1:3" x14ac:dyDescent="0.25">
      <c r="A42" s="93">
        <v>31</v>
      </c>
      <c r="B42" s="94">
        <v>10.34</v>
      </c>
      <c r="C42" s="94">
        <v>3.24</v>
      </c>
    </row>
    <row r="43" spans="1:3" x14ac:dyDescent="0.25">
      <c r="A43" s="93">
        <v>32</v>
      </c>
      <c r="B43" s="94">
        <v>10.49</v>
      </c>
      <c r="C43" s="94">
        <v>3.28</v>
      </c>
    </row>
    <row r="44" spans="1:3" x14ac:dyDescent="0.25">
      <c r="A44" s="93">
        <v>33</v>
      </c>
      <c r="B44" s="94">
        <v>10.63</v>
      </c>
      <c r="C44" s="94">
        <v>3.33</v>
      </c>
    </row>
    <row r="45" spans="1:3" x14ac:dyDescent="0.25">
      <c r="A45" s="93">
        <v>34</v>
      </c>
      <c r="B45" s="94">
        <v>10.78</v>
      </c>
      <c r="C45" s="94">
        <v>3.38</v>
      </c>
    </row>
    <row r="46" spans="1:3" x14ac:dyDescent="0.25">
      <c r="A46" s="93">
        <v>35</v>
      </c>
      <c r="B46" s="94">
        <v>10.94</v>
      </c>
      <c r="C46" s="94">
        <v>3.42</v>
      </c>
    </row>
    <row r="47" spans="1:3" x14ac:dyDescent="0.25">
      <c r="A47" s="93">
        <v>36</v>
      </c>
      <c r="B47" s="94">
        <v>11.09</v>
      </c>
      <c r="C47" s="94">
        <v>3.47</v>
      </c>
    </row>
    <row r="48" spans="1:3" x14ac:dyDescent="0.25">
      <c r="A48" s="93">
        <v>37</v>
      </c>
      <c r="B48" s="94">
        <v>11.25</v>
      </c>
      <c r="C48" s="94">
        <v>3.51</v>
      </c>
    </row>
    <row r="49" spans="1:3" x14ac:dyDescent="0.25">
      <c r="A49" s="93">
        <v>38</v>
      </c>
      <c r="B49" s="94">
        <v>11.42</v>
      </c>
      <c r="C49" s="94">
        <v>3.55</v>
      </c>
    </row>
    <row r="50" spans="1:3" x14ac:dyDescent="0.25">
      <c r="A50" s="93">
        <v>39</v>
      </c>
      <c r="B50" s="94">
        <v>11.58</v>
      </c>
      <c r="C50" s="94">
        <v>3.6</v>
      </c>
    </row>
    <row r="51" spans="1:3" x14ac:dyDescent="0.25">
      <c r="A51" s="93">
        <v>40</v>
      </c>
      <c r="B51" s="94">
        <v>11.75</v>
      </c>
      <c r="C51" s="94">
        <v>3.64</v>
      </c>
    </row>
    <row r="52" spans="1:3" x14ac:dyDescent="0.25">
      <c r="A52" s="93">
        <v>41</v>
      </c>
      <c r="B52" s="94">
        <v>11.92</v>
      </c>
      <c r="C52" s="94">
        <v>3.68</v>
      </c>
    </row>
    <row r="53" spans="1:3" x14ac:dyDescent="0.25">
      <c r="A53" s="93">
        <v>42</v>
      </c>
      <c r="B53" s="94">
        <v>12.09</v>
      </c>
      <c r="C53" s="94">
        <v>3.72</v>
      </c>
    </row>
    <row r="54" spans="1:3" x14ac:dyDescent="0.25">
      <c r="A54" s="93">
        <v>43</v>
      </c>
      <c r="B54" s="94">
        <v>12.27</v>
      </c>
      <c r="C54" s="94">
        <v>3.76</v>
      </c>
    </row>
    <row r="55" spans="1:3" x14ac:dyDescent="0.25">
      <c r="A55" s="93">
        <v>44</v>
      </c>
      <c r="B55" s="94">
        <v>12.46</v>
      </c>
      <c r="C55" s="94">
        <v>3.8</v>
      </c>
    </row>
    <row r="56" spans="1:3" x14ac:dyDescent="0.25">
      <c r="A56" s="93">
        <v>45</v>
      </c>
      <c r="B56" s="94">
        <v>12.64</v>
      </c>
      <c r="C56" s="94">
        <v>3.84</v>
      </c>
    </row>
    <row r="57" spans="1:3" x14ac:dyDescent="0.25">
      <c r="A57" s="93">
        <v>46</v>
      </c>
      <c r="B57" s="94">
        <v>12.83</v>
      </c>
      <c r="C57" s="94">
        <v>3.87</v>
      </c>
    </row>
    <row r="58" spans="1:3" x14ac:dyDescent="0.25">
      <c r="A58" s="93">
        <v>47</v>
      </c>
      <c r="B58" s="94">
        <v>13.03</v>
      </c>
      <c r="C58" s="94">
        <v>3.9</v>
      </c>
    </row>
    <row r="59" spans="1:3" x14ac:dyDescent="0.25">
      <c r="A59" s="93">
        <v>48</v>
      </c>
      <c r="B59" s="94">
        <v>13.23</v>
      </c>
      <c r="C59" s="94">
        <v>3.94</v>
      </c>
    </row>
    <row r="60" spans="1:3" x14ac:dyDescent="0.25">
      <c r="A60" s="93">
        <v>49</v>
      </c>
      <c r="B60" s="94">
        <v>13.44</v>
      </c>
      <c r="C60" s="94">
        <v>3.97</v>
      </c>
    </row>
    <row r="61" spans="1:3" x14ac:dyDescent="0.25">
      <c r="A61" s="93">
        <v>50</v>
      </c>
      <c r="B61" s="94">
        <v>13.65</v>
      </c>
      <c r="C61" s="94">
        <v>4</v>
      </c>
    </row>
    <row r="62" spans="1:3" x14ac:dyDescent="0.25">
      <c r="A62" s="93">
        <v>51</v>
      </c>
      <c r="B62" s="94">
        <v>13.86</v>
      </c>
      <c r="C62" s="94">
        <v>4.0199999999999996</v>
      </c>
    </row>
    <row r="63" spans="1:3" x14ac:dyDescent="0.25">
      <c r="A63" s="93">
        <v>52</v>
      </c>
      <c r="B63" s="94">
        <v>14.08</v>
      </c>
      <c r="C63" s="94">
        <v>4.05</v>
      </c>
    </row>
    <row r="64" spans="1:3" x14ac:dyDescent="0.25">
      <c r="A64" s="93">
        <v>53</v>
      </c>
      <c r="B64" s="94">
        <v>14.31</v>
      </c>
      <c r="C64" s="94">
        <v>4.07</v>
      </c>
    </row>
    <row r="65" spans="1:3" x14ac:dyDescent="0.25">
      <c r="A65" s="93">
        <v>54</v>
      </c>
      <c r="B65" s="94">
        <v>14.55</v>
      </c>
      <c r="C65" s="94">
        <v>4.0999999999999996</v>
      </c>
    </row>
    <row r="66" spans="1:3" x14ac:dyDescent="0.25">
      <c r="A66" s="93">
        <v>55</v>
      </c>
      <c r="B66" s="94">
        <v>14.79</v>
      </c>
      <c r="C66" s="94">
        <v>4.12</v>
      </c>
    </row>
    <row r="67" spans="1:3" x14ac:dyDescent="0.25">
      <c r="A67" s="93">
        <v>56</v>
      </c>
      <c r="B67" s="94">
        <v>15.04</v>
      </c>
      <c r="C67" s="94">
        <v>4.13</v>
      </c>
    </row>
    <row r="68" spans="1:3" x14ac:dyDescent="0.25">
      <c r="A68" s="93">
        <v>57</v>
      </c>
      <c r="B68" s="94">
        <v>15.3</v>
      </c>
      <c r="C68" s="94">
        <v>4.1500000000000004</v>
      </c>
    </row>
    <row r="69" spans="1:3" x14ac:dyDescent="0.25">
      <c r="A69" s="93">
        <v>58</v>
      </c>
      <c r="B69" s="94">
        <v>15.56</v>
      </c>
      <c r="C69" s="94">
        <v>4.16</v>
      </c>
    </row>
    <row r="70" spans="1:3" x14ac:dyDescent="0.25">
      <c r="A70" s="93">
        <v>59</v>
      </c>
      <c r="B70" s="94">
        <v>15.84</v>
      </c>
      <c r="C70" s="94">
        <v>4.17</v>
      </c>
    </row>
    <row r="71" spans="1:3" x14ac:dyDescent="0.25">
      <c r="A71" s="93">
        <v>60</v>
      </c>
      <c r="B71" s="94">
        <v>16.13</v>
      </c>
      <c r="C71" s="94">
        <v>4.18</v>
      </c>
    </row>
    <row r="72" spans="1:3" x14ac:dyDescent="0.25">
      <c r="A72" s="93">
        <v>61</v>
      </c>
      <c r="B72" s="94">
        <v>16.43</v>
      </c>
      <c r="C72" s="94">
        <v>4.18</v>
      </c>
    </row>
    <row r="73" spans="1:3" x14ac:dyDescent="0.25">
      <c r="A73" s="93">
        <v>62</v>
      </c>
      <c r="B73" s="94">
        <v>16.75</v>
      </c>
      <c r="C73" s="94">
        <v>4.18</v>
      </c>
    </row>
    <row r="74" spans="1:3" x14ac:dyDescent="0.25">
      <c r="A74" s="93">
        <v>63</v>
      </c>
      <c r="B74" s="94">
        <v>17.079999999999998</v>
      </c>
      <c r="C74" s="94">
        <v>4.17</v>
      </c>
    </row>
    <row r="75" spans="1:3" x14ac:dyDescent="0.25">
      <c r="A75" s="93">
        <v>64</v>
      </c>
      <c r="B75" s="94">
        <v>17.43</v>
      </c>
      <c r="C75" s="94">
        <v>4.16</v>
      </c>
    </row>
    <row r="76" spans="1:3" x14ac:dyDescent="0.25">
      <c r="A76" s="93">
        <v>65</v>
      </c>
      <c r="B76" s="94">
        <v>17.29</v>
      </c>
      <c r="C76" s="94">
        <v>4.1500000000000004</v>
      </c>
    </row>
    <row r="77" spans="1:3" x14ac:dyDescent="0.25">
      <c r="A77" s="93">
        <v>66</v>
      </c>
      <c r="B77" s="94">
        <v>16.63</v>
      </c>
      <c r="C77" s="94">
        <v>4.1500000000000004</v>
      </c>
    </row>
    <row r="78" spans="1:3" x14ac:dyDescent="0.25">
      <c r="A78" s="93">
        <v>67</v>
      </c>
      <c r="B78" s="94">
        <v>15.97</v>
      </c>
      <c r="C78" s="94">
        <v>4.1500000000000004</v>
      </c>
    </row>
    <row r="79" spans="1:3" x14ac:dyDescent="0.25">
      <c r="A79" s="93">
        <v>68</v>
      </c>
      <c r="B79" s="94">
        <v>15.32</v>
      </c>
      <c r="C79" s="94">
        <v>4.1399999999999997</v>
      </c>
    </row>
    <row r="80" spans="1:3" x14ac:dyDescent="0.25">
      <c r="A80" s="93">
        <v>69</v>
      </c>
      <c r="B80" s="94">
        <v>14.68</v>
      </c>
      <c r="C80" s="94">
        <v>4.07</v>
      </c>
    </row>
    <row r="81" spans="1:3" x14ac:dyDescent="0.25">
      <c r="A81" s="93">
        <v>70</v>
      </c>
      <c r="B81" s="94">
        <v>14.04</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6+EftM9VxBPXjjCtRbeRwGw0alOis7XcDlhw+WhaWJjeYjGhCS/uV8U1Kp/QVC6g54MqDkHnJPzzaSgdg443PQ==" saltValue="4uBFb6F8KEZP5J8DClFrhg==" spinCount="100000" sheet="1" objects="1" scenarios="1"/>
  <conditionalFormatting sqref="A6:A21">
    <cfRule type="expression" dxfId="919" priority="17" stopIfTrue="1">
      <formula>MOD(ROW(),2)=0</formula>
    </cfRule>
    <cfRule type="expression" dxfId="918" priority="18" stopIfTrue="1">
      <formula>MOD(ROW(),2)&lt;&gt;0</formula>
    </cfRule>
  </conditionalFormatting>
  <conditionalFormatting sqref="A26:A85">
    <cfRule type="expression" dxfId="917" priority="7" stopIfTrue="1">
      <formula>MOD(ROW(),2)=0</formula>
    </cfRule>
    <cfRule type="expression" dxfId="916" priority="8" stopIfTrue="1">
      <formula>MOD(ROW(),2)&lt;&gt;0</formula>
    </cfRule>
  </conditionalFormatting>
  <conditionalFormatting sqref="B17:B21">
    <cfRule type="expression" dxfId="915" priority="1" stopIfTrue="1">
      <formula>MOD(ROW(),2)=0</formula>
    </cfRule>
    <cfRule type="expression" dxfId="914" priority="2" stopIfTrue="1">
      <formula>MOD(ROW(),2)&lt;&gt;0</formula>
    </cfRule>
  </conditionalFormatting>
  <conditionalFormatting sqref="B6:C21">
    <cfRule type="expression" dxfId="913" priority="27" stopIfTrue="1">
      <formula>MOD(ROW(),2)=0</formula>
    </cfRule>
    <cfRule type="expression" dxfId="912" priority="28" stopIfTrue="1">
      <formula>MOD(ROW(),2)&lt;&gt;0</formula>
    </cfRule>
  </conditionalFormatting>
  <conditionalFormatting sqref="B26:C85">
    <cfRule type="expression" dxfId="911" priority="9" stopIfTrue="1">
      <formula>MOD(ROW(),2)=0</formula>
    </cfRule>
    <cfRule type="expression" dxfId="910" priority="10" stopIfTrue="1">
      <formula>MOD(ROW(),2)&lt;&gt;0</formula>
    </cfRule>
  </conditionalFormatting>
  <conditionalFormatting sqref="C17">
    <cfRule type="expression" dxfId="909" priority="3" stopIfTrue="1">
      <formula>MOD(ROW(),2)=0</formula>
    </cfRule>
    <cfRule type="expression" dxfId="9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24"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x-210</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347</v>
      </c>
      <c r="C10" s="110"/>
    </row>
    <row r="11" spans="1:7" x14ac:dyDescent="0.25">
      <c r="A11" s="73" t="s">
        <v>308</v>
      </c>
      <c r="B11" s="110" t="s">
        <v>322</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210</v>
      </c>
      <c r="C14" s="110"/>
    </row>
    <row r="15" spans="1:7" x14ac:dyDescent="0.25">
      <c r="A15" s="73" t="s">
        <v>569</v>
      </c>
      <c r="B15" s="110" t="s">
        <v>348</v>
      </c>
      <c r="C15" s="110"/>
    </row>
    <row r="16" spans="1:7" x14ac:dyDescent="0.25">
      <c r="A16" s="73" t="s">
        <v>313</v>
      </c>
      <c r="B16" s="110" t="s">
        <v>349</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7.99</v>
      </c>
      <c r="C27" s="94">
        <v>2.2000000000000002</v>
      </c>
    </row>
    <row r="28" spans="1:3" x14ac:dyDescent="0.25">
      <c r="A28" s="93">
        <v>17</v>
      </c>
      <c r="B28" s="94">
        <v>8.1</v>
      </c>
      <c r="C28" s="94">
        <v>2.38</v>
      </c>
    </row>
    <row r="29" spans="1:3" x14ac:dyDescent="0.25">
      <c r="A29" s="93">
        <v>18</v>
      </c>
      <c r="B29" s="94">
        <v>8.2100000000000009</v>
      </c>
      <c r="C29" s="94">
        <v>2.57</v>
      </c>
    </row>
    <row r="30" spans="1:3" x14ac:dyDescent="0.25">
      <c r="A30" s="93">
        <v>19</v>
      </c>
      <c r="B30" s="94">
        <v>8.33</v>
      </c>
      <c r="C30" s="94">
        <v>2.69</v>
      </c>
    </row>
    <row r="31" spans="1:3" x14ac:dyDescent="0.25">
      <c r="A31" s="93">
        <v>20</v>
      </c>
      <c r="B31" s="94">
        <v>8.44</v>
      </c>
      <c r="C31" s="94">
        <v>2.73</v>
      </c>
    </row>
    <row r="32" spans="1:3" x14ac:dyDescent="0.25">
      <c r="A32" s="93">
        <v>21</v>
      </c>
      <c r="B32" s="94">
        <v>8.56</v>
      </c>
      <c r="C32" s="94">
        <v>2.78</v>
      </c>
    </row>
    <row r="33" spans="1:3" x14ac:dyDescent="0.25">
      <c r="A33" s="93">
        <v>22</v>
      </c>
      <c r="B33" s="94">
        <v>8.68</v>
      </c>
      <c r="C33" s="94">
        <v>2.82</v>
      </c>
    </row>
    <row r="34" spans="1:3" x14ac:dyDescent="0.25">
      <c r="A34" s="93">
        <v>23</v>
      </c>
      <c r="B34" s="94">
        <v>8.8000000000000007</v>
      </c>
      <c r="C34" s="94">
        <v>2.87</v>
      </c>
    </row>
    <row r="35" spans="1:3" x14ac:dyDescent="0.25">
      <c r="A35" s="93">
        <v>24</v>
      </c>
      <c r="B35" s="94">
        <v>8.92</v>
      </c>
      <c r="C35" s="94">
        <v>2.92</v>
      </c>
    </row>
    <row r="36" spans="1:3" x14ac:dyDescent="0.25">
      <c r="A36" s="93">
        <v>25</v>
      </c>
      <c r="B36" s="94">
        <v>9.0399999999999991</v>
      </c>
      <c r="C36" s="94">
        <v>2.96</v>
      </c>
    </row>
    <row r="37" spans="1:3" x14ac:dyDescent="0.25">
      <c r="A37" s="93">
        <v>26</v>
      </c>
      <c r="B37" s="94">
        <v>9.16</v>
      </c>
      <c r="C37" s="94">
        <v>3.01</v>
      </c>
    </row>
    <row r="38" spans="1:3" x14ac:dyDescent="0.25">
      <c r="A38" s="93">
        <v>27</v>
      </c>
      <c r="B38" s="94">
        <v>9.2899999999999991</v>
      </c>
      <c r="C38" s="94">
        <v>3.06</v>
      </c>
    </row>
    <row r="39" spans="1:3" x14ac:dyDescent="0.25">
      <c r="A39" s="93">
        <v>28</v>
      </c>
      <c r="B39" s="94">
        <v>9.42</v>
      </c>
      <c r="C39" s="94">
        <v>3.11</v>
      </c>
    </row>
    <row r="40" spans="1:3" x14ac:dyDescent="0.25">
      <c r="A40" s="93">
        <v>29</v>
      </c>
      <c r="B40" s="94">
        <v>9.5500000000000007</v>
      </c>
      <c r="C40" s="94">
        <v>3.16</v>
      </c>
    </row>
    <row r="41" spans="1:3" x14ac:dyDescent="0.25">
      <c r="A41" s="93">
        <v>30</v>
      </c>
      <c r="B41" s="94">
        <v>9.68</v>
      </c>
      <c r="C41" s="94">
        <v>3.2</v>
      </c>
    </row>
    <row r="42" spans="1:3" x14ac:dyDescent="0.25">
      <c r="A42" s="93">
        <v>31</v>
      </c>
      <c r="B42" s="94">
        <v>9.82</v>
      </c>
      <c r="C42" s="94">
        <v>3.25</v>
      </c>
    </row>
    <row r="43" spans="1:3" x14ac:dyDescent="0.25">
      <c r="A43" s="93">
        <v>32</v>
      </c>
      <c r="B43" s="94">
        <v>9.9499999999999993</v>
      </c>
      <c r="C43" s="94">
        <v>3.3</v>
      </c>
    </row>
    <row r="44" spans="1:3" x14ac:dyDescent="0.25">
      <c r="A44" s="93">
        <v>33</v>
      </c>
      <c r="B44" s="94">
        <v>10.09</v>
      </c>
      <c r="C44" s="94">
        <v>3.34</v>
      </c>
    </row>
    <row r="45" spans="1:3" x14ac:dyDescent="0.25">
      <c r="A45" s="93">
        <v>34</v>
      </c>
      <c r="B45" s="94">
        <v>10.24</v>
      </c>
      <c r="C45" s="94">
        <v>3.39</v>
      </c>
    </row>
    <row r="46" spans="1:3" x14ac:dyDescent="0.25">
      <c r="A46" s="93">
        <v>35</v>
      </c>
      <c r="B46" s="94">
        <v>10.38</v>
      </c>
      <c r="C46" s="94">
        <v>3.43</v>
      </c>
    </row>
    <row r="47" spans="1:3" x14ac:dyDescent="0.25">
      <c r="A47" s="93">
        <v>36</v>
      </c>
      <c r="B47" s="94">
        <v>10.53</v>
      </c>
      <c r="C47" s="94">
        <v>3.48</v>
      </c>
    </row>
    <row r="48" spans="1:3" x14ac:dyDescent="0.25">
      <c r="A48" s="93">
        <v>37</v>
      </c>
      <c r="B48" s="94">
        <v>10.68</v>
      </c>
      <c r="C48" s="94">
        <v>3.52</v>
      </c>
    </row>
    <row r="49" spans="1:3" x14ac:dyDescent="0.25">
      <c r="A49" s="93">
        <v>38</v>
      </c>
      <c r="B49" s="94">
        <v>10.83</v>
      </c>
      <c r="C49" s="94">
        <v>3.57</v>
      </c>
    </row>
    <row r="50" spans="1:3" x14ac:dyDescent="0.25">
      <c r="A50" s="93">
        <v>39</v>
      </c>
      <c r="B50" s="94">
        <v>10.98</v>
      </c>
      <c r="C50" s="94">
        <v>3.61</v>
      </c>
    </row>
    <row r="51" spans="1:3" x14ac:dyDescent="0.25">
      <c r="A51" s="93">
        <v>40</v>
      </c>
      <c r="B51" s="94">
        <v>11.14</v>
      </c>
      <c r="C51" s="94">
        <v>3.66</v>
      </c>
    </row>
    <row r="52" spans="1:3" x14ac:dyDescent="0.25">
      <c r="A52" s="93">
        <v>41</v>
      </c>
      <c r="B52" s="94">
        <v>11.3</v>
      </c>
      <c r="C52" s="94">
        <v>3.7</v>
      </c>
    </row>
    <row r="53" spans="1:3" x14ac:dyDescent="0.25">
      <c r="A53" s="93">
        <v>42</v>
      </c>
      <c r="B53" s="94">
        <v>11.46</v>
      </c>
      <c r="C53" s="94">
        <v>3.74</v>
      </c>
    </row>
    <row r="54" spans="1:3" x14ac:dyDescent="0.25">
      <c r="A54" s="93">
        <v>43</v>
      </c>
      <c r="B54" s="94">
        <v>11.63</v>
      </c>
      <c r="C54" s="94">
        <v>3.78</v>
      </c>
    </row>
    <row r="55" spans="1:3" x14ac:dyDescent="0.25">
      <c r="A55" s="93">
        <v>44</v>
      </c>
      <c r="B55" s="94">
        <v>11.8</v>
      </c>
      <c r="C55" s="94">
        <v>3.82</v>
      </c>
    </row>
    <row r="56" spans="1:3" x14ac:dyDescent="0.25">
      <c r="A56" s="93">
        <v>45</v>
      </c>
      <c r="B56" s="94">
        <v>11.98</v>
      </c>
      <c r="C56" s="94">
        <v>3.85</v>
      </c>
    </row>
    <row r="57" spans="1:3" x14ac:dyDescent="0.25">
      <c r="A57" s="93">
        <v>46</v>
      </c>
      <c r="B57" s="94">
        <v>12.16</v>
      </c>
      <c r="C57" s="94">
        <v>3.89</v>
      </c>
    </row>
    <row r="58" spans="1:3" x14ac:dyDescent="0.25">
      <c r="A58" s="93">
        <v>47</v>
      </c>
      <c r="B58" s="94">
        <v>12.34</v>
      </c>
      <c r="C58" s="94">
        <v>3.92</v>
      </c>
    </row>
    <row r="59" spans="1:3" x14ac:dyDescent="0.25">
      <c r="A59" s="93">
        <v>48</v>
      </c>
      <c r="B59" s="94">
        <v>12.53</v>
      </c>
      <c r="C59" s="94">
        <v>3.96</v>
      </c>
    </row>
    <row r="60" spans="1:3" x14ac:dyDescent="0.25">
      <c r="A60" s="93">
        <v>49</v>
      </c>
      <c r="B60" s="94">
        <v>12.72</v>
      </c>
      <c r="C60" s="94">
        <v>3.99</v>
      </c>
    </row>
    <row r="61" spans="1:3" x14ac:dyDescent="0.25">
      <c r="A61" s="93">
        <v>50</v>
      </c>
      <c r="B61" s="94">
        <v>12.92</v>
      </c>
      <c r="C61" s="94">
        <v>4.0199999999999996</v>
      </c>
    </row>
    <row r="62" spans="1:3" x14ac:dyDescent="0.25">
      <c r="A62" s="93">
        <v>51</v>
      </c>
      <c r="B62" s="94">
        <v>13.12</v>
      </c>
      <c r="C62" s="94">
        <v>4.04</v>
      </c>
    </row>
    <row r="63" spans="1:3" x14ac:dyDescent="0.25">
      <c r="A63" s="93">
        <v>52</v>
      </c>
      <c r="B63" s="94">
        <v>13.33</v>
      </c>
      <c r="C63" s="94">
        <v>4.07</v>
      </c>
    </row>
    <row r="64" spans="1:3" x14ac:dyDescent="0.25">
      <c r="A64" s="93">
        <v>53</v>
      </c>
      <c r="B64" s="94">
        <v>13.54</v>
      </c>
      <c r="C64" s="94">
        <v>4.09</v>
      </c>
    </row>
    <row r="65" spans="1:3" x14ac:dyDescent="0.25">
      <c r="A65" s="93">
        <v>54</v>
      </c>
      <c r="B65" s="94">
        <v>13.76</v>
      </c>
      <c r="C65" s="94">
        <v>4.12</v>
      </c>
    </row>
    <row r="66" spans="1:3" x14ac:dyDescent="0.25">
      <c r="A66" s="93">
        <v>55</v>
      </c>
      <c r="B66" s="94">
        <v>13.99</v>
      </c>
      <c r="C66" s="94">
        <v>4.1399999999999997</v>
      </c>
    </row>
    <row r="67" spans="1:3" x14ac:dyDescent="0.25">
      <c r="A67" s="93">
        <v>56</v>
      </c>
      <c r="B67" s="94">
        <v>14.22</v>
      </c>
      <c r="C67" s="94">
        <v>4.16</v>
      </c>
    </row>
    <row r="68" spans="1:3" x14ac:dyDescent="0.25">
      <c r="A68" s="93">
        <v>57</v>
      </c>
      <c r="B68" s="94">
        <v>14.46</v>
      </c>
      <c r="C68" s="94">
        <v>4.17</v>
      </c>
    </row>
    <row r="69" spans="1:3" x14ac:dyDescent="0.25">
      <c r="A69" s="93">
        <v>58</v>
      </c>
      <c r="B69" s="94">
        <v>14.71</v>
      </c>
      <c r="C69" s="94">
        <v>4.1900000000000004</v>
      </c>
    </row>
    <row r="70" spans="1:3" x14ac:dyDescent="0.25">
      <c r="A70" s="93">
        <v>59</v>
      </c>
      <c r="B70" s="94">
        <v>14.97</v>
      </c>
      <c r="C70" s="94">
        <v>4.2</v>
      </c>
    </row>
    <row r="71" spans="1:3" x14ac:dyDescent="0.25">
      <c r="A71" s="93">
        <v>60</v>
      </c>
      <c r="B71" s="94">
        <v>15.24</v>
      </c>
      <c r="C71" s="94">
        <v>4.2</v>
      </c>
    </row>
    <row r="72" spans="1:3" x14ac:dyDescent="0.25">
      <c r="A72" s="93">
        <v>61</v>
      </c>
      <c r="B72" s="94">
        <v>15.53</v>
      </c>
      <c r="C72" s="94">
        <v>4.2</v>
      </c>
    </row>
    <row r="73" spans="1:3" x14ac:dyDescent="0.25">
      <c r="A73" s="93">
        <v>62</v>
      </c>
      <c r="B73" s="94">
        <v>15.82</v>
      </c>
      <c r="C73" s="94">
        <v>4.2</v>
      </c>
    </row>
    <row r="74" spans="1:3" x14ac:dyDescent="0.25">
      <c r="A74" s="93">
        <v>63</v>
      </c>
      <c r="B74" s="94">
        <v>16.13</v>
      </c>
      <c r="C74" s="94">
        <v>4.2</v>
      </c>
    </row>
    <row r="75" spans="1:3" x14ac:dyDescent="0.25">
      <c r="A75" s="93">
        <v>64</v>
      </c>
      <c r="B75" s="94">
        <v>16.46</v>
      </c>
      <c r="C75" s="94">
        <v>4.18</v>
      </c>
    </row>
    <row r="76" spans="1:3" x14ac:dyDescent="0.25">
      <c r="A76" s="93">
        <v>65</v>
      </c>
      <c r="B76" s="94">
        <v>16.82</v>
      </c>
      <c r="C76" s="94">
        <v>4.16</v>
      </c>
    </row>
    <row r="77" spans="1:3" x14ac:dyDescent="0.25">
      <c r="A77" s="93">
        <v>66</v>
      </c>
      <c r="B77" s="94">
        <v>16.66</v>
      </c>
      <c r="C77" s="94">
        <v>4.1500000000000004</v>
      </c>
    </row>
    <row r="78" spans="1:3" x14ac:dyDescent="0.25">
      <c r="A78" s="93">
        <v>67</v>
      </c>
      <c r="B78" s="94">
        <v>16</v>
      </c>
      <c r="C78" s="94">
        <v>4.1500000000000004</v>
      </c>
    </row>
    <row r="79" spans="1:3" x14ac:dyDescent="0.25">
      <c r="A79" s="93">
        <v>68</v>
      </c>
      <c r="B79" s="94">
        <v>15.34</v>
      </c>
      <c r="C79" s="94">
        <v>4.1399999999999997</v>
      </c>
    </row>
    <row r="80" spans="1:3" x14ac:dyDescent="0.25">
      <c r="A80" s="93">
        <v>69</v>
      </c>
      <c r="B80" s="94">
        <v>14.69</v>
      </c>
      <c r="C80" s="94">
        <v>4.07</v>
      </c>
    </row>
    <row r="81" spans="1:3" x14ac:dyDescent="0.25">
      <c r="A81" s="93">
        <v>70</v>
      </c>
      <c r="B81" s="94">
        <v>14.05</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zRNVnSl8X1zlPWbyIF3NiILsq3YDOfjlSwjMhf3pOOqY61unrutKGIXV8jbktPdtFxZzXR43snWv/P8sgkG9Nw==" saltValue="iebzb6NIp/Dk5TofbfVzIw==" spinCount="100000" sheet="1" objects="1" scenarios="1"/>
  <conditionalFormatting sqref="A6:A21">
    <cfRule type="expression" dxfId="907" priority="19" stopIfTrue="1">
      <formula>MOD(ROW(),2)=0</formula>
    </cfRule>
    <cfRule type="expression" dxfId="906" priority="20" stopIfTrue="1">
      <formula>MOD(ROW(),2)&lt;&gt;0</formula>
    </cfRule>
  </conditionalFormatting>
  <conditionalFormatting sqref="A26:A85">
    <cfRule type="expression" dxfId="905" priority="7" stopIfTrue="1">
      <formula>MOD(ROW(),2)=0</formula>
    </cfRule>
    <cfRule type="expression" dxfId="904" priority="8" stopIfTrue="1">
      <formula>MOD(ROW(),2)&lt;&gt;0</formula>
    </cfRule>
  </conditionalFormatting>
  <conditionalFormatting sqref="B17:B21">
    <cfRule type="expression" dxfId="903" priority="1" stopIfTrue="1">
      <formula>MOD(ROW(),2)=0</formula>
    </cfRule>
    <cfRule type="expression" dxfId="902" priority="2" stopIfTrue="1">
      <formula>MOD(ROW(),2)&lt;&gt;0</formula>
    </cfRule>
  </conditionalFormatting>
  <conditionalFormatting sqref="B6:C21">
    <cfRule type="expression" dxfId="901" priority="29" stopIfTrue="1">
      <formula>MOD(ROW(),2)=0</formula>
    </cfRule>
    <cfRule type="expression" dxfId="900" priority="30" stopIfTrue="1">
      <formula>MOD(ROW(),2)&lt;&gt;0</formula>
    </cfRule>
  </conditionalFormatting>
  <conditionalFormatting sqref="B26:C85">
    <cfRule type="expression" dxfId="899" priority="9" stopIfTrue="1">
      <formula>MOD(ROW(),2)=0</formula>
    </cfRule>
    <cfRule type="expression" dxfId="898" priority="10" stopIfTrue="1">
      <formula>MOD(ROW(),2)&lt;&gt;0</formula>
    </cfRule>
  </conditionalFormatting>
  <conditionalFormatting sqref="C17">
    <cfRule type="expression" dxfId="897" priority="3" stopIfTrue="1">
      <formula>MOD(ROW(),2)=0</formula>
    </cfRule>
    <cfRule type="expression" dxfId="8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x-211</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347</v>
      </c>
      <c r="C10" s="110"/>
    </row>
    <row r="11" spans="1:7" x14ac:dyDescent="0.25">
      <c r="A11" s="73" t="s">
        <v>308</v>
      </c>
      <c r="B11" s="110" t="s">
        <v>328</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211</v>
      </c>
      <c r="C14" s="110"/>
    </row>
    <row r="15" spans="1:7" x14ac:dyDescent="0.25">
      <c r="A15" s="73" t="s">
        <v>569</v>
      </c>
      <c r="B15" s="110" t="s">
        <v>350</v>
      </c>
      <c r="C15" s="110"/>
    </row>
    <row r="16" spans="1:7" x14ac:dyDescent="0.25">
      <c r="A16" s="73" t="s">
        <v>313</v>
      </c>
      <c r="B16" s="110" t="s">
        <v>351</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7.99</v>
      </c>
      <c r="C27" s="94">
        <v>2.2000000000000002</v>
      </c>
    </row>
    <row r="28" spans="1:3" x14ac:dyDescent="0.25">
      <c r="A28" s="93">
        <v>17</v>
      </c>
      <c r="B28" s="94">
        <v>8.1</v>
      </c>
      <c r="C28" s="94">
        <v>2.38</v>
      </c>
    </row>
    <row r="29" spans="1:3" x14ac:dyDescent="0.25">
      <c r="A29" s="93">
        <v>18</v>
      </c>
      <c r="B29" s="94">
        <v>8.2100000000000009</v>
      </c>
      <c r="C29" s="94">
        <v>2.57</v>
      </c>
    </row>
    <row r="30" spans="1:3" x14ac:dyDescent="0.25">
      <c r="A30" s="93">
        <v>19</v>
      </c>
      <c r="B30" s="94">
        <v>8.33</v>
      </c>
      <c r="C30" s="94">
        <v>2.69</v>
      </c>
    </row>
    <row r="31" spans="1:3" x14ac:dyDescent="0.25">
      <c r="A31" s="93">
        <v>20</v>
      </c>
      <c r="B31" s="94">
        <v>8.44</v>
      </c>
      <c r="C31" s="94">
        <v>2.73</v>
      </c>
    </row>
    <row r="32" spans="1:3" x14ac:dyDescent="0.25">
      <c r="A32" s="93">
        <v>21</v>
      </c>
      <c r="B32" s="94">
        <v>8.56</v>
      </c>
      <c r="C32" s="94">
        <v>2.78</v>
      </c>
    </row>
    <row r="33" spans="1:3" x14ac:dyDescent="0.25">
      <c r="A33" s="93">
        <v>22</v>
      </c>
      <c r="B33" s="94">
        <v>8.68</v>
      </c>
      <c r="C33" s="94">
        <v>2.82</v>
      </c>
    </row>
    <row r="34" spans="1:3" x14ac:dyDescent="0.25">
      <c r="A34" s="93">
        <v>23</v>
      </c>
      <c r="B34" s="94">
        <v>8.8000000000000007</v>
      </c>
      <c r="C34" s="94">
        <v>2.87</v>
      </c>
    </row>
    <row r="35" spans="1:3" x14ac:dyDescent="0.25">
      <c r="A35" s="93">
        <v>24</v>
      </c>
      <c r="B35" s="94">
        <v>8.92</v>
      </c>
      <c r="C35" s="94">
        <v>2.92</v>
      </c>
    </row>
    <row r="36" spans="1:3" x14ac:dyDescent="0.25">
      <c r="A36" s="93">
        <v>25</v>
      </c>
      <c r="B36" s="94">
        <v>9.0399999999999991</v>
      </c>
      <c r="C36" s="94">
        <v>2.96</v>
      </c>
    </row>
    <row r="37" spans="1:3" x14ac:dyDescent="0.25">
      <c r="A37" s="93">
        <v>26</v>
      </c>
      <c r="B37" s="94">
        <v>9.16</v>
      </c>
      <c r="C37" s="94">
        <v>3.01</v>
      </c>
    </row>
    <row r="38" spans="1:3" x14ac:dyDescent="0.25">
      <c r="A38" s="93">
        <v>27</v>
      </c>
      <c r="B38" s="94">
        <v>9.2899999999999991</v>
      </c>
      <c r="C38" s="94">
        <v>3.06</v>
      </c>
    </row>
    <row r="39" spans="1:3" x14ac:dyDescent="0.25">
      <c r="A39" s="93">
        <v>28</v>
      </c>
      <c r="B39" s="94">
        <v>9.42</v>
      </c>
      <c r="C39" s="94">
        <v>3.11</v>
      </c>
    </row>
    <row r="40" spans="1:3" x14ac:dyDescent="0.25">
      <c r="A40" s="93">
        <v>29</v>
      </c>
      <c r="B40" s="94">
        <v>9.5500000000000007</v>
      </c>
      <c r="C40" s="94">
        <v>3.16</v>
      </c>
    </row>
    <row r="41" spans="1:3" x14ac:dyDescent="0.25">
      <c r="A41" s="93">
        <v>30</v>
      </c>
      <c r="B41" s="94">
        <v>9.68</v>
      </c>
      <c r="C41" s="94">
        <v>3.2</v>
      </c>
    </row>
    <row r="42" spans="1:3" x14ac:dyDescent="0.25">
      <c r="A42" s="93">
        <v>31</v>
      </c>
      <c r="B42" s="94">
        <v>9.82</v>
      </c>
      <c r="C42" s="94">
        <v>3.25</v>
      </c>
    </row>
    <row r="43" spans="1:3" x14ac:dyDescent="0.25">
      <c r="A43" s="93">
        <v>32</v>
      </c>
      <c r="B43" s="94">
        <v>9.9499999999999993</v>
      </c>
      <c r="C43" s="94">
        <v>3.3</v>
      </c>
    </row>
    <row r="44" spans="1:3" x14ac:dyDescent="0.25">
      <c r="A44" s="93">
        <v>33</v>
      </c>
      <c r="B44" s="94">
        <v>10.09</v>
      </c>
      <c r="C44" s="94">
        <v>3.34</v>
      </c>
    </row>
    <row r="45" spans="1:3" x14ac:dyDescent="0.25">
      <c r="A45" s="93">
        <v>34</v>
      </c>
      <c r="B45" s="94">
        <v>10.24</v>
      </c>
      <c r="C45" s="94">
        <v>3.39</v>
      </c>
    </row>
    <row r="46" spans="1:3" x14ac:dyDescent="0.25">
      <c r="A46" s="93">
        <v>35</v>
      </c>
      <c r="B46" s="94">
        <v>10.38</v>
      </c>
      <c r="C46" s="94">
        <v>3.43</v>
      </c>
    </row>
    <row r="47" spans="1:3" x14ac:dyDescent="0.25">
      <c r="A47" s="93">
        <v>36</v>
      </c>
      <c r="B47" s="94">
        <v>10.53</v>
      </c>
      <c r="C47" s="94">
        <v>3.48</v>
      </c>
    </row>
    <row r="48" spans="1:3" x14ac:dyDescent="0.25">
      <c r="A48" s="93">
        <v>37</v>
      </c>
      <c r="B48" s="94">
        <v>10.68</v>
      </c>
      <c r="C48" s="94">
        <v>3.52</v>
      </c>
    </row>
    <row r="49" spans="1:3" x14ac:dyDescent="0.25">
      <c r="A49" s="93">
        <v>38</v>
      </c>
      <c r="B49" s="94">
        <v>10.83</v>
      </c>
      <c r="C49" s="94">
        <v>3.57</v>
      </c>
    </row>
    <row r="50" spans="1:3" x14ac:dyDescent="0.25">
      <c r="A50" s="93">
        <v>39</v>
      </c>
      <c r="B50" s="94">
        <v>10.98</v>
      </c>
      <c r="C50" s="94">
        <v>3.61</v>
      </c>
    </row>
    <row r="51" spans="1:3" x14ac:dyDescent="0.25">
      <c r="A51" s="93">
        <v>40</v>
      </c>
      <c r="B51" s="94">
        <v>11.14</v>
      </c>
      <c r="C51" s="94">
        <v>3.66</v>
      </c>
    </row>
    <row r="52" spans="1:3" x14ac:dyDescent="0.25">
      <c r="A52" s="93">
        <v>41</v>
      </c>
      <c r="B52" s="94">
        <v>11.3</v>
      </c>
      <c r="C52" s="94">
        <v>3.7</v>
      </c>
    </row>
    <row r="53" spans="1:3" x14ac:dyDescent="0.25">
      <c r="A53" s="93">
        <v>42</v>
      </c>
      <c r="B53" s="94">
        <v>11.46</v>
      </c>
      <c r="C53" s="94">
        <v>3.74</v>
      </c>
    </row>
    <row r="54" spans="1:3" x14ac:dyDescent="0.25">
      <c r="A54" s="93">
        <v>43</v>
      </c>
      <c r="B54" s="94">
        <v>11.63</v>
      </c>
      <c r="C54" s="94">
        <v>3.78</v>
      </c>
    </row>
    <row r="55" spans="1:3" x14ac:dyDescent="0.25">
      <c r="A55" s="93">
        <v>44</v>
      </c>
      <c r="B55" s="94">
        <v>11.8</v>
      </c>
      <c r="C55" s="94">
        <v>3.82</v>
      </c>
    </row>
    <row r="56" spans="1:3" x14ac:dyDescent="0.25">
      <c r="A56" s="93">
        <v>45</v>
      </c>
      <c r="B56" s="94">
        <v>11.98</v>
      </c>
      <c r="C56" s="94">
        <v>3.85</v>
      </c>
    </row>
    <row r="57" spans="1:3" x14ac:dyDescent="0.25">
      <c r="A57" s="93">
        <v>46</v>
      </c>
      <c r="B57" s="94">
        <v>12.16</v>
      </c>
      <c r="C57" s="94">
        <v>3.89</v>
      </c>
    </row>
    <row r="58" spans="1:3" x14ac:dyDescent="0.25">
      <c r="A58" s="93">
        <v>47</v>
      </c>
      <c r="B58" s="94">
        <v>12.34</v>
      </c>
      <c r="C58" s="94">
        <v>3.92</v>
      </c>
    </row>
    <row r="59" spans="1:3" x14ac:dyDescent="0.25">
      <c r="A59" s="93">
        <v>48</v>
      </c>
      <c r="B59" s="94">
        <v>12.53</v>
      </c>
      <c r="C59" s="94">
        <v>3.96</v>
      </c>
    </row>
    <row r="60" spans="1:3" x14ac:dyDescent="0.25">
      <c r="A60" s="93">
        <v>49</v>
      </c>
      <c r="B60" s="94">
        <v>12.72</v>
      </c>
      <c r="C60" s="94">
        <v>3.99</v>
      </c>
    </row>
    <row r="61" spans="1:3" x14ac:dyDescent="0.25">
      <c r="A61" s="93">
        <v>50</v>
      </c>
      <c r="B61" s="94">
        <v>12.92</v>
      </c>
      <c r="C61" s="94">
        <v>4.0199999999999996</v>
      </c>
    </row>
    <row r="62" spans="1:3" x14ac:dyDescent="0.25">
      <c r="A62" s="93">
        <v>51</v>
      </c>
      <c r="B62" s="94">
        <v>13.12</v>
      </c>
      <c r="C62" s="94">
        <v>4.04</v>
      </c>
    </row>
    <row r="63" spans="1:3" x14ac:dyDescent="0.25">
      <c r="A63" s="93">
        <v>52</v>
      </c>
      <c r="B63" s="94">
        <v>13.33</v>
      </c>
      <c r="C63" s="94">
        <v>4.07</v>
      </c>
    </row>
    <row r="64" spans="1:3" x14ac:dyDescent="0.25">
      <c r="A64" s="93">
        <v>53</v>
      </c>
      <c r="B64" s="94">
        <v>13.54</v>
      </c>
      <c r="C64" s="94">
        <v>4.09</v>
      </c>
    </row>
    <row r="65" spans="1:3" x14ac:dyDescent="0.25">
      <c r="A65" s="93">
        <v>54</v>
      </c>
      <c r="B65" s="94">
        <v>13.76</v>
      </c>
      <c r="C65" s="94">
        <v>4.12</v>
      </c>
    </row>
    <row r="66" spans="1:3" x14ac:dyDescent="0.25">
      <c r="A66" s="93">
        <v>55</v>
      </c>
      <c r="B66" s="94">
        <v>13.99</v>
      </c>
      <c r="C66" s="94">
        <v>4.1399999999999997</v>
      </c>
    </row>
    <row r="67" spans="1:3" x14ac:dyDescent="0.25">
      <c r="A67" s="93">
        <v>56</v>
      </c>
      <c r="B67" s="94">
        <v>14.22</v>
      </c>
      <c r="C67" s="94">
        <v>4.16</v>
      </c>
    </row>
    <row r="68" spans="1:3" x14ac:dyDescent="0.25">
      <c r="A68" s="93">
        <v>57</v>
      </c>
      <c r="B68" s="94">
        <v>14.46</v>
      </c>
      <c r="C68" s="94">
        <v>4.17</v>
      </c>
    </row>
    <row r="69" spans="1:3" x14ac:dyDescent="0.25">
      <c r="A69" s="93">
        <v>58</v>
      </c>
      <c r="B69" s="94">
        <v>14.71</v>
      </c>
      <c r="C69" s="94">
        <v>4.1900000000000004</v>
      </c>
    </row>
    <row r="70" spans="1:3" x14ac:dyDescent="0.25">
      <c r="A70" s="93">
        <v>59</v>
      </c>
      <c r="B70" s="94">
        <v>14.97</v>
      </c>
      <c r="C70" s="94">
        <v>4.2</v>
      </c>
    </row>
    <row r="71" spans="1:3" x14ac:dyDescent="0.25">
      <c r="A71" s="93">
        <v>60</v>
      </c>
      <c r="B71" s="94">
        <v>15.24</v>
      </c>
      <c r="C71" s="94">
        <v>4.2</v>
      </c>
    </row>
    <row r="72" spans="1:3" x14ac:dyDescent="0.25">
      <c r="A72" s="93">
        <v>61</v>
      </c>
      <c r="B72" s="94">
        <v>15.53</v>
      </c>
      <c r="C72" s="94">
        <v>4.2</v>
      </c>
    </row>
    <row r="73" spans="1:3" x14ac:dyDescent="0.25">
      <c r="A73" s="93">
        <v>62</v>
      </c>
      <c r="B73" s="94">
        <v>15.82</v>
      </c>
      <c r="C73" s="94">
        <v>4.2</v>
      </c>
    </row>
    <row r="74" spans="1:3" x14ac:dyDescent="0.25">
      <c r="A74" s="93">
        <v>63</v>
      </c>
      <c r="B74" s="94">
        <v>16.13</v>
      </c>
      <c r="C74" s="94">
        <v>4.2</v>
      </c>
    </row>
    <row r="75" spans="1:3" x14ac:dyDescent="0.25">
      <c r="A75" s="93">
        <v>64</v>
      </c>
      <c r="B75" s="94">
        <v>16.46</v>
      </c>
      <c r="C75" s="94">
        <v>4.18</v>
      </c>
    </row>
    <row r="76" spans="1:3" x14ac:dyDescent="0.25">
      <c r="A76" s="93">
        <v>65</v>
      </c>
      <c r="B76" s="94">
        <v>16.82</v>
      </c>
      <c r="C76" s="94">
        <v>4.16</v>
      </c>
    </row>
    <row r="77" spans="1:3" x14ac:dyDescent="0.25">
      <c r="A77" s="93">
        <v>66</v>
      </c>
      <c r="B77" s="94">
        <v>16.66</v>
      </c>
      <c r="C77" s="94">
        <v>4.1500000000000004</v>
      </c>
    </row>
    <row r="78" spans="1:3" x14ac:dyDescent="0.25">
      <c r="A78" s="93">
        <v>67</v>
      </c>
      <c r="B78" s="94">
        <v>16</v>
      </c>
      <c r="C78" s="94">
        <v>4.1500000000000004</v>
      </c>
    </row>
    <row r="79" spans="1:3" x14ac:dyDescent="0.25">
      <c r="A79" s="93">
        <v>68</v>
      </c>
      <c r="B79" s="94">
        <v>15.34</v>
      </c>
      <c r="C79" s="94">
        <v>4.1399999999999997</v>
      </c>
    </row>
    <row r="80" spans="1:3" x14ac:dyDescent="0.25">
      <c r="A80" s="93">
        <v>69</v>
      </c>
      <c r="B80" s="94">
        <v>14.69</v>
      </c>
      <c r="C80" s="94">
        <v>4.07</v>
      </c>
    </row>
    <row r="81" spans="1:3" x14ac:dyDescent="0.25">
      <c r="A81" s="93">
        <v>70</v>
      </c>
      <c r="B81" s="94">
        <v>14.05</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aq8fzVlofleUOlRB54ysD3JgF74oC30yaHi7PasBwxKiILnRaLlsKADwrDcc2hGPBE2bmvKv7GTIyV2Q/PIipA==" saltValue="eFEbdCvbs5YRcJvtKtCtog==" spinCount="100000" sheet="1" objects="1" scenarios="1"/>
  <conditionalFormatting sqref="A6:A21">
    <cfRule type="expression" dxfId="895" priority="17" stopIfTrue="1">
      <formula>MOD(ROW(),2)=0</formula>
    </cfRule>
    <cfRule type="expression" dxfId="894" priority="18" stopIfTrue="1">
      <formula>MOD(ROW(),2)&lt;&gt;0</formula>
    </cfRule>
  </conditionalFormatting>
  <conditionalFormatting sqref="A26:A85">
    <cfRule type="expression" dxfId="893" priority="7" stopIfTrue="1">
      <formula>MOD(ROW(),2)=0</formula>
    </cfRule>
    <cfRule type="expression" dxfId="892" priority="8" stopIfTrue="1">
      <formula>MOD(ROW(),2)&lt;&gt;0</formula>
    </cfRule>
  </conditionalFormatting>
  <conditionalFormatting sqref="B17:B19">
    <cfRule type="expression" dxfId="891" priority="1" stopIfTrue="1">
      <formula>MOD(ROW(),2)=0</formula>
    </cfRule>
  </conditionalFormatting>
  <conditionalFormatting sqref="B18:B19">
    <cfRule type="expression" dxfId="890" priority="2" stopIfTrue="1">
      <formula>MOD(ROW(),2)&lt;&gt;0</formula>
    </cfRule>
  </conditionalFormatting>
  <conditionalFormatting sqref="B6:C21">
    <cfRule type="expression" dxfId="889" priority="27" stopIfTrue="1">
      <formula>MOD(ROW(),2)=0</formula>
    </cfRule>
    <cfRule type="expression" dxfId="888" priority="28" stopIfTrue="1">
      <formula>MOD(ROW(),2)&lt;&gt;0</formula>
    </cfRule>
  </conditionalFormatting>
  <conditionalFormatting sqref="B17:C17">
    <cfRule type="expression" dxfId="887" priority="4" stopIfTrue="1">
      <formula>MOD(ROW(),2)&lt;&gt;0</formula>
    </cfRule>
  </conditionalFormatting>
  <conditionalFormatting sqref="B26:C85">
    <cfRule type="expression" dxfId="886" priority="9" stopIfTrue="1">
      <formula>MOD(ROW(),2)=0</formula>
    </cfRule>
    <cfRule type="expression" dxfId="885" priority="10" stopIfTrue="1">
      <formula>MOD(ROW(),2)&lt;&gt;0</formula>
    </cfRule>
  </conditionalFormatting>
  <conditionalFormatting sqref="C17">
    <cfRule type="expression" dxfId="884"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D25"/>
  <sheetViews>
    <sheetView showGridLines="0" zoomScale="85" zoomScaleNormal="85" workbookViewId="0">
      <selection activeCell="B6" sqref="B6:D21"/>
    </sheetView>
  </sheetViews>
  <sheetFormatPr defaultRowHeight="13.2" x14ac:dyDescent="0.25"/>
  <cols>
    <col min="1" max="1" width="20" customWidth="1"/>
    <col min="2" max="2" width="130.77734375" style="2" customWidth="1"/>
    <col min="4" max="4" width="10.21875" bestFit="1" customWidth="1"/>
    <col min="8" max="8" width="10.21875" customWidth="1"/>
    <col min="9" max="9" width="11.44140625" customWidth="1"/>
    <col min="12" max="12" width="15.44140625" bestFit="1" customWidth="1"/>
    <col min="13" max="13" width="21" bestFit="1" customWidth="1"/>
    <col min="14" max="14" width="9.21875" customWidth="1"/>
    <col min="15" max="15" width="9.5546875" customWidth="1"/>
    <col min="16" max="20" width="13.21875" customWidth="1"/>
    <col min="27" max="27" width="11.2187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227</v>
      </c>
      <c r="B1" s="4"/>
    </row>
    <row r="2" spans="1:4" ht="15.6" x14ac:dyDescent="0.3">
      <c r="A2" s="5" t="s">
        <v>228</v>
      </c>
      <c r="B2" s="5"/>
    </row>
    <row r="3" spans="1:4" ht="15.6" x14ac:dyDescent="0.3">
      <c r="A3" s="6" t="s">
        <v>229</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uploaded/2025-03/[Fire W Consolidated Factors 2025-02.xlsx]Cover</v>
      </c>
    </row>
    <row r="5" spans="1:4" x14ac:dyDescent="0.25">
      <c r="D5" s="8"/>
    </row>
    <row r="6" spans="1:4" x14ac:dyDescent="0.25">
      <c r="A6" s="1"/>
    </row>
    <row r="7" spans="1:4" ht="25.5" customHeight="1" x14ac:dyDescent="0.25">
      <c r="A7" s="97" t="s">
        <v>230</v>
      </c>
      <c r="B7" s="98" t="s">
        <v>231</v>
      </c>
    </row>
    <row r="11" spans="1:4" ht="25.5" customHeight="1" x14ac:dyDescent="0.25">
      <c r="A11" s="99" t="s">
        <v>232</v>
      </c>
      <c r="B11" s="99" t="s">
        <v>233</v>
      </c>
    </row>
    <row r="12" spans="1:4" ht="19.5" customHeight="1" x14ac:dyDescent="0.25">
      <c r="A12" s="100" t="s">
        <v>234</v>
      </c>
      <c r="B12" s="101" t="s">
        <v>235</v>
      </c>
    </row>
    <row r="13" spans="1:4" ht="19.5" customHeight="1" x14ac:dyDescent="0.25">
      <c r="A13" s="102" t="s">
        <v>236</v>
      </c>
      <c r="B13" s="101" t="s">
        <v>237</v>
      </c>
    </row>
    <row r="14" spans="1:4" ht="19.5" customHeight="1" x14ac:dyDescent="0.25">
      <c r="A14" s="103" t="s">
        <v>238</v>
      </c>
      <c r="B14" s="101" t="s">
        <v>239</v>
      </c>
    </row>
    <row r="15" spans="1:4" ht="19.5" customHeight="1" x14ac:dyDescent="0.25">
      <c r="A15" s="136" t="s">
        <v>240</v>
      </c>
      <c r="B15" s="101" t="s">
        <v>241</v>
      </c>
    </row>
    <row r="16" spans="1:4" ht="26.4" x14ac:dyDescent="0.25">
      <c r="A16" s="104" t="s">
        <v>242</v>
      </c>
      <c r="B16" s="104" t="s">
        <v>243</v>
      </c>
    </row>
    <row r="17" spans="1:2" ht="26.4" x14ac:dyDescent="0.25">
      <c r="A17" s="101" t="s">
        <v>244</v>
      </c>
      <c r="B17" s="101" t="s">
        <v>245</v>
      </c>
    </row>
    <row r="18" spans="1:2" ht="26.4" x14ac:dyDescent="0.25">
      <c r="A18" s="101" t="s">
        <v>246</v>
      </c>
      <c r="B18" s="101" t="s">
        <v>247</v>
      </c>
    </row>
    <row r="19" spans="1:2" ht="39.6" x14ac:dyDescent="0.25">
      <c r="A19" s="104" t="s">
        <v>248</v>
      </c>
      <c r="B19" s="104" t="s">
        <v>249</v>
      </c>
    </row>
    <row r="20" spans="1:2" ht="26.4" x14ac:dyDescent="0.25">
      <c r="A20" s="104" t="s">
        <v>250</v>
      </c>
      <c r="B20" s="104" t="s">
        <v>251</v>
      </c>
    </row>
    <row r="21" spans="1:2" ht="26.4" x14ac:dyDescent="0.25">
      <c r="A21" s="104" t="s">
        <v>252</v>
      </c>
      <c r="B21" s="104" t="s">
        <v>253</v>
      </c>
    </row>
    <row r="22" spans="1:2" ht="39.6" x14ac:dyDescent="0.25">
      <c r="A22" s="104" t="s">
        <v>254</v>
      </c>
      <c r="B22" s="104" t="s">
        <v>255</v>
      </c>
    </row>
    <row r="23" spans="1:2" ht="26.4" x14ac:dyDescent="0.25">
      <c r="A23" s="104" t="s">
        <v>256</v>
      </c>
      <c r="B23" s="104" t="s">
        <v>257</v>
      </c>
    </row>
    <row r="24" spans="1:2" x14ac:dyDescent="0.25">
      <c r="A24" s="3"/>
    </row>
    <row r="25" spans="1:2" x14ac:dyDescent="0.25">
      <c r="A25" s="3"/>
    </row>
  </sheetData>
  <sheetProtection algorithmName="SHA-512" hashValue="LU+Lzlpp/l90Py/mAHW8GlnFHtBmh+gipjzo9gby4NRowEBQB0/ib7PhFVM+VUzrOr0v90kEcM+CQTADBahgPw==" saltValue="rDfLTKMYzN1+uNhzk8TKPw==" spinCount="100000" sheet="1" objects="1" scenarios="1"/>
  <phoneticPr fontId="5" type="noConversion"/>
  <conditionalFormatting sqref="A7">
    <cfRule type="expression" dxfId="1037" priority="5" stopIfTrue="1">
      <formula>MOD(ROW(),2)=0</formula>
    </cfRule>
    <cfRule type="expression" dxfId="1036" priority="6" stopIfTrue="1">
      <formula>MOD(ROW(),2)&lt;&gt;0</formula>
    </cfRule>
  </conditionalFormatting>
  <conditionalFormatting sqref="A11">
    <cfRule type="expression" dxfId="1035" priority="7" stopIfTrue="1">
      <formula>MOD(ROW(),2)=0</formula>
    </cfRule>
    <cfRule type="expression" dxfId="1034" priority="8" stopIfTrue="1">
      <formula>MOD(ROW(),2)&lt;&gt;0</formula>
    </cfRule>
  </conditionalFormatting>
  <conditionalFormatting sqref="A16:A23">
    <cfRule type="expression" dxfId="1033" priority="11" stopIfTrue="1">
      <formula>MOD(ROW(),2)=0</formula>
    </cfRule>
    <cfRule type="expression" dxfId="1032" priority="12" stopIfTrue="1">
      <formula>MOD(ROW(),2)&lt;&gt;0</formula>
    </cfRule>
  </conditionalFormatting>
  <conditionalFormatting sqref="B7">
    <cfRule type="expression" dxfId="1031" priority="3" stopIfTrue="1">
      <formula>MOD(ROW(),2)=0</formula>
    </cfRule>
    <cfRule type="expression" dxfId="1030" priority="4" stopIfTrue="1">
      <formula>MOD(ROW(),2)&lt;&gt;0</formula>
    </cfRule>
  </conditionalFormatting>
  <conditionalFormatting sqref="B11:B23">
    <cfRule type="expression" dxfId="1029" priority="1" stopIfTrue="1">
      <formula>MOD(ROW(),2)=0</formula>
    </cfRule>
    <cfRule type="expression" dxfId="1028"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5" style="27" customWidth="1"/>
    <col min="3"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x-212</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352</v>
      </c>
      <c r="C10" s="110"/>
    </row>
    <row r="11" spans="1:7" x14ac:dyDescent="0.25">
      <c r="A11" s="73" t="s">
        <v>308</v>
      </c>
      <c r="B11" s="110" t="s">
        <v>322</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212</v>
      </c>
      <c r="C14" s="110"/>
    </row>
    <row r="15" spans="1:7" x14ac:dyDescent="0.25">
      <c r="A15" s="73" t="s">
        <v>569</v>
      </c>
      <c r="B15" s="110" t="s">
        <v>353</v>
      </c>
      <c r="C15" s="110"/>
    </row>
    <row r="16" spans="1:7" x14ac:dyDescent="0.25">
      <c r="A16" s="73" t="s">
        <v>313</v>
      </c>
      <c r="B16" s="110" t="s">
        <v>354</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7.6</v>
      </c>
      <c r="C27" s="94">
        <v>2.21</v>
      </c>
    </row>
    <row r="28" spans="1:3" x14ac:dyDescent="0.25">
      <c r="A28" s="93">
        <v>17</v>
      </c>
      <c r="B28" s="94">
        <v>7.7</v>
      </c>
      <c r="C28" s="94">
        <v>2.39</v>
      </c>
    </row>
    <row r="29" spans="1:3" x14ac:dyDescent="0.25">
      <c r="A29" s="93">
        <v>18</v>
      </c>
      <c r="B29" s="94">
        <v>7.8</v>
      </c>
      <c r="C29" s="94">
        <v>2.58</v>
      </c>
    </row>
    <row r="30" spans="1:3" x14ac:dyDescent="0.25">
      <c r="A30" s="93">
        <v>19</v>
      </c>
      <c r="B30" s="94">
        <v>7.91</v>
      </c>
      <c r="C30" s="94">
        <v>2.7</v>
      </c>
    </row>
    <row r="31" spans="1:3" x14ac:dyDescent="0.25">
      <c r="A31" s="93">
        <v>20</v>
      </c>
      <c r="B31" s="94">
        <v>8.02</v>
      </c>
      <c r="C31" s="94">
        <v>2.74</v>
      </c>
    </row>
    <row r="32" spans="1:3" x14ac:dyDescent="0.25">
      <c r="A32" s="93">
        <v>21</v>
      </c>
      <c r="B32" s="94">
        <v>8.1199999999999992</v>
      </c>
      <c r="C32" s="94">
        <v>2.79</v>
      </c>
    </row>
    <row r="33" spans="1:3" x14ac:dyDescent="0.25">
      <c r="A33" s="93">
        <v>22</v>
      </c>
      <c r="B33" s="94">
        <v>8.24</v>
      </c>
      <c r="C33" s="94">
        <v>2.83</v>
      </c>
    </row>
    <row r="34" spans="1:3" x14ac:dyDescent="0.25">
      <c r="A34" s="93">
        <v>23</v>
      </c>
      <c r="B34" s="94">
        <v>8.35</v>
      </c>
      <c r="C34" s="94">
        <v>2.88</v>
      </c>
    </row>
    <row r="35" spans="1:3" x14ac:dyDescent="0.25">
      <c r="A35" s="93">
        <v>24</v>
      </c>
      <c r="B35" s="94">
        <v>8.4600000000000009</v>
      </c>
      <c r="C35" s="94">
        <v>2.93</v>
      </c>
    </row>
    <row r="36" spans="1:3" x14ac:dyDescent="0.25">
      <c r="A36" s="93">
        <v>25</v>
      </c>
      <c r="B36" s="94">
        <v>8.58</v>
      </c>
      <c r="C36" s="94">
        <v>2.98</v>
      </c>
    </row>
    <row r="37" spans="1:3" x14ac:dyDescent="0.25">
      <c r="A37" s="93">
        <v>26</v>
      </c>
      <c r="B37" s="94">
        <v>8.69</v>
      </c>
      <c r="C37" s="94">
        <v>3.02</v>
      </c>
    </row>
    <row r="38" spans="1:3" x14ac:dyDescent="0.25">
      <c r="A38" s="93">
        <v>27</v>
      </c>
      <c r="B38" s="94">
        <v>8.81</v>
      </c>
      <c r="C38" s="94">
        <v>3.07</v>
      </c>
    </row>
    <row r="39" spans="1:3" x14ac:dyDescent="0.25">
      <c r="A39" s="93">
        <v>28</v>
      </c>
      <c r="B39" s="94">
        <v>8.93</v>
      </c>
      <c r="C39" s="94">
        <v>3.12</v>
      </c>
    </row>
    <row r="40" spans="1:3" x14ac:dyDescent="0.25">
      <c r="A40" s="93">
        <v>29</v>
      </c>
      <c r="B40" s="94">
        <v>9.06</v>
      </c>
      <c r="C40" s="94">
        <v>3.17</v>
      </c>
    </row>
    <row r="41" spans="1:3" x14ac:dyDescent="0.25">
      <c r="A41" s="93">
        <v>30</v>
      </c>
      <c r="B41" s="94">
        <v>9.18</v>
      </c>
      <c r="C41" s="94">
        <v>3.22</v>
      </c>
    </row>
    <row r="42" spans="1:3" x14ac:dyDescent="0.25">
      <c r="A42" s="93">
        <v>31</v>
      </c>
      <c r="B42" s="94">
        <v>9.31</v>
      </c>
      <c r="C42" s="94">
        <v>3.26</v>
      </c>
    </row>
    <row r="43" spans="1:3" x14ac:dyDescent="0.25">
      <c r="A43" s="93">
        <v>32</v>
      </c>
      <c r="B43" s="94">
        <v>9.43</v>
      </c>
      <c r="C43" s="94">
        <v>3.31</v>
      </c>
    </row>
    <row r="44" spans="1:3" x14ac:dyDescent="0.25">
      <c r="A44" s="93">
        <v>33</v>
      </c>
      <c r="B44" s="94">
        <v>9.57</v>
      </c>
      <c r="C44" s="94">
        <v>3.36</v>
      </c>
    </row>
    <row r="45" spans="1:3" x14ac:dyDescent="0.25">
      <c r="A45" s="93">
        <v>34</v>
      </c>
      <c r="B45" s="94">
        <v>9.6999999999999993</v>
      </c>
      <c r="C45" s="94">
        <v>3.4</v>
      </c>
    </row>
    <row r="46" spans="1:3" x14ac:dyDescent="0.25">
      <c r="A46" s="93">
        <v>35</v>
      </c>
      <c r="B46" s="94">
        <v>9.83</v>
      </c>
      <c r="C46" s="94">
        <v>3.45</v>
      </c>
    </row>
    <row r="47" spans="1:3" x14ac:dyDescent="0.25">
      <c r="A47" s="93">
        <v>36</v>
      </c>
      <c r="B47" s="94">
        <v>9.9700000000000006</v>
      </c>
      <c r="C47" s="94">
        <v>3.5</v>
      </c>
    </row>
    <row r="48" spans="1:3" x14ac:dyDescent="0.25">
      <c r="A48" s="93">
        <v>37</v>
      </c>
      <c r="B48" s="94">
        <v>10.11</v>
      </c>
      <c r="C48" s="94">
        <v>3.54</v>
      </c>
    </row>
    <row r="49" spans="1:3" x14ac:dyDescent="0.25">
      <c r="A49" s="93">
        <v>38</v>
      </c>
      <c r="B49" s="94">
        <v>10.25</v>
      </c>
      <c r="C49" s="94">
        <v>3.59</v>
      </c>
    </row>
    <row r="50" spans="1:3" x14ac:dyDescent="0.25">
      <c r="A50" s="93">
        <v>39</v>
      </c>
      <c r="B50" s="94">
        <v>10.4</v>
      </c>
      <c r="C50" s="94">
        <v>3.63</v>
      </c>
    </row>
    <row r="51" spans="1:3" x14ac:dyDescent="0.25">
      <c r="A51" s="93">
        <v>40</v>
      </c>
      <c r="B51" s="94">
        <v>10.54</v>
      </c>
      <c r="C51" s="94">
        <v>3.67</v>
      </c>
    </row>
    <row r="52" spans="1:3" x14ac:dyDescent="0.25">
      <c r="A52" s="93">
        <v>41</v>
      </c>
      <c r="B52" s="94">
        <v>10.7</v>
      </c>
      <c r="C52" s="94">
        <v>3.72</v>
      </c>
    </row>
    <row r="53" spans="1:3" x14ac:dyDescent="0.25">
      <c r="A53" s="93">
        <v>42</v>
      </c>
      <c r="B53" s="94">
        <v>10.85</v>
      </c>
      <c r="C53" s="94">
        <v>3.76</v>
      </c>
    </row>
    <row r="54" spans="1:3" x14ac:dyDescent="0.25">
      <c r="A54" s="93">
        <v>43</v>
      </c>
      <c r="B54" s="94">
        <v>11.01</v>
      </c>
      <c r="C54" s="94">
        <v>3.8</v>
      </c>
    </row>
    <row r="55" spans="1:3" x14ac:dyDescent="0.25">
      <c r="A55" s="93">
        <v>44</v>
      </c>
      <c r="B55" s="94">
        <v>11.17</v>
      </c>
      <c r="C55" s="94">
        <v>3.84</v>
      </c>
    </row>
    <row r="56" spans="1:3" x14ac:dyDescent="0.25">
      <c r="A56" s="93">
        <v>45</v>
      </c>
      <c r="B56" s="94">
        <v>11.33</v>
      </c>
      <c r="C56" s="94">
        <v>3.87</v>
      </c>
    </row>
    <row r="57" spans="1:3" x14ac:dyDescent="0.25">
      <c r="A57" s="93">
        <v>46</v>
      </c>
      <c r="B57" s="94">
        <v>11.5</v>
      </c>
      <c r="C57" s="94">
        <v>3.91</v>
      </c>
    </row>
    <row r="58" spans="1:3" x14ac:dyDescent="0.25">
      <c r="A58" s="93">
        <v>47</v>
      </c>
      <c r="B58" s="94">
        <v>11.67</v>
      </c>
      <c r="C58" s="94">
        <v>3.94</v>
      </c>
    </row>
    <row r="59" spans="1:3" x14ac:dyDescent="0.25">
      <c r="A59" s="93">
        <v>48</v>
      </c>
      <c r="B59" s="94">
        <v>11.84</v>
      </c>
      <c r="C59" s="94">
        <v>3.98</v>
      </c>
    </row>
    <row r="60" spans="1:3" x14ac:dyDescent="0.25">
      <c r="A60" s="93">
        <v>49</v>
      </c>
      <c r="B60" s="94">
        <v>12.02</v>
      </c>
      <c r="C60" s="94">
        <v>4.01</v>
      </c>
    </row>
    <row r="61" spans="1:3" x14ac:dyDescent="0.25">
      <c r="A61" s="93">
        <v>50</v>
      </c>
      <c r="B61" s="94">
        <v>12.21</v>
      </c>
      <c r="C61" s="94">
        <v>4.04</v>
      </c>
    </row>
    <row r="62" spans="1:3" x14ac:dyDescent="0.25">
      <c r="A62" s="93">
        <v>51</v>
      </c>
      <c r="B62" s="94">
        <v>12.4</v>
      </c>
      <c r="C62" s="94">
        <v>4.0599999999999996</v>
      </c>
    </row>
    <row r="63" spans="1:3" x14ac:dyDescent="0.25">
      <c r="A63" s="93">
        <v>52</v>
      </c>
      <c r="B63" s="94">
        <v>12.59</v>
      </c>
      <c r="C63" s="94">
        <v>4.09</v>
      </c>
    </row>
    <row r="64" spans="1:3" x14ac:dyDescent="0.25">
      <c r="A64" s="93">
        <v>53</v>
      </c>
      <c r="B64" s="94">
        <v>12.79</v>
      </c>
      <c r="C64" s="94">
        <v>4.12</v>
      </c>
    </row>
    <row r="65" spans="1:3" x14ac:dyDescent="0.25">
      <c r="A65" s="93">
        <v>54</v>
      </c>
      <c r="B65" s="94">
        <v>13</v>
      </c>
      <c r="C65" s="94">
        <v>4.1399999999999997</v>
      </c>
    </row>
    <row r="66" spans="1:3" x14ac:dyDescent="0.25">
      <c r="A66" s="93">
        <v>55</v>
      </c>
      <c r="B66" s="94">
        <v>13.21</v>
      </c>
      <c r="C66" s="94">
        <v>4.16</v>
      </c>
    </row>
    <row r="67" spans="1:3" x14ac:dyDescent="0.25">
      <c r="A67" s="93">
        <v>56</v>
      </c>
      <c r="B67" s="94">
        <v>13.42</v>
      </c>
      <c r="C67" s="94">
        <v>4.18</v>
      </c>
    </row>
    <row r="68" spans="1:3" x14ac:dyDescent="0.25">
      <c r="A68" s="93">
        <v>57</v>
      </c>
      <c r="B68" s="94">
        <v>13.65</v>
      </c>
      <c r="C68" s="94">
        <v>4.2</v>
      </c>
    </row>
    <row r="69" spans="1:3" x14ac:dyDescent="0.25">
      <c r="A69" s="93">
        <v>58</v>
      </c>
      <c r="B69" s="94">
        <v>13.88</v>
      </c>
      <c r="C69" s="94">
        <v>4.21</v>
      </c>
    </row>
    <row r="70" spans="1:3" x14ac:dyDescent="0.25">
      <c r="A70" s="93">
        <v>59</v>
      </c>
      <c r="B70" s="94">
        <v>14.13</v>
      </c>
      <c r="C70" s="94">
        <v>4.22</v>
      </c>
    </row>
    <row r="71" spans="1:3" x14ac:dyDescent="0.25">
      <c r="A71" s="93">
        <v>60</v>
      </c>
      <c r="B71" s="94">
        <v>14.38</v>
      </c>
      <c r="C71" s="94">
        <v>4.2300000000000004</v>
      </c>
    </row>
    <row r="72" spans="1:3" x14ac:dyDescent="0.25">
      <c r="A72" s="93">
        <v>61</v>
      </c>
      <c r="B72" s="94">
        <v>14.64</v>
      </c>
      <c r="C72" s="94">
        <v>4.2300000000000004</v>
      </c>
    </row>
    <row r="73" spans="1:3" x14ac:dyDescent="0.25">
      <c r="A73" s="93">
        <v>62</v>
      </c>
      <c r="B73" s="94">
        <v>14.92</v>
      </c>
      <c r="C73" s="94">
        <v>4.2300000000000004</v>
      </c>
    </row>
    <row r="74" spans="1:3" x14ac:dyDescent="0.25">
      <c r="A74" s="93">
        <v>63</v>
      </c>
      <c r="B74" s="94">
        <v>15.21</v>
      </c>
      <c r="C74" s="94">
        <v>4.22</v>
      </c>
    </row>
    <row r="75" spans="1:3" x14ac:dyDescent="0.25">
      <c r="A75" s="93">
        <v>64</v>
      </c>
      <c r="B75" s="94">
        <v>15.52</v>
      </c>
      <c r="C75" s="94">
        <v>4.21</v>
      </c>
    </row>
    <row r="76" spans="1:3" x14ac:dyDescent="0.25">
      <c r="A76" s="93">
        <v>65</v>
      </c>
      <c r="B76" s="94">
        <v>15.85</v>
      </c>
      <c r="C76" s="94">
        <v>4.1900000000000004</v>
      </c>
    </row>
    <row r="77" spans="1:3" x14ac:dyDescent="0.25">
      <c r="A77" s="93">
        <v>66</v>
      </c>
      <c r="B77" s="94">
        <v>16.2</v>
      </c>
      <c r="C77" s="94">
        <v>4.16</v>
      </c>
    </row>
    <row r="78" spans="1:3" x14ac:dyDescent="0.25">
      <c r="A78" s="93">
        <v>67</v>
      </c>
      <c r="B78" s="94">
        <v>16.04</v>
      </c>
      <c r="C78" s="94">
        <v>4.1500000000000004</v>
      </c>
    </row>
    <row r="79" spans="1:3" x14ac:dyDescent="0.25">
      <c r="A79" s="93">
        <v>68</v>
      </c>
      <c r="B79" s="94">
        <v>15.38</v>
      </c>
      <c r="C79" s="94">
        <v>4.1399999999999997</v>
      </c>
    </row>
    <row r="80" spans="1:3" x14ac:dyDescent="0.25">
      <c r="A80" s="93">
        <v>69</v>
      </c>
      <c r="B80" s="94">
        <v>14.71</v>
      </c>
      <c r="C80" s="94">
        <v>4.07</v>
      </c>
    </row>
    <row r="81" spans="1:3" x14ac:dyDescent="0.25">
      <c r="A81" s="93">
        <v>70</v>
      </c>
      <c r="B81" s="94">
        <v>14.06</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H6wEnlDjcdK/Q6CMdCRJFo1lKF+tbfb5C9Y5DQjSD8iuFnSCGHzx21eAYIp0C09jKh0p32L0WMwvBIfgqtjRIQ==" saltValue="aVtSX5Pbkt6ElU7RdI3dtg==" spinCount="100000" sheet="1" objects="1" scenarios="1"/>
  <conditionalFormatting sqref="A6:A21">
    <cfRule type="expression" dxfId="883" priority="17" stopIfTrue="1">
      <formula>MOD(ROW(),2)=0</formula>
    </cfRule>
    <cfRule type="expression" dxfId="882" priority="18" stopIfTrue="1">
      <formula>MOD(ROW(),2)&lt;&gt;0</formula>
    </cfRule>
  </conditionalFormatting>
  <conditionalFormatting sqref="A26:A85">
    <cfRule type="expression" dxfId="881" priority="7" stopIfTrue="1">
      <formula>MOD(ROW(),2)=0</formula>
    </cfRule>
    <cfRule type="expression" dxfId="880" priority="8" stopIfTrue="1">
      <formula>MOD(ROW(),2)&lt;&gt;0</formula>
    </cfRule>
  </conditionalFormatting>
  <conditionalFormatting sqref="B17:B19">
    <cfRule type="expression" dxfId="879" priority="1" stopIfTrue="1">
      <formula>MOD(ROW(),2)=0</formula>
    </cfRule>
  </conditionalFormatting>
  <conditionalFormatting sqref="B18:B19">
    <cfRule type="expression" dxfId="878" priority="2" stopIfTrue="1">
      <formula>MOD(ROW(),2)&lt;&gt;0</formula>
    </cfRule>
  </conditionalFormatting>
  <conditionalFormatting sqref="B6:C21">
    <cfRule type="expression" dxfId="877" priority="27" stopIfTrue="1">
      <formula>MOD(ROW(),2)=0</formula>
    </cfRule>
    <cfRule type="expression" dxfId="876" priority="28" stopIfTrue="1">
      <formula>MOD(ROW(),2)&lt;&gt;0</formula>
    </cfRule>
  </conditionalFormatting>
  <conditionalFormatting sqref="B17:C17">
    <cfRule type="expression" dxfId="875" priority="4" stopIfTrue="1">
      <formula>MOD(ROW(),2)&lt;&gt;0</formula>
    </cfRule>
  </conditionalFormatting>
  <conditionalFormatting sqref="B26:C85">
    <cfRule type="expression" dxfId="874" priority="9" stopIfTrue="1">
      <formula>MOD(ROW(),2)=0</formula>
    </cfRule>
    <cfRule type="expression" dxfId="873" priority="10" stopIfTrue="1">
      <formula>MOD(ROW(),2)&lt;&gt;0</formula>
    </cfRule>
  </conditionalFormatting>
  <conditionalFormatting sqref="C17">
    <cfRule type="expression" dxfId="872"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4.5546875" style="27" customWidth="1"/>
    <col min="3"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x-213</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352</v>
      </c>
      <c r="C10" s="110"/>
    </row>
    <row r="11" spans="1:7" x14ac:dyDescent="0.25">
      <c r="A11" s="73" t="s">
        <v>308</v>
      </c>
      <c r="B11" s="110" t="s">
        <v>328</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213</v>
      </c>
      <c r="C14" s="110"/>
    </row>
    <row r="15" spans="1:7" x14ac:dyDescent="0.25">
      <c r="A15" s="73" t="s">
        <v>569</v>
      </c>
      <c r="B15" s="110" t="s">
        <v>355</v>
      </c>
      <c r="C15" s="110"/>
    </row>
    <row r="16" spans="1:7" x14ac:dyDescent="0.25">
      <c r="A16" s="73" t="s">
        <v>313</v>
      </c>
      <c r="B16" s="110" t="s">
        <v>356</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7.6</v>
      </c>
      <c r="C27" s="94">
        <v>2.21</v>
      </c>
    </row>
    <row r="28" spans="1:3" x14ac:dyDescent="0.25">
      <c r="A28" s="93">
        <v>17</v>
      </c>
      <c r="B28" s="94">
        <v>7.7</v>
      </c>
      <c r="C28" s="94">
        <v>2.39</v>
      </c>
    </row>
    <row r="29" spans="1:3" x14ac:dyDescent="0.25">
      <c r="A29" s="93">
        <v>18</v>
      </c>
      <c r="B29" s="94">
        <v>7.8</v>
      </c>
      <c r="C29" s="94">
        <v>2.58</v>
      </c>
    </row>
    <row r="30" spans="1:3" x14ac:dyDescent="0.25">
      <c r="A30" s="93">
        <v>19</v>
      </c>
      <c r="B30" s="94">
        <v>7.91</v>
      </c>
      <c r="C30" s="94">
        <v>2.7</v>
      </c>
    </row>
    <row r="31" spans="1:3" x14ac:dyDescent="0.25">
      <c r="A31" s="93">
        <v>20</v>
      </c>
      <c r="B31" s="94">
        <v>8.02</v>
      </c>
      <c r="C31" s="94">
        <v>2.74</v>
      </c>
    </row>
    <row r="32" spans="1:3" x14ac:dyDescent="0.25">
      <c r="A32" s="93">
        <v>21</v>
      </c>
      <c r="B32" s="94">
        <v>8.1199999999999992</v>
      </c>
      <c r="C32" s="94">
        <v>2.79</v>
      </c>
    </row>
    <row r="33" spans="1:3" x14ac:dyDescent="0.25">
      <c r="A33" s="93">
        <v>22</v>
      </c>
      <c r="B33" s="94">
        <v>8.24</v>
      </c>
      <c r="C33" s="94">
        <v>2.83</v>
      </c>
    </row>
    <row r="34" spans="1:3" x14ac:dyDescent="0.25">
      <c r="A34" s="93">
        <v>23</v>
      </c>
      <c r="B34" s="94">
        <v>8.35</v>
      </c>
      <c r="C34" s="94">
        <v>2.88</v>
      </c>
    </row>
    <row r="35" spans="1:3" x14ac:dyDescent="0.25">
      <c r="A35" s="93">
        <v>24</v>
      </c>
      <c r="B35" s="94">
        <v>8.4600000000000009</v>
      </c>
      <c r="C35" s="94">
        <v>2.93</v>
      </c>
    </row>
    <row r="36" spans="1:3" x14ac:dyDescent="0.25">
      <c r="A36" s="93">
        <v>25</v>
      </c>
      <c r="B36" s="94">
        <v>8.58</v>
      </c>
      <c r="C36" s="94">
        <v>2.98</v>
      </c>
    </row>
    <row r="37" spans="1:3" x14ac:dyDescent="0.25">
      <c r="A37" s="93">
        <v>26</v>
      </c>
      <c r="B37" s="94">
        <v>8.69</v>
      </c>
      <c r="C37" s="94">
        <v>3.02</v>
      </c>
    </row>
    <row r="38" spans="1:3" x14ac:dyDescent="0.25">
      <c r="A38" s="93">
        <v>27</v>
      </c>
      <c r="B38" s="94">
        <v>8.81</v>
      </c>
      <c r="C38" s="94">
        <v>3.07</v>
      </c>
    </row>
    <row r="39" spans="1:3" x14ac:dyDescent="0.25">
      <c r="A39" s="93">
        <v>28</v>
      </c>
      <c r="B39" s="94">
        <v>8.93</v>
      </c>
      <c r="C39" s="94">
        <v>3.12</v>
      </c>
    </row>
    <row r="40" spans="1:3" x14ac:dyDescent="0.25">
      <c r="A40" s="93">
        <v>29</v>
      </c>
      <c r="B40" s="94">
        <v>9.06</v>
      </c>
      <c r="C40" s="94">
        <v>3.17</v>
      </c>
    </row>
    <row r="41" spans="1:3" x14ac:dyDescent="0.25">
      <c r="A41" s="93">
        <v>30</v>
      </c>
      <c r="B41" s="94">
        <v>9.18</v>
      </c>
      <c r="C41" s="94">
        <v>3.22</v>
      </c>
    </row>
    <row r="42" spans="1:3" x14ac:dyDescent="0.25">
      <c r="A42" s="93">
        <v>31</v>
      </c>
      <c r="B42" s="94">
        <v>9.31</v>
      </c>
      <c r="C42" s="94">
        <v>3.26</v>
      </c>
    </row>
    <row r="43" spans="1:3" x14ac:dyDescent="0.25">
      <c r="A43" s="93">
        <v>32</v>
      </c>
      <c r="B43" s="94">
        <v>9.43</v>
      </c>
      <c r="C43" s="94">
        <v>3.31</v>
      </c>
    </row>
    <row r="44" spans="1:3" x14ac:dyDescent="0.25">
      <c r="A44" s="93">
        <v>33</v>
      </c>
      <c r="B44" s="94">
        <v>9.57</v>
      </c>
      <c r="C44" s="94">
        <v>3.36</v>
      </c>
    </row>
    <row r="45" spans="1:3" x14ac:dyDescent="0.25">
      <c r="A45" s="93">
        <v>34</v>
      </c>
      <c r="B45" s="94">
        <v>9.6999999999999993</v>
      </c>
      <c r="C45" s="94">
        <v>3.4</v>
      </c>
    </row>
    <row r="46" spans="1:3" x14ac:dyDescent="0.25">
      <c r="A46" s="93">
        <v>35</v>
      </c>
      <c r="B46" s="94">
        <v>9.83</v>
      </c>
      <c r="C46" s="94">
        <v>3.45</v>
      </c>
    </row>
    <row r="47" spans="1:3" x14ac:dyDescent="0.25">
      <c r="A47" s="93">
        <v>36</v>
      </c>
      <c r="B47" s="94">
        <v>9.9700000000000006</v>
      </c>
      <c r="C47" s="94">
        <v>3.5</v>
      </c>
    </row>
    <row r="48" spans="1:3" x14ac:dyDescent="0.25">
      <c r="A48" s="93">
        <v>37</v>
      </c>
      <c r="B48" s="94">
        <v>10.11</v>
      </c>
      <c r="C48" s="94">
        <v>3.54</v>
      </c>
    </row>
    <row r="49" spans="1:3" x14ac:dyDescent="0.25">
      <c r="A49" s="93">
        <v>38</v>
      </c>
      <c r="B49" s="94">
        <v>10.25</v>
      </c>
      <c r="C49" s="94">
        <v>3.59</v>
      </c>
    </row>
    <row r="50" spans="1:3" x14ac:dyDescent="0.25">
      <c r="A50" s="93">
        <v>39</v>
      </c>
      <c r="B50" s="94">
        <v>10.4</v>
      </c>
      <c r="C50" s="94">
        <v>3.63</v>
      </c>
    </row>
    <row r="51" spans="1:3" x14ac:dyDescent="0.25">
      <c r="A51" s="93">
        <v>40</v>
      </c>
      <c r="B51" s="94">
        <v>10.54</v>
      </c>
      <c r="C51" s="94">
        <v>3.67</v>
      </c>
    </row>
    <row r="52" spans="1:3" x14ac:dyDescent="0.25">
      <c r="A52" s="93">
        <v>41</v>
      </c>
      <c r="B52" s="94">
        <v>10.7</v>
      </c>
      <c r="C52" s="94">
        <v>3.72</v>
      </c>
    </row>
    <row r="53" spans="1:3" x14ac:dyDescent="0.25">
      <c r="A53" s="93">
        <v>42</v>
      </c>
      <c r="B53" s="94">
        <v>10.85</v>
      </c>
      <c r="C53" s="94">
        <v>3.76</v>
      </c>
    </row>
    <row r="54" spans="1:3" x14ac:dyDescent="0.25">
      <c r="A54" s="93">
        <v>43</v>
      </c>
      <c r="B54" s="94">
        <v>11.01</v>
      </c>
      <c r="C54" s="94">
        <v>3.8</v>
      </c>
    </row>
    <row r="55" spans="1:3" x14ac:dyDescent="0.25">
      <c r="A55" s="93">
        <v>44</v>
      </c>
      <c r="B55" s="94">
        <v>11.17</v>
      </c>
      <c r="C55" s="94">
        <v>3.84</v>
      </c>
    </row>
    <row r="56" spans="1:3" x14ac:dyDescent="0.25">
      <c r="A56" s="93">
        <v>45</v>
      </c>
      <c r="B56" s="94">
        <v>11.33</v>
      </c>
      <c r="C56" s="94">
        <v>3.87</v>
      </c>
    </row>
    <row r="57" spans="1:3" x14ac:dyDescent="0.25">
      <c r="A57" s="93">
        <v>46</v>
      </c>
      <c r="B57" s="94">
        <v>11.5</v>
      </c>
      <c r="C57" s="94">
        <v>3.91</v>
      </c>
    </row>
    <row r="58" spans="1:3" x14ac:dyDescent="0.25">
      <c r="A58" s="93">
        <v>47</v>
      </c>
      <c r="B58" s="94">
        <v>11.67</v>
      </c>
      <c r="C58" s="94">
        <v>3.94</v>
      </c>
    </row>
    <row r="59" spans="1:3" x14ac:dyDescent="0.25">
      <c r="A59" s="93">
        <v>48</v>
      </c>
      <c r="B59" s="94">
        <v>11.84</v>
      </c>
      <c r="C59" s="94">
        <v>3.98</v>
      </c>
    </row>
    <row r="60" spans="1:3" x14ac:dyDescent="0.25">
      <c r="A60" s="93">
        <v>49</v>
      </c>
      <c r="B60" s="94">
        <v>12.02</v>
      </c>
      <c r="C60" s="94">
        <v>4.01</v>
      </c>
    </row>
    <row r="61" spans="1:3" x14ac:dyDescent="0.25">
      <c r="A61" s="93">
        <v>50</v>
      </c>
      <c r="B61" s="94">
        <v>12.21</v>
      </c>
      <c r="C61" s="94">
        <v>4.04</v>
      </c>
    </row>
    <row r="62" spans="1:3" x14ac:dyDescent="0.25">
      <c r="A62" s="93">
        <v>51</v>
      </c>
      <c r="B62" s="94">
        <v>12.4</v>
      </c>
      <c r="C62" s="94">
        <v>4.0599999999999996</v>
      </c>
    </row>
    <row r="63" spans="1:3" x14ac:dyDescent="0.25">
      <c r="A63" s="93">
        <v>52</v>
      </c>
      <c r="B63" s="94">
        <v>12.59</v>
      </c>
      <c r="C63" s="94">
        <v>4.09</v>
      </c>
    </row>
    <row r="64" spans="1:3" x14ac:dyDescent="0.25">
      <c r="A64" s="93">
        <v>53</v>
      </c>
      <c r="B64" s="94">
        <v>12.79</v>
      </c>
      <c r="C64" s="94">
        <v>4.12</v>
      </c>
    </row>
    <row r="65" spans="1:3" x14ac:dyDescent="0.25">
      <c r="A65" s="93">
        <v>54</v>
      </c>
      <c r="B65" s="94">
        <v>13</v>
      </c>
      <c r="C65" s="94">
        <v>4.1399999999999997</v>
      </c>
    </row>
    <row r="66" spans="1:3" x14ac:dyDescent="0.25">
      <c r="A66" s="93">
        <v>55</v>
      </c>
      <c r="B66" s="94">
        <v>13.21</v>
      </c>
      <c r="C66" s="94">
        <v>4.16</v>
      </c>
    </row>
    <row r="67" spans="1:3" x14ac:dyDescent="0.25">
      <c r="A67" s="93">
        <v>56</v>
      </c>
      <c r="B67" s="94">
        <v>13.42</v>
      </c>
      <c r="C67" s="94">
        <v>4.18</v>
      </c>
    </row>
    <row r="68" spans="1:3" x14ac:dyDescent="0.25">
      <c r="A68" s="93">
        <v>57</v>
      </c>
      <c r="B68" s="94">
        <v>13.65</v>
      </c>
      <c r="C68" s="94">
        <v>4.2</v>
      </c>
    </row>
    <row r="69" spans="1:3" x14ac:dyDescent="0.25">
      <c r="A69" s="93">
        <v>58</v>
      </c>
      <c r="B69" s="94">
        <v>13.88</v>
      </c>
      <c r="C69" s="94">
        <v>4.21</v>
      </c>
    </row>
    <row r="70" spans="1:3" x14ac:dyDescent="0.25">
      <c r="A70" s="93">
        <v>59</v>
      </c>
      <c r="B70" s="94">
        <v>14.13</v>
      </c>
      <c r="C70" s="94">
        <v>4.22</v>
      </c>
    </row>
    <row r="71" spans="1:3" x14ac:dyDescent="0.25">
      <c r="A71" s="93">
        <v>60</v>
      </c>
      <c r="B71" s="94">
        <v>14.38</v>
      </c>
      <c r="C71" s="94">
        <v>4.2300000000000004</v>
      </c>
    </row>
    <row r="72" spans="1:3" x14ac:dyDescent="0.25">
      <c r="A72" s="93">
        <v>61</v>
      </c>
      <c r="B72" s="94">
        <v>14.64</v>
      </c>
      <c r="C72" s="94">
        <v>4.2300000000000004</v>
      </c>
    </row>
    <row r="73" spans="1:3" x14ac:dyDescent="0.25">
      <c r="A73" s="93">
        <v>62</v>
      </c>
      <c r="B73" s="94">
        <v>14.92</v>
      </c>
      <c r="C73" s="94">
        <v>4.2300000000000004</v>
      </c>
    </row>
    <row r="74" spans="1:3" x14ac:dyDescent="0.25">
      <c r="A74" s="93">
        <v>63</v>
      </c>
      <c r="B74" s="94">
        <v>15.21</v>
      </c>
      <c r="C74" s="94">
        <v>4.22</v>
      </c>
    </row>
    <row r="75" spans="1:3" x14ac:dyDescent="0.25">
      <c r="A75" s="93">
        <v>64</v>
      </c>
      <c r="B75" s="94">
        <v>15.52</v>
      </c>
      <c r="C75" s="94">
        <v>4.21</v>
      </c>
    </row>
    <row r="76" spans="1:3" x14ac:dyDescent="0.25">
      <c r="A76" s="93">
        <v>65</v>
      </c>
      <c r="B76" s="94">
        <v>15.85</v>
      </c>
      <c r="C76" s="94">
        <v>4.1900000000000004</v>
      </c>
    </row>
    <row r="77" spans="1:3" x14ac:dyDescent="0.25">
      <c r="A77" s="93">
        <v>66</v>
      </c>
      <c r="B77" s="94">
        <v>16.2</v>
      </c>
      <c r="C77" s="94">
        <v>4.16</v>
      </c>
    </row>
    <row r="78" spans="1:3" x14ac:dyDescent="0.25">
      <c r="A78" s="93">
        <v>67</v>
      </c>
      <c r="B78" s="94">
        <v>16.04</v>
      </c>
      <c r="C78" s="94">
        <v>4.1500000000000004</v>
      </c>
    </row>
    <row r="79" spans="1:3" x14ac:dyDescent="0.25">
      <c r="A79" s="93">
        <v>68</v>
      </c>
      <c r="B79" s="94">
        <v>15.38</v>
      </c>
      <c r="C79" s="94">
        <v>4.1399999999999997</v>
      </c>
    </row>
    <row r="80" spans="1:3" x14ac:dyDescent="0.25">
      <c r="A80" s="93">
        <v>69</v>
      </c>
      <c r="B80" s="94">
        <v>14.71</v>
      </c>
      <c r="C80" s="94">
        <v>4.07</v>
      </c>
    </row>
    <row r="81" spans="1:3" x14ac:dyDescent="0.25">
      <c r="A81" s="93">
        <v>70</v>
      </c>
      <c r="B81" s="94">
        <v>14.06</v>
      </c>
      <c r="C81" s="94">
        <v>4</v>
      </c>
    </row>
    <row r="82" spans="1:3" x14ac:dyDescent="0.25">
      <c r="A82" s="93">
        <v>71</v>
      </c>
      <c r="B82" s="94">
        <v>13.42</v>
      </c>
      <c r="C82" s="94">
        <v>3.97</v>
      </c>
    </row>
    <row r="83" spans="1:3" x14ac:dyDescent="0.25">
      <c r="A83" s="93">
        <v>72</v>
      </c>
      <c r="B83" s="94">
        <v>12.79</v>
      </c>
      <c r="C83" s="94">
        <v>3.94</v>
      </c>
    </row>
    <row r="84" spans="1:3" x14ac:dyDescent="0.25">
      <c r="A84" s="93">
        <v>73</v>
      </c>
      <c r="B84" s="94">
        <v>12.17</v>
      </c>
      <c r="C84" s="94">
        <v>3.9</v>
      </c>
    </row>
    <row r="85" spans="1:3" x14ac:dyDescent="0.25">
      <c r="A85" s="93">
        <v>74</v>
      </c>
      <c r="B85" s="94">
        <v>11.56</v>
      </c>
      <c r="C85" s="94">
        <v>3.74</v>
      </c>
    </row>
  </sheetData>
  <sheetProtection algorithmName="SHA-512" hashValue="jYijkUdx0qnySE8biNuDkbHsxLC1yaYjMXw7tcU6UF2QLA3OTcWqIk7Z7vHjn4qhv44UVh/vPXR0a+IqWA+VcA==" saltValue="GQkhzos7EiJG/zYSlgSfrg==" spinCount="100000" sheet="1" objects="1" scenarios="1"/>
  <conditionalFormatting sqref="A6:A21">
    <cfRule type="expression" dxfId="871" priority="17" stopIfTrue="1">
      <formula>MOD(ROW(),2)=0</formula>
    </cfRule>
    <cfRule type="expression" dxfId="870" priority="18" stopIfTrue="1">
      <formula>MOD(ROW(),2)&lt;&gt;0</formula>
    </cfRule>
  </conditionalFormatting>
  <conditionalFormatting sqref="A26:A85">
    <cfRule type="expression" dxfId="869" priority="7" stopIfTrue="1">
      <formula>MOD(ROW(),2)=0</formula>
    </cfRule>
    <cfRule type="expression" dxfId="868" priority="8" stopIfTrue="1">
      <formula>MOD(ROW(),2)&lt;&gt;0</formula>
    </cfRule>
  </conditionalFormatting>
  <conditionalFormatting sqref="B17:B19">
    <cfRule type="expression" dxfId="867" priority="1" stopIfTrue="1">
      <formula>MOD(ROW(),2)=0</formula>
    </cfRule>
  </conditionalFormatting>
  <conditionalFormatting sqref="B18:B19">
    <cfRule type="expression" dxfId="866" priority="2" stopIfTrue="1">
      <formula>MOD(ROW(),2)&lt;&gt;0</formula>
    </cfRule>
  </conditionalFormatting>
  <conditionalFormatting sqref="B6:C21">
    <cfRule type="expression" dxfId="865" priority="27" stopIfTrue="1">
      <formula>MOD(ROW(),2)=0</formula>
    </cfRule>
    <cfRule type="expression" dxfId="864" priority="28" stopIfTrue="1">
      <formula>MOD(ROW(),2)&lt;&gt;0</formula>
    </cfRule>
  </conditionalFormatting>
  <conditionalFormatting sqref="B17:C17">
    <cfRule type="expression" dxfId="863" priority="4" stopIfTrue="1">
      <formula>MOD(ROW(),2)&lt;&gt;0</formula>
    </cfRule>
  </conditionalFormatting>
  <conditionalFormatting sqref="B26:C85">
    <cfRule type="expression" dxfId="862" priority="9" stopIfTrue="1">
      <formula>MOD(ROW(),2)=0</formula>
    </cfRule>
    <cfRule type="expression" dxfId="861" priority="10" stopIfTrue="1">
      <formula>MOD(ROW(),2)&lt;&gt;0</formula>
    </cfRule>
  </conditionalFormatting>
  <conditionalFormatting sqref="C17">
    <cfRule type="expression" dxfId="860"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x-214</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357</v>
      </c>
      <c r="C10" s="110"/>
    </row>
    <row r="11" spans="1:7" x14ac:dyDescent="0.25">
      <c r="A11" s="73" t="s">
        <v>308</v>
      </c>
      <c r="B11" s="110" t="s">
        <v>322</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214</v>
      </c>
      <c r="C14" s="110"/>
    </row>
    <row r="15" spans="1:7" x14ac:dyDescent="0.25">
      <c r="A15" s="73" t="s">
        <v>569</v>
      </c>
      <c r="B15" s="110" t="s">
        <v>358</v>
      </c>
      <c r="C15" s="110"/>
    </row>
    <row r="16" spans="1:7" x14ac:dyDescent="0.25">
      <c r="A16" s="73" t="s">
        <v>313</v>
      </c>
      <c r="B16" s="110" t="s">
        <v>359</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7.2</v>
      </c>
      <c r="C27" s="94">
        <v>2.2200000000000002</v>
      </c>
    </row>
    <row r="28" spans="1:3" x14ac:dyDescent="0.25">
      <c r="A28" s="93">
        <v>17</v>
      </c>
      <c r="B28" s="94">
        <v>7.3</v>
      </c>
      <c r="C28" s="94">
        <v>2.4</v>
      </c>
    </row>
    <row r="29" spans="1:3" x14ac:dyDescent="0.25">
      <c r="A29" s="93">
        <v>18</v>
      </c>
      <c r="B29" s="94">
        <v>7.4</v>
      </c>
      <c r="C29" s="94">
        <v>2.59</v>
      </c>
    </row>
    <row r="30" spans="1:3" x14ac:dyDescent="0.25">
      <c r="A30" s="93">
        <v>19</v>
      </c>
      <c r="B30" s="94">
        <v>7.5</v>
      </c>
      <c r="C30" s="94">
        <v>2.71</v>
      </c>
    </row>
    <row r="31" spans="1:3" x14ac:dyDescent="0.25">
      <c r="A31" s="93">
        <v>20</v>
      </c>
      <c r="B31" s="94">
        <v>7.6</v>
      </c>
      <c r="C31" s="94">
        <v>2.75</v>
      </c>
    </row>
    <row r="32" spans="1:3" x14ac:dyDescent="0.25">
      <c r="A32" s="93">
        <v>21</v>
      </c>
      <c r="B32" s="94">
        <v>7.7</v>
      </c>
      <c r="C32" s="94">
        <v>2.8</v>
      </c>
    </row>
    <row r="33" spans="1:3" x14ac:dyDescent="0.25">
      <c r="A33" s="93">
        <v>22</v>
      </c>
      <c r="B33" s="94">
        <v>7.81</v>
      </c>
      <c r="C33" s="94">
        <v>2.85</v>
      </c>
    </row>
    <row r="34" spans="1:3" x14ac:dyDescent="0.25">
      <c r="A34" s="93">
        <v>23</v>
      </c>
      <c r="B34" s="94">
        <v>7.91</v>
      </c>
      <c r="C34" s="94">
        <v>2.89</v>
      </c>
    </row>
    <row r="35" spans="1:3" x14ac:dyDescent="0.25">
      <c r="A35" s="93">
        <v>24</v>
      </c>
      <c r="B35" s="94">
        <v>8.02</v>
      </c>
      <c r="C35" s="94">
        <v>2.94</v>
      </c>
    </row>
    <row r="36" spans="1:3" x14ac:dyDescent="0.25">
      <c r="A36" s="93">
        <v>25</v>
      </c>
      <c r="B36" s="94">
        <v>8.1199999999999992</v>
      </c>
      <c r="C36" s="94">
        <v>2.99</v>
      </c>
    </row>
    <row r="37" spans="1:3" x14ac:dyDescent="0.25">
      <c r="A37" s="93">
        <v>26</v>
      </c>
      <c r="B37" s="94">
        <v>8.23</v>
      </c>
      <c r="C37" s="94">
        <v>3.04</v>
      </c>
    </row>
    <row r="38" spans="1:3" x14ac:dyDescent="0.25">
      <c r="A38" s="93">
        <v>27</v>
      </c>
      <c r="B38" s="94">
        <v>8.35</v>
      </c>
      <c r="C38" s="94">
        <v>3.09</v>
      </c>
    </row>
    <row r="39" spans="1:3" x14ac:dyDescent="0.25">
      <c r="A39" s="93">
        <v>28</v>
      </c>
      <c r="B39" s="94">
        <v>8.4600000000000009</v>
      </c>
      <c r="C39" s="94">
        <v>3.13</v>
      </c>
    </row>
    <row r="40" spans="1:3" x14ac:dyDescent="0.25">
      <c r="A40" s="93">
        <v>29</v>
      </c>
      <c r="B40" s="94">
        <v>8.57</v>
      </c>
      <c r="C40" s="94">
        <v>3.18</v>
      </c>
    </row>
    <row r="41" spans="1:3" x14ac:dyDescent="0.25">
      <c r="A41" s="93">
        <v>30</v>
      </c>
      <c r="B41" s="94">
        <v>8.69</v>
      </c>
      <c r="C41" s="94">
        <v>3.23</v>
      </c>
    </row>
    <row r="42" spans="1:3" x14ac:dyDescent="0.25">
      <c r="A42" s="93">
        <v>31</v>
      </c>
      <c r="B42" s="94">
        <v>8.81</v>
      </c>
      <c r="C42" s="94">
        <v>3.28</v>
      </c>
    </row>
    <row r="43" spans="1:3" x14ac:dyDescent="0.25">
      <c r="A43" s="93">
        <v>32</v>
      </c>
      <c r="B43" s="94">
        <v>8.93</v>
      </c>
      <c r="C43" s="94">
        <v>3.33</v>
      </c>
    </row>
    <row r="44" spans="1:3" x14ac:dyDescent="0.25">
      <c r="A44" s="93">
        <v>33</v>
      </c>
      <c r="B44" s="94">
        <v>9.0500000000000007</v>
      </c>
      <c r="C44" s="94">
        <v>3.37</v>
      </c>
    </row>
    <row r="45" spans="1:3" x14ac:dyDescent="0.25">
      <c r="A45" s="93">
        <v>34</v>
      </c>
      <c r="B45" s="94">
        <v>9.17</v>
      </c>
      <c r="C45" s="94">
        <v>3.42</v>
      </c>
    </row>
    <row r="46" spans="1:3" x14ac:dyDescent="0.25">
      <c r="A46" s="93">
        <v>35</v>
      </c>
      <c r="B46" s="94">
        <v>9.3000000000000007</v>
      </c>
      <c r="C46" s="94">
        <v>3.47</v>
      </c>
    </row>
    <row r="47" spans="1:3" x14ac:dyDescent="0.25">
      <c r="A47" s="93">
        <v>36</v>
      </c>
      <c r="B47" s="94">
        <v>9.43</v>
      </c>
      <c r="C47" s="94">
        <v>3.51</v>
      </c>
    </row>
    <row r="48" spans="1:3" x14ac:dyDescent="0.25">
      <c r="A48" s="93">
        <v>37</v>
      </c>
      <c r="B48" s="94">
        <v>9.56</v>
      </c>
      <c r="C48" s="94">
        <v>3.56</v>
      </c>
    </row>
    <row r="49" spans="1:3" x14ac:dyDescent="0.25">
      <c r="A49" s="93">
        <v>38</v>
      </c>
      <c r="B49" s="94">
        <v>9.69</v>
      </c>
      <c r="C49" s="94">
        <v>3.6</v>
      </c>
    </row>
    <row r="50" spans="1:3" x14ac:dyDescent="0.25">
      <c r="A50" s="93">
        <v>39</v>
      </c>
      <c r="B50" s="94">
        <v>9.83</v>
      </c>
      <c r="C50" s="94">
        <v>3.65</v>
      </c>
    </row>
    <row r="51" spans="1:3" x14ac:dyDescent="0.25">
      <c r="A51" s="93">
        <v>40</v>
      </c>
      <c r="B51" s="94">
        <v>9.9600000000000009</v>
      </c>
      <c r="C51" s="94">
        <v>3.69</v>
      </c>
    </row>
    <row r="52" spans="1:3" x14ac:dyDescent="0.25">
      <c r="A52" s="93">
        <v>41</v>
      </c>
      <c r="B52" s="94">
        <v>10.1</v>
      </c>
      <c r="C52" s="94">
        <v>3.73</v>
      </c>
    </row>
    <row r="53" spans="1:3" x14ac:dyDescent="0.25">
      <c r="A53" s="93">
        <v>42</v>
      </c>
      <c r="B53" s="94">
        <v>10.25</v>
      </c>
      <c r="C53" s="94">
        <v>3.78</v>
      </c>
    </row>
    <row r="54" spans="1:3" x14ac:dyDescent="0.25">
      <c r="A54" s="93">
        <v>43</v>
      </c>
      <c r="B54" s="94">
        <v>10.39</v>
      </c>
      <c r="C54" s="94">
        <v>3.82</v>
      </c>
    </row>
    <row r="55" spans="1:3" x14ac:dyDescent="0.25">
      <c r="A55" s="93">
        <v>44</v>
      </c>
      <c r="B55" s="94">
        <v>10.54</v>
      </c>
      <c r="C55" s="94">
        <v>3.86</v>
      </c>
    </row>
    <row r="56" spans="1:3" x14ac:dyDescent="0.25">
      <c r="A56" s="93">
        <v>45</v>
      </c>
      <c r="B56" s="94">
        <v>10.7</v>
      </c>
      <c r="C56" s="94">
        <v>3.89</v>
      </c>
    </row>
    <row r="57" spans="1:3" x14ac:dyDescent="0.25">
      <c r="A57" s="93">
        <v>46</v>
      </c>
      <c r="B57" s="94">
        <v>10.85</v>
      </c>
      <c r="C57" s="94">
        <v>3.93</v>
      </c>
    </row>
    <row r="58" spans="1:3" x14ac:dyDescent="0.25">
      <c r="A58" s="93">
        <v>47</v>
      </c>
      <c r="B58" s="94">
        <v>11.01</v>
      </c>
      <c r="C58" s="94">
        <v>3.96</v>
      </c>
    </row>
    <row r="59" spans="1:3" x14ac:dyDescent="0.25">
      <c r="A59" s="93">
        <v>48</v>
      </c>
      <c r="B59" s="94">
        <v>11.18</v>
      </c>
      <c r="C59" s="94">
        <v>4</v>
      </c>
    </row>
    <row r="60" spans="1:3" x14ac:dyDescent="0.25">
      <c r="A60" s="93">
        <v>49</v>
      </c>
      <c r="B60" s="94">
        <v>11.34</v>
      </c>
      <c r="C60" s="94">
        <v>4.03</v>
      </c>
    </row>
    <row r="61" spans="1:3" x14ac:dyDescent="0.25">
      <c r="A61" s="93">
        <v>50</v>
      </c>
      <c r="B61" s="94">
        <v>11.52</v>
      </c>
      <c r="C61" s="94">
        <v>4.0599999999999996</v>
      </c>
    </row>
    <row r="62" spans="1:3" x14ac:dyDescent="0.25">
      <c r="A62" s="93">
        <v>51</v>
      </c>
      <c r="B62" s="94">
        <v>11.69</v>
      </c>
      <c r="C62" s="94">
        <v>4.09</v>
      </c>
    </row>
    <row r="63" spans="1:3" x14ac:dyDescent="0.25">
      <c r="A63" s="93">
        <v>52</v>
      </c>
      <c r="B63" s="94">
        <v>11.87</v>
      </c>
      <c r="C63" s="94">
        <v>4.1100000000000003</v>
      </c>
    </row>
    <row r="64" spans="1:3" x14ac:dyDescent="0.25">
      <c r="A64" s="93">
        <v>53</v>
      </c>
      <c r="B64" s="94">
        <v>12.06</v>
      </c>
      <c r="C64" s="94">
        <v>4.1399999999999997</v>
      </c>
    </row>
    <row r="65" spans="1:3" x14ac:dyDescent="0.25">
      <c r="A65" s="93">
        <v>54</v>
      </c>
      <c r="B65" s="94">
        <v>12.25</v>
      </c>
      <c r="C65" s="94">
        <v>4.16</v>
      </c>
    </row>
    <row r="66" spans="1:3" x14ac:dyDescent="0.25">
      <c r="A66" s="93">
        <v>55</v>
      </c>
      <c r="B66" s="94">
        <v>12.45</v>
      </c>
      <c r="C66" s="94">
        <v>4.1900000000000004</v>
      </c>
    </row>
    <row r="67" spans="1:3" x14ac:dyDescent="0.25">
      <c r="A67" s="93">
        <v>56</v>
      </c>
      <c r="B67" s="94">
        <v>12.65</v>
      </c>
      <c r="C67" s="94">
        <v>4.2</v>
      </c>
    </row>
    <row r="68" spans="1:3" x14ac:dyDescent="0.25">
      <c r="A68" s="93">
        <v>57</v>
      </c>
      <c r="B68" s="94">
        <v>12.86</v>
      </c>
      <c r="C68" s="94">
        <v>4.22</v>
      </c>
    </row>
    <row r="69" spans="1:3" x14ac:dyDescent="0.25">
      <c r="A69" s="93">
        <v>58</v>
      </c>
      <c r="B69" s="94">
        <v>13.08</v>
      </c>
      <c r="C69" s="94">
        <v>4.24</v>
      </c>
    </row>
    <row r="70" spans="1:3" x14ac:dyDescent="0.25">
      <c r="A70" s="93">
        <v>59</v>
      </c>
      <c r="B70" s="94">
        <v>13.3</v>
      </c>
      <c r="C70" s="94">
        <v>4.25</v>
      </c>
    </row>
    <row r="71" spans="1:3" x14ac:dyDescent="0.25">
      <c r="A71" s="93">
        <v>60</v>
      </c>
      <c r="B71" s="94">
        <v>13.54</v>
      </c>
      <c r="C71" s="94">
        <v>4.25</v>
      </c>
    </row>
    <row r="72" spans="1:3" x14ac:dyDescent="0.25">
      <c r="A72" s="93">
        <v>61</v>
      </c>
      <c r="B72" s="94">
        <v>13.78</v>
      </c>
      <c r="C72" s="94">
        <v>4.26</v>
      </c>
    </row>
    <row r="73" spans="1:3" x14ac:dyDescent="0.25">
      <c r="A73" s="93">
        <v>62</v>
      </c>
      <c r="B73" s="94">
        <v>14.04</v>
      </c>
      <c r="C73" s="94">
        <v>4.26</v>
      </c>
    </row>
    <row r="74" spans="1:3" x14ac:dyDescent="0.25">
      <c r="A74" s="93">
        <v>63</v>
      </c>
      <c r="B74" s="94">
        <v>14.31</v>
      </c>
      <c r="C74" s="94">
        <v>4.25</v>
      </c>
    </row>
    <row r="75" spans="1:3" x14ac:dyDescent="0.25">
      <c r="A75" s="93">
        <v>64</v>
      </c>
      <c r="B75" s="94">
        <v>14.6</v>
      </c>
      <c r="C75" s="94">
        <v>4.24</v>
      </c>
    </row>
    <row r="76" spans="1:3" x14ac:dyDescent="0.25">
      <c r="A76" s="93">
        <v>65</v>
      </c>
      <c r="B76" s="94">
        <v>14.9</v>
      </c>
      <c r="C76" s="94">
        <v>4.22</v>
      </c>
    </row>
    <row r="77" spans="1:3" x14ac:dyDescent="0.25">
      <c r="A77" s="93">
        <v>66</v>
      </c>
      <c r="B77" s="94">
        <v>15.23</v>
      </c>
      <c r="C77" s="94">
        <v>4.1900000000000004</v>
      </c>
    </row>
    <row r="78" spans="1:3" x14ac:dyDescent="0.25">
      <c r="A78" s="93">
        <v>67</v>
      </c>
      <c r="B78" s="94">
        <v>15.58</v>
      </c>
      <c r="C78" s="94">
        <v>4.16</v>
      </c>
    </row>
    <row r="79" spans="1:3" x14ac:dyDescent="0.25">
      <c r="A79" s="93">
        <v>68</v>
      </c>
      <c r="B79" s="94">
        <v>15.42</v>
      </c>
      <c r="C79" s="94">
        <v>4.1399999999999997</v>
      </c>
    </row>
    <row r="80" spans="1:3" x14ac:dyDescent="0.25">
      <c r="A80" s="93">
        <v>69</v>
      </c>
      <c r="B80" s="94">
        <v>14.75</v>
      </c>
      <c r="C80" s="94">
        <v>4.07</v>
      </c>
    </row>
    <row r="81" spans="1:3" x14ac:dyDescent="0.25">
      <c r="A81" s="93">
        <v>70</v>
      </c>
      <c r="B81" s="94">
        <v>14.09</v>
      </c>
      <c r="C81" s="94">
        <v>4</v>
      </c>
    </row>
    <row r="82" spans="1:3" x14ac:dyDescent="0.25">
      <c r="A82" s="93">
        <v>71</v>
      </c>
      <c r="B82" s="94">
        <v>13.43</v>
      </c>
      <c r="C82" s="94">
        <v>3.97</v>
      </c>
    </row>
    <row r="83" spans="1:3" x14ac:dyDescent="0.25">
      <c r="A83" s="93">
        <v>72</v>
      </c>
      <c r="B83" s="94">
        <v>12.8</v>
      </c>
      <c r="C83" s="94">
        <v>3.94</v>
      </c>
    </row>
    <row r="84" spans="1:3" x14ac:dyDescent="0.25">
      <c r="A84" s="93">
        <v>73</v>
      </c>
      <c r="B84" s="94">
        <v>12.17</v>
      </c>
      <c r="C84" s="94">
        <v>3.9</v>
      </c>
    </row>
    <row r="85" spans="1:3" x14ac:dyDescent="0.25">
      <c r="A85" s="93">
        <v>74</v>
      </c>
      <c r="B85" s="94">
        <v>11.56</v>
      </c>
      <c r="C85" s="94">
        <v>3.74</v>
      </c>
    </row>
  </sheetData>
  <sheetProtection algorithmName="SHA-512" hashValue="GgsF7Lbnr23AqZ9c5qac+UA2MD5JalPmMj1yf/sl8/R12dNzp0scKr/Xq8csT5hKTyWoKQcJ041c9yMk1IC/kw==" saltValue="0qSuCb05G60HYyZ3PH+UBw==" spinCount="100000" sheet="1" objects="1" scenarios="1"/>
  <conditionalFormatting sqref="A6:A21">
    <cfRule type="expression" dxfId="859" priority="17" stopIfTrue="1">
      <formula>MOD(ROW(),2)=0</formula>
    </cfRule>
    <cfRule type="expression" dxfId="858" priority="18" stopIfTrue="1">
      <formula>MOD(ROW(),2)&lt;&gt;0</formula>
    </cfRule>
  </conditionalFormatting>
  <conditionalFormatting sqref="A26:A85">
    <cfRule type="expression" dxfId="857" priority="7" stopIfTrue="1">
      <formula>MOD(ROW(),2)=0</formula>
    </cfRule>
    <cfRule type="expression" dxfId="856" priority="8" stopIfTrue="1">
      <formula>MOD(ROW(),2)&lt;&gt;0</formula>
    </cfRule>
  </conditionalFormatting>
  <conditionalFormatting sqref="B17:B19">
    <cfRule type="expression" dxfId="855" priority="1" stopIfTrue="1">
      <formula>MOD(ROW(),2)=0</formula>
    </cfRule>
  </conditionalFormatting>
  <conditionalFormatting sqref="B18:B19">
    <cfRule type="expression" dxfId="854" priority="2" stopIfTrue="1">
      <formula>MOD(ROW(),2)&lt;&gt;0</formula>
    </cfRule>
  </conditionalFormatting>
  <conditionalFormatting sqref="B6:C21">
    <cfRule type="expression" dxfId="853" priority="27" stopIfTrue="1">
      <formula>MOD(ROW(),2)=0</formula>
    </cfRule>
    <cfRule type="expression" dxfId="852" priority="28" stopIfTrue="1">
      <formula>MOD(ROW(),2)&lt;&gt;0</formula>
    </cfRule>
  </conditionalFormatting>
  <conditionalFormatting sqref="B17:C17">
    <cfRule type="expression" dxfId="851" priority="4" stopIfTrue="1">
      <formula>MOD(ROW(),2)&lt;&gt;0</formula>
    </cfRule>
  </conditionalFormatting>
  <conditionalFormatting sqref="B26:C85">
    <cfRule type="expression" dxfId="850" priority="9" stopIfTrue="1">
      <formula>MOD(ROW(),2)=0</formula>
    </cfRule>
    <cfRule type="expression" dxfId="849" priority="10" stopIfTrue="1">
      <formula>MOD(ROW(),2)&lt;&gt;0</formula>
    </cfRule>
  </conditionalFormatting>
  <conditionalFormatting sqref="C17">
    <cfRule type="expression" dxfId="848"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4.77734375" style="27" customWidth="1"/>
    <col min="3" max="3" width="25.2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x-215</v>
      </c>
      <c r="B3" s="43"/>
      <c r="C3" s="43"/>
      <c r="D3" s="43"/>
      <c r="E3" s="43"/>
      <c r="F3" s="43"/>
      <c r="G3" s="43"/>
    </row>
    <row r="4" spans="1:7" x14ac:dyDescent="0.25">
      <c r="A4" s="45"/>
    </row>
    <row r="6" spans="1:7" x14ac:dyDescent="0.25">
      <c r="A6" s="149" t="s">
        <v>558</v>
      </c>
      <c r="B6" s="110" t="s">
        <v>559</v>
      </c>
      <c r="C6" s="110"/>
    </row>
    <row r="7" spans="1:7" x14ac:dyDescent="0.25">
      <c r="A7" s="73" t="s">
        <v>305</v>
      </c>
      <c r="B7" s="110" t="s">
        <v>319</v>
      </c>
      <c r="C7" s="110"/>
    </row>
    <row r="8" spans="1:7" x14ac:dyDescent="0.25">
      <c r="A8" s="73" t="s">
        <v>306</v>
      </c>
      <c r="B8" s="110">
        <v>2015</v>
      </c>
      <c r="C8" s="110"/>
    </row>
    <row r="9" spans="1:7" x14ac:dyDescent="0.25">
      <c r="A9" s="73" t="s">
        <v>307</v>
      </c>
      <c r="B9" s="110" t="s">
        <v>320</v>
      </c>
      <c r="C9" s="110"/>
    </row>
    <row r="10" spans="1:7" ht="12.6" customHeight="1" x14ac:dyDescent="0.25">
      <c r="A10" s="73" t="s">
        <v>233</v>
      </c>
      <c r="B10" s="110" t="s">
        <v>357</v>
      </c>
      <c r="C10" s="110"/>
    </row>
    <row r="11" spans="1:7" x14ac:dyDescent="0.25">
      <c r="A11" s="73" t="s">
        <v>308</v>
      </c>
      <c r="B11" s="110" t="s">
        <v>328</v>
      </c>
      <c r="C11" s="110"/>
    </row>
    <row r="12" spans="1:7" ht="12.6" customHeight="1" x14ac:dyDescent="0.25">
      <c r="A12" s="73" t="s">
        <v>309</v>
      </c>
      <c r="B12" s="110" t="s">
        <v>323</v>
      </c>
      <c r="C12" s="110"/>
    </row>
    <row r="13" spans="1:7" ht="12.6" customHeight="1" x14ac:dyDescent="0.25">
      <c r="A13" s="73" t="s">
        <v>566</v>
      </c>
      <c r="B13" s="110">
        <v>0</v>
      </c>
      <c r="C13" s="110"/>
    </row>
    <row r="14" spans="1:7" ht="12.6" customHeight="1" x14ac:dyDescent="0.25">
      <c r="A14" s="73" t="s">
        <v>311</v>
      </c>
      <c r="B14" s="110">
        <v>215</v>
      </c>
      <c r="C14" s="110"/>
    </row>
    <row r="15" spans="1:7" x14ac:dyDescent="0.25">
      <c r="A15" s="73" t="s">
        <v>569</v>
      </c>
      <c r="B15" s="110" t="s">
        <v>360</v>
      </c>
      <c r="C15" s="110"/>
    </row>
    <row r="16" spans="1:7" x14ac:dyDescent="0.25">
      <c r="A16" s="73" t="s">
        <v>313</v>
      </c>
      <c r="B16" s="110" t="s">
        <v>361</v>
      </c>
      <c r="C16" s="110"/>
    </row>
    <row r="17" spans="1:3" ht="45" customHeight="1" x14ac:dyDescent="0.25">
      <c r="A17" s="73" t="s">
        <v>639</v>
      </c>
      <c r="B17" s="110"/>
      <c r="C17" s="110"/>
    </row>
    <row r="18" spans="1:3" x14ac:dyDescent="0.25">
      <c r="A18" s="73" t="s">
        <v>315</v>
      </c>
      <c r="B18" s="150">
        <v>45070</v>
      </c>
      <c r="C18" s="110"/>
    </row>
    <row r="19" spans="1:3" x14ac:dyDescent="0.25">
      <c r="A19" s="73" t="s">
        <v>316</v>
      </c>
      <c r="B19" s="150">
        <v>45014</v>
      </c>
      <c r="C19" s="110"/>
    </row>
    <row r="20" spans="1:3" x14ac:dyDescent="0.25">
      <c r="A20" s="73" t="s">
        <v>317</v>
      </c>
      <c r="B20" s="110" t="s">
        <v>326</v>
      </c>
      <c r="C20" s="110"/>
    </row>
    <row r="21" spans="1:3" x14ac:dyDescent="0.25">
      <c r="A21" s="73" t="s">
        <v>318</v>
      </c>
      <c r="B21" s="110" t="s">
        <v>327</v>
      </c>
      <c r="C21" s="110"/>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646</v>
      </c>
      <c r="C26" s="92" t="s">
        <v>647</v>
      </c>
    </row>
    <row r="27" spans="1:3" x14ac:dyDescent="0.25">
      <c r="A27" s="93">
        <v>16</v>
      </c>
      <c r="B27" s="94">
        <v>7.2</v>
      </c>
      <c r="C27" s="94">
        <v>2.2200000000000002</v>
      </c>
    </row>
    <row r="28" spans="1:3" x14ac:dyDescent="0.25">
      <c r="A28" s="93">
        <v>17</v>
      </c>
      <c r="B28" s="94">
        <v>7.3</v>
      </c>
      <c r="C28" s="94">
        <v>2.4</v>
      </c>
    </row>
    <row r="29" spans="1:3" x14ac:dyDescent="0.25">
      <c r="A29" s="93">
        <v>18</v>
      </c>
      <c r="B29" s="94">
        <v>7.4</v>
      </c>
      <c r="C29" s="94">
        <v>2.59</v>
      </c>
    </row>
    <row r="30" spans="1:3" x14ac:dyDescent="0.25">
      <c r="A30" s="93">
        <v>19</v>
      </c>
      <c r="B30" s="94">
        <v>7.5</v>
      </c>
      <c r="C30" s="94">
        <v>2.71</v>
      </c>
    </row>
    <row r="31" spans="1:3" x14ac:dyDescent="0.25">
      <c r="A31" s="93">
        <v>20</v>
      </c>
      <c r="B31" s="94">
        <v>7.6</v>
      </c>
      <c r="C31" s="94">
        <v>2.75</v>
      </c>
    </row>
    <row r="32" spans="1:3" x14ac:dyDescent="0.25">
      <c r="A32" s="93">
        <v>21</v>
      </c>
      <c r="B32" s="94">
        <v>7.7</v>
      </c>
      <c r="C32" s="94">
        <v>2.8</v>
      </c>
    </row>
    <row r="33" spans="1:3" x14ac:dyDescent="0.25">
      <c r="A33" s="93">
        <v>22</v>
      </c>
      <c r="B33" s="94">
        <v>7.81</v>
      </c>
      <c r="C33" s="94">
        <v>2.85</v>
      </c>
    </row>
    <row r="34" spans="1:3" x14ac:dyDescent="0.25">
      <c r="A34" s="93">
        <v>23</v>
      </c>
      <c r="B34" s="94">
        <v>7.91</v>
      </c>
      <c r="C34" s="94">
        <v>2.89</v>
      </c>
    </row>
    <row r="35" spans="1:3" x14ac:dyDescent="0.25">
      <c r="A35" s="93">
        <v>24</v>
      </c>
      <c r="B35" s="94">
        <v>8.02</v>
      </c>
      <c r="C35" s="94">
        <v>2.94</v>
      </c>
    </row>
    <row r="36" spans="1:3" x14ac:dyDescent="0.25">
      <c r="A36" s="93">
        <v>25</v>
      </c>
      <c r="B36" s="94">
        <v>8.1199999999999992</v>
      </c>
      <c r="C36" s="94">
        <v>2.99</v>
      </c>
    </row>
    <row r="37" spans="1:3" x14ac:dyDescent="0.25">
      <c r="A37" s="93">
        <v>26</v>
      </c>
      <c r="B37" s="94">
        <v>8.23</v>
      </c>
      <c r="C37" s="94">
        <v>3.04</v>
      </c>
    </row>
    <row r="38" spans="1:3" x14ac:dyDescent="0.25">
      <c r="A38" s="93">
        <v>27</v>
      </c>
      <c r="B38" s="94">
        <v>8.35</v>
      </c>
      <c r="C38" s="94">
        <v>3.09</v>
      </c>
    </row>
    <row r="39" spans="1:3" x14ac:dyDescent="0.25">
      <c r="A39" s="93">
        <v>28</v>
      </c>
      <c r="B39" s="94">
        <v>8.4600000000000009</v>
      </c>
      <c r="C39" s="94">
        <v>3.13</v>
      </c>
    </row>
    <row r="40" spans="1:3" x14ac:dyDescent="0.25">
      <c r="A40" s="93">
        <v>29</v>
      </c>
      <c r="B40" s="94">
        <v>8.57</v>
      </c>
      <c r="C40" s="94">
        <v>3.18</v>
      </c>
    </row>
    <row r="41" spans="1:3" x14ac:dyDescent="0.25">
      <c r="A41" s="93">
        <v>30</v>
      </c>
      <c r="B41" s="94">
        <v>8.69</v>
      </c>
      <c r="C41" s="94">
        <v>3.23</v>
      </c>
    </row>
    <row r="42" spans="1:3" x14ac:dyDescent="0.25">
      <c r="A42" s="93">
        <v>31</v>
      </c>
      <c r="B42" s="94">
        <v>8.81</v>
      </c>
      <c r="C42" s="94">
        <v>3.28</v>
      </c>
    </row>
    <row r="43" spans="1:3" x14ac:dyDescent="0.25">
      <c r="A43" s="93">
        <v>32</v>
      </c>
      <c r="B43" s="94">
        <v>8.93</v>
      </c>
      <c r="C43" s="94">
        <v>3.33</v>
      </c>
    </row>
    <row r="44" spans="1:3" x14ac:dyDescent="0.25">
      <c r="A44" s="93">
        <v>33</v>
      </c>
      <c r="B44" s="94">
        <v>9.0500000000000007</v>
      </c>
      <c r="C44" s="94">
        <v>3.37</v>
      </c>
    </row>
    <row r="45" spans="1:3" x14ac:dyDescent="0.25">
      <c r="A45" s="93">
        <v>34</v>
      </c>
      <c r="B45" s="94">
        <v>9.17</v>
      </c>
      <c r="C45" s="94">
        <v>3.42</v>
      </c>
    </row>
    <row r="46" spans="1:3" x14ac:dyDescent="0.25">
      <c r="A46" s="93">
        <v>35</v>
      </c>
      <c r="B46" s="94">
        <v>9.3000000000000007</v>
      </c>
      <c r="C46" s="94">
        <v>3.47</v>
      </c>
    </row>
    <row r="47" spans="1:3" x14ac:dyDescent="0.25">
      <c r="A47" s="93">
        <v>36</v>
      </c>
      <c r="B47" s="94">
        <v>9.43</v>
      </c>
      <c r="C47" s="94">
        <v>3.51</v>
      </c>
    </row>
    <row r="48" spans="1:3" x14ac:dyDescent="0.25">
      <c r="A48" s="93">
        <v>37</v>
      </c>
      <c r="B48" s="94">
        <v>9.56</v>
      </c>
      <c r="C48" s="94">
        <v>3.56</v>
      </c>
    </row>
    <row r="49" spans="1:3" x14ac:dyDescent="0.25">
      <c r="A49" s="93">
        <v>38</v>
      </c>
      <c r="B49" s="94">
        <v>9.69</v>
      </c>
      <c r="C49" s="94">
        <v>3.6</v>
      </c>
    </row>
    <row r="50" spans="1:3" x14ac:dyDescent="0.25">
      <c r="A50" s="93">
        <v>39</v>
      </c>
      <c r="B50" s="94">
        <v>9.83</v>
      </c>
      <c r="C50" s="94">
        <v>3.65</v>
      </c>
    </row>
    <row r="51" spans="1:3" x14ac:dyDescent="0.25">
      <c r="A51" s="93">
        <v>40</v>
      </c>
      <c r="B51" s="94">
        <v>9.9600000000000009</v>
      </c>
      <c r="C51" s="94">
        <v>3.69</v>
      </c>
    </row>
    <row r="52" spans="1:3" x14ac:dyDescent="0.25">
      <c r="A52" s="93">
        <v>41</v>
      </c>
      <c r="B52" s="94">
        <v>10.1</v>
      </c>
      <c r="C52" s="94">
        <v>3.73</v>
      </c>
    </row>
    <row r="53" spans="1:3" x14ac:dyDescent="0.25">
      <c r="A53" s="93">
        <v>42</v>
      </c>
      <c r="B53" s="94">
        <v>10.25</v>
      </c>
      <c r="C53" s="94">
        <v>3.78</v>
      </c>
    </row>
    <row r="54" spans="1:3" x14ac:dyDescent="0.25">
      <c r="A54" s="93">
        <v>43</v>
      </c>
      <c r="B54" s="94">
        <v>10.39</v>
      </c>
      <c r="C54" s="94">
        <v>3.82</v>
      </c>
    </row>
    <row r="55" spans="1:3" x14ac:dyDescent="0.25">
      <c r="A55" s="93">
        <v>44</v>
      </c>
      <c r="B55" s="94">
        <v>10.54</v>
      </c>
      <c r="C55" s="94">
        <v>3.86</v>
      </c>
    </row>
    <row r="56" spans="1:3" x14ac:dyDescent="0.25">
      <c r="A56" s="93">
        <v>45</v>
      </c>
      <c r="B56" s="94">
        <v>10.7</v>
      </c>
      <c r="C56" s="94">
        <v>3.89</v>
      </c>
    </row>
    <row r="57" spans="1:3" x14ac:dyDescent="0.25">
      <c r="A57" s="93">
        <v>46</v>
      </c>
      <c r="B57" s="94">
        <v>10.85</v>
      </c>
      <c r="C57" s="94">
        <v>3.93</v>
      </c>
    </row>
    <row r="58" spans="1:3" x14ac:dyDescent="0.25">
      <c r="A58" s="93">
        <v>47</v>
      </c>
      <c r="B58" s="94">
        <v>11.01</v>
      </c>
      <c r="C58" s="94">
        <v>3.96</v>
      </c>
    </row>
    <row r="59" spans="1:3" x14ac:dyDescent="0.25">
      <c r="A59" s="93">
        <v>48</v>
      </c>
      <c r="B59" s="94">
        <v>11.18</v>
      </c>
      <c r="C59" s="94">
        <v>4</v>
      </c>
    </row>
    <row r="60" spans="1:3" x14ac:dyDescent="0.25">
      <c r="A60" s="93">
        <v>49</v>
      </c>
      <c r="B60" s="94">
        <v>11.34</v>
      </c>
      <c r="C60" s="94">
        <v>4.03</v>
      </c>
    </row>
    <row r="61" spans="1:3" x14ac:dyDescent="0.25">
      <c r="A61" s="93">
        <v>50</v>
      </c>
      <c r="B61" s="94">
        <v>11.52</v>
      </c>
      <c r="C61" s="94">
        <v>4.0599999999999996</v>
      </c>
    </row>
    <row r="62" spans="1:3" x14ac:dyDescent="0.25">
      <c r="A62" s="93">
        <v>51</v>
      </c>
      <c r="B62" s="94">
        <v>11.69</v>
      </c>
      <c r="C62" s="94">
        <v>4.09</v>
      </c>
    </row>
    <row r="63" spans="1:3" x14ac:dyDescent="0.25">
      <c r="A63" s="93">
        <v>52</v>
      </c>
      <c r="B63" s="94">
        <v>11.87</v>
      </c>
      <c r="C63" s="94">
        <v>4.1100000000000003</v>
      </c>
    </row>
    <row r="64" spans="1:3" x14ac:dyDescent="0.25">
      <c r="A64" s="93">
        <v>53</v>
      </c>
      <c r="B64" s="94">
        <v>12.06</v>
      </c>
      <c r="C64" s="94">
        <v>4.1399999999999997</v>
      </c>
    </row>
    <row r="65" spans="1:3" x14ac:dyDescent="0.25">
      <c r="A65" s="93">
        <v>54</v>
      </c>
      <c r="B65" s="94">
        <v>12.25</v>
      </c>
      <c r="C65" s="94">
        <v>4.16</v>
      </c>
    </row>
    <row r="66" spans="1:3" x14ac:dyDescent="0.25">
      <c r="A66" s="93">
        <v>55</v>
      </c>
      <c r="B66" s="94">
        <v>12.45</v>
      </c>
      <c r="C66" s="94">
        <v>4.1900000000000004</v>
      </c>
    </row>
    <row r="67" spans="1:3" x14ac:dyDescent="0.25">
      <c r="A67" s="93">
        <v>56</v>
      </c>
      <c r="B67" s="94">
        <v>12.65</v>
      </c>
      <c r="C67" s="94">
        <v>4.2</v>
      </c>
    </row>
    <row r="68" spans="1:3" x14ac:dyDescent="0.25">
      <c r="A68" s="93">
        <v>57</v>
      </c>
      <c r="B68" s="94">
        <v>12.86</v>
      </c>
      <c r="C68" s="94">
        <v>4.22</v>
      </c>
    </row>
    <row r="69" spans="1:3" x14ac:dyDescent="0.25">
      <c r="A69" s="93">
        <v>58</v>
      </c>
      <c r="B69" s="94">
        <v>13.08</v>
      </c>
      <c r="C69" s="94">
        <v>4.24</v>
      </c>
    </row>
    <row r="70" spans="1:3" x14ac:dyDescent="0.25">
      <c r="A70" s="93">
        <v>59</v>
      </c>
      <c r="B70" s="94">
        <v>13.3</v>
      </c>
      <c r="C70" s="94">
        <v>4.25</v>
      </c>
    </row>
    <row r="71" spans="1:3" x14ac:dyDescent="0.25">
      <c r="A71" s="93">
        <v>60</v>
      </c>
      <c r="B71" s="94">
        <v>13.54</v>
      </c>
      <c r="C71" s="94">
        <v>4.25</v>
      </c>
    </row>
    <row r="72" spans="1:3" x14ac:dyDescent="0.25">
      <c r="A72" s="93">
        <v>61</v>
      </c>
      <c r="B72" s="94">
        <v>13.78</v>
      </c>
      <c r="C72" s="94">
        <v>4.26</v>
      </c>
    </row>
    <row r="73" spans="1:3" x14ac:dyDescent="0.25">
      <c r="A73" s="93">
        <v>62</v>
      </c>
      <c r="B73" s="94">
        <v>14.04</v>
      </c>
      <c r="C73" s="94">
        <v>4.26</v>
      </c>
    </row>
    <row r="74" spans="1:3" x14ac:dyDescent="0.25">
      <c r="A74" s="93">
        <v>63</v>
      </c>
      <c r="B74" s="94">
        <v>14.31</v>
      </c>
      <c r="C74" s="94">
        <v>4.25</v>
      </c>
    </row>
    <row r="75" spans="1:3" x14ac:dyDescent="0.25">
      <c r="A75" s="93">
        <v>64</v>
      </c>
      <c r="B75" s="94">
        <v>14.6</v>
      </c>
      <c r="C75" s="94">
        <v>4.24</v>
      </c>
    </row>
    <row r="76" spans="1:3" x14ac:dyDescent="0.25">
      <c r="A76" s="93">
        <v>65</v>
      </c>
      <c r="B76" s="94">
        <v>14.9</v>
      </c>
      <c r="C76" s="94">
        <v>4.22</v>
      </c>
    </row>
    <row r="77" spans="1:3" x14ac:dyDescent="0.25">
      <c r="A77" s="93">
        <v>66</v>
      </c>
      <c r="B77" s="94">
        <v>15.23</v>
      </c>
      <c r="C77" s="94">
        <v>4.1900000000000004</v>
      </c>
    </row>
    <row r="78" spans="1:3" x14ac:dyDescent="0.25">
      <c r="A78" s="93">
        <v>67</v>
      </c>
      <c r="B78" s="94">
        <v>15.58</v>
      </c>
      <c r="C78" s="94">
        <v>4.16</v>
      </c>
    </row>
    <row r="79" spans="1:3" x14ac:dyDescent="0.25">
      <c r="A79" s="93">
        <v>68</v>
      </c>
      <c r="B79" s="94">
        <v>15.42</v>
      </c>
      <c r="C79" s="94">
        <v>4.1399999999999997</v>
      </c>
    </row>
    <row r="80" spans="1:3" x14ac:dyDescent="0.25">
      <c r="A80" s="93">
        <v>69</v>
      </c>
      <c r="B80" s="94">
        <v>14.75</v>
      </c>
      <c r="C80" s="94">
        <v>4.07</v>
      </c>
    </row>
    <row r="81" spans="1:3" x14ac:dyDescent="0.25">
      <c r="A81" s="93">
        <v>70</v>
      </c>
      <c r="B81" s="94">
        <v>14.09</v>
      </c>
      <c r="C81" s="94">
        <v>4</v>
      </c>
    </row>
    <row r="82" spans="1:3" x14ac:dyDescent="0.25">
      <c r="A82" s="93">
        <v>71</v>
      </c>
      <c r="B82" s="94">
        <v>13.43</v>
      </c>
      <c r="C82" s="94">
        <v>3.97</v>
      </c>
    </row>
    <row r="83" spans="1:3" x14ac:dyDescent="0.25">
      <c r="A83" s="93">
        <v>72</v>
      </c>
      <c r="B83" s="94">
        <v>12.8</v>
      </c>
      <c r="C83" s="94">
        <v>3.94</v>
      </c>
    </row>
    <row r="84" spans="1:3" x14ac:dyDescent="0.25">
      <c r="A84" s="93">
        <v>73</v>
      </c>
      <c r="B84" s="94">
        <v>12.17</v>
      </c>
      <c r="C84" s="94">
        <v>3.9</v>
      </c>
    </row>
    <row r="85" spans="1:3" x14ac:dyDescent="0.25">
      <c r="A85" s="93">
        <v>74</v>
      </c>
      <c r="B85" s="94">
        <v>11.56</v>
      </c>
      <c r="C85" s="94">
        <v>3.74</v>
      </c>
    </row>
  </sheetData>
  <sheetProtection algorithmName="SHA-512" hashValue="CVccZGuvm3Tti1+1+5OgtL9evz0UjC86FMXA0WaXoB/6eifGi4qE8bFWKm/Mc5A8vMzD7p9T1wrbzXGMGBCloA==" saltValue="p+3XMHEP2BLmr9FW7mC9Qw==" spinCount="100000" sheet="1" objects="1" scenarios="1"/>
  <conditionalFormatting sqref="A6:A21">
    <cfRule type="expression" dxfId="847" priority="17" stopIfTrue="1">
      <formula>MOD(ROW(),2)=0</formula>
    </cfRule>
    <cfRule type="expression" dxfId="846" priority="18" stopIfTrue="1">
      <formula>MOD(ROW(),2)&lt;&gt;0</formula>
    </cfRule>
  </conditionalFormatting>
  <conditionalFormatting sqref="A26:A85">
    <cfRule type="expression" dxfId="845" priority="7" stopIfTrue="1">
      <formula>MOD(ROW(),2)=0</formula>
    </cfRule>
    <cfRule type="expression" dxfId="844" priority="8" stopIfTrue="1">
      <formula>MOD(ROW(),2)&lt;&gt;0</formula>
    </cfRule>
  </conditionalFormatting>
  <conditionalFormatting sqref="B17:B19">
    <cfRule type="expression" dxfId="843" priority="1" stopIfTrue="1">
      <formula>MOD(ROW(),2)=0</formula>
    </cfRule>
  </conditionalFormatting>
  <conditionalFormatting sqref="B18:B19">
    <cfRule type="expression" dxfId="842" priority="2" stopIfTrue="1">
      <formula>MOD(ROW(),2)&lt;&gt;0</formula>
    </cfRule>
  </conditionalFormatting>
  <conditionalFormatting sqref="B6:C21">
    <cfRule type="expression" dxfId="841" priority="27" stopIfTrue="1">
      <formula>MOD(ROW(),2)=0</formula>
    </cfRule>
    <cfRule type="expression" dxfId="840" priority="28" stopIfTrue="1">
      <formula>MOD(ROW(),2)&lt;&gt;0</formula>
    </cfRule>
  </conditionalFormatting>
  <conditionalFormatting sqref="B17:C17">
    <cfRule type="expression" dxfId="839" priority="4" stopIfTrue="1">
      <formula>MOD(ROW(),2)&lt;&gt;0</formula>
    </cfRule>
  </conditionalFormatting>
  <conditionalFormatting sqref="B26:C85">
    <cfRule type="expression" dxfId="838" priority="9" stopIfTrue="1">
      <formula>MOD(ROW(),2)=0</formula>
    </cfRule>
    <cfRule type="expression" dxfId="837" priority="10" stopIfTrue="1">
      <formula>MOD(ROW(),2)&lt;&gt;0</formula>
    </cfRule>
  </conditionalFormatting>
  <conditionalFormatting sqref="C17">
    <cfRule type="expression" dxfId="836"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TV In (non-club) - x-220</v>
      </c>
      <c r="B3" s="43"/>
      <c r="C3" s="43"/>
      <c r="D3" s="43"/>
      <c r="E3" s="43"/>
      <c r="F3" s="43"/>
      <c r="G3" s="43"/>
    </row>
    <row r="4" spans="1:7" x14ac:dyDescent="0.25">
      <c r="A4" s="45"/>
    </row>
    <row r="6" spans="1:7" x14ac:dyDescent="0.25">
      <c r="A6" s="77" t="s">
        <v>558</v>
      </c>
      <c r="B6" s="152" t="s">
        <v>559</v>
      </c>
      <c r="C6" s="152"/>
    </row>
    <row r="7" spans="1:7" x14ac:dyDescent="0.25">
      <c r="A7" s="79" t="s">
        <v>305</v>
      </c>
      <c r="B7" s="152" t="s">
        <v>319</v>
      </c>
      <c r="C7" s="152"/>
    </row>
    <row r="8" spans="1:7" x14ac:dyDescent="0.25">
      <c r="A8" s="79" t="s">
        <v>306</v>
      </c>
      <c r="B8" s="152">
        <v>2015</v>
      </c>
      <c r="C8" s="152"/>
    </row>
    <row r="9" spans="1:7" x14ac:dyDescent="0.25">
      <c r="A9" s="79" t="s">
        <v>307</v>
      </c>
      <c r="B9" s="152" t="s">
        <v>362</v>
      </c>
      <c r="C9" s="152"/>
    </row>
    <row r="10" spans="1:7" ht="12.6" customHeight="1" x14ac:dyDescent="0.25">
      <c r="A10" s="79" t="s">
        <v>233</v>
      </c>
      <c r="B10" s="152" t="s">
        <v>363</v>
      </c>
      <c r="C10" s="152"/>
    </row>
    <row r="11" spans="1:7" x14ac:dyDescent="0.25">
      <c r="A11" s="79" t="s">
        <v>308</v>
      </c>
      <c r="B11" s="152" t="s">
        <v>322</v>
      </c>
      <c r="C11" s="152"/>
    </row>
    <row r="12" spans="1:7" ht="12.6" customHeight="1" x14ac:dyDescent="0.25">
      <c r="A12" s="79" t="s">
        <v>309</v>
      </c>
      <c r="B12" s="152" t="s">
        <v>323</v>
      </c>
      <c r="C12" s="152"/>
    </row>
    <row r="13" spans="1:7" ht="12.6" customHeight="1" x14ac:dyDescent="0.25">
      <c r="A13" s="79" t="s">
        <v>566</v>
      </c>
      <c r="B13" s="152">
        <v>0</v>
      </c>
      <c r="C13" s="152"/>
    </row>
    <row r="14" spans="1:7" ht="12.6" customHeight="1" x14ac:dyDescent="0.25">
      <c r="A14" s="79" t="s">
        <v>311</v>
      </c>
      <c r="B14" s="152">
        <v>220</v>
      </c>
      <c r="C14" s="152"/>
    </row>
    <row r="15" spans="1:7" x14ac:dyDescent="0.25">
      <c r="A15" s="79" t="s">
        <v>569</v>
      </c>
      <c r="B15" s="152" t="s">
        <v>364</v>
      </c>
      <c r="C15" s="152"/>
    </row>
    <row r="16" spans="1:7" x14ac:dyDescent="0.25">
      <c r="A16" s="79" t="s">
        <v>313</v>
      </c>
      <c r="B16" s="152" t="s">
        <v>365</v>
      </c>
      <c r="C16" s="152"/>
    </row>
    <row r="17" spans="1:3" ht="27.6" customHeight="1" x14ac:dyDescent="0.25">
      <c r="A17" s="153" t="s">
        <v>639</v>
      </c>
      <c r="B17" s="152"/>
      <c r="C17" s="152"/>
    </row>
    <row r="18" spans="1:3" x14ac:dyDescent="0.25">
      <c r="A18" s="79" t="s">
        <v>315</v>
      </c>
      <c r="B18" s="154">
        <v>45106</v>
      </c>
      <c r="C18" s="152"/>
    </row>
    <row r="19" spans="1:3" x14ac:dyDescent="0.25">
      <c r="A19" s="79" t="s">
        <v>316</v>
      </c>
      <c r="B19" s="154">
        <v>45014</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82" t="s">
        <v>640</v>
      </c>
      <c r="B26" s="82" t="s">
        <v>648</v>
      </c>
      <c r="C26" s="82" t="s">
        <v>647</v>
      </c>
    </row>
    <row r="27" spans="1:3" x14ac:dyDescent="0.25">
      <c r="A27" s="83">
        <v>18</v>
      </c>
      <c r="B27" s="84">
        <v>23.55</v>
      </c>
      <c r="C27" s="84">
        <v>4.16</v>
      </c>
    </row>
    <row r="28" spans="1:3" x14ac:dyDescent="0.25">
      <c r="A28" s="83">
        <v>19</v>
      </c>
      <c r="B28" s="84">
        <v>23.48</v>
      </c>
      <c r="C28" s="84">
        <v>4.3499999999999996</v>
      </c>
    </row>
    <row r="29" spans="1:3" x14ac:dyDescent="0.25">
      <c r="A29" s="83">
        <v>20</v>
      </c>
      <c r="B29" s="84">
        <v>23.41</v>
      </c>
      <c r="C29" s="84">
        <v>4.3499999999999996</v>
      </c>
    </row>
    <row r="30" spans="1:3" x14ac:dyDescent="0.25">
      <c r="A30" s="83">
        <v>21</v>
      </c>
      <c r="B30" s="84">
        <v>23.35</v>
      </c>
      <c r="C30" s="84">
        <v>4.3499999999999996</v>
      </c>
    </row>
    <row r="31" spans="1:3" x14ac:dyDescent="0.25">
      <c r="A31" s="83">
        <v>22</v>
      </c>
      <c r="B31" s="84">
        <v>23.28</v>
      </c>
      <c r="C31" s="84">
        <v>4.3499999999999996</v>
      </c>
    </row>
    <row r="32" spans="1:3" x14ac:dyDescent="0.25">
      <c r="A32" s="83">
        <v>23</v>
      </c>
      <c r="B32" s="84">
        <v>23.22</v>
      </c>
      <c r="C32" s="84">
        <v>4.3499999999999996</v>
      </c>
    </row>
    <row r="33" spans="1:3" x14ac:dyDescent="0.25">
      <c r="A33" s="83">
        <v>24</v>
      </c>
      <c r="B33" s="84">
        <v>23.15</v>
      </c>
      <c r="C33" s="84">
        <v>4.3499999999999996</v>
      </c>
    </row>
    <row r="34" spans="1:3" x14ac:dyDescent="0.25">
      <c r="A34" s="83">
        <v>25</v>
      </c>
      <c r="B34" s="84">
        <v>23.08</v>
      </c>
      <c r="C34" s="84">
        <v>4.3499999999999996</v>
      </c>
    </row>
    <row r="35" spans="1:3" x14ac:dyDescent="0.25">
      <c r="A35" s="83">
        <v>26</v>
      </c>
      <c r="B35" s="84">
        <v>23.02</v>
      </c>
      <c r="C35" s="84">
        <v>4.3499999999999996</v>
      </c>
    </row>
    <row r="36" spans="1:3" x14ac:dyDescent="0.25">
      <c r="A36" s="83">
        <v>27</v>
      </c>
      <c r="B36" s="84">
        <v>22.95</v>
      </c>
      <c r="C36" s="84">
        <v>4.3499999999999996</v>
      </c>
    </row>
    <row r="37" spans="1:3" x14ac:dyDescent="0.25">
      <c r="A37" s="83">
        <v>28</v>
      </c>
      <c r="B37" s="84">
        <v>22.88</v>
      </c>
      <c r="C37" s="84">
        <v>4.3499999999999996</v>
      </c>
    </row>
    <row r="38" spans="1:3" x14ac:dyDescent="0.25">
      <c r="A38" s="83">
        <v>29</v>
      </c>
      <c r="B38" s="84">
        <v>22.82</v>
      </c>
      <c r="C38" s="84">
        <v>4.3499999999999996</v>
      </c>
    </row>
    <row r="39" spans="1:3" x14ac:dyDescent="0.25">
      <c r="A39" s="83">
        <v>30</v>
      </c>
      <c r="B39" s="84">
        <v>22.75</v>
      </c>
      <c r="C39" s="84">
        <v>4.34</v>
      </c>
    </row>
    <row r="40" spans="1:3" x14ac:dyDescent="0.25">
      <c r="A40" s="83">
        <v>31</v>
      </c>
      <c r="B40" s="84">
        <v>22.68</v>
      </c>
      <c r="C40" s="84">
        <v>4.34</v>
      </c>
    </row>
    <row r="41" spans="1:3" x14ac:dyDescent="0.25">
      <c r="A41" s="83">
        <v>32</v>
      </c>
      <c r="B41" s="84">
        <v>22.61</v>
      </c>
      <c r="C41" s="84">
        <v>4.34</v>
      </c>
    </row>
    <row r="42" spans="1:3" x14ac:dyDescent="0.25">
      <c r="A42" s="83">
        <v>33</v>
      </c>
      <c r="B42" s="84">
        <v>22.54</v>
      </c>
      <c r="C42" s="84">
        <v>4.34</v>
      </c>
    </row>
    <row r="43" spans="1:3" x14ac:dyDescent="0.25">
      <c r="A43" s="83">
        <v>34</v>
      </c>
      <c r="B43" s="84">
        <v>22.47</v>
      </c>
      <c r="C43" s="84">
        <v>4.34</v>
      </c>
    </row>
    <row r="44" spans="1:3" x14ac:dyDescent="0.25">
      <c r="A44" s="83">
        <v>35</v>
      </c>
      <c r="B44" s="84">
        <v>22.41</v>
      </c>
      <c r="C44" s="84">
        <v>4.33</v>
      </c>
    </row>
    <row r="45" spans="1:3" x14ac:dyDescent="0.25">
      <c r="A45" s="83">
        <v>36</v>
      </c>
      <c r="B45" s="84">
        <v>22.34</v>
      </c>
      <c r="C45" s="84">
        <v>4.33</v>
      </c>
    </row>
    <row r="46" spans="1:3" x14ac:dyDescent="0.25">
      <c r="A46" s="83">
        <v>37</v>
      </c>
      <c r="B46" s="84">
        <v>22.27</v>
      </c>
      <c r="C46" s="84">
        <v>4.33</v>
      </c>
    </row>
    <row r="47" spans="1:3" x14ac:dyDescent="0.25">
      <c r="A47" s="83">
        <v>38</v>
      </c>
      <c r="B47" s="84">
        <v>22.19</v>
      </c>
      <c r="C47" s="84">
        <v>4.33</v>
      </c>
    </row>
    <row r="48" spans="1:3" x14ac:dyDescent="0.25">
      <c r="A48" s="83">
        <v>39</v>
      </c>
      <c r="B48" s="84">
        <v>22.12</v>
      </c>
      <c r="C48" s="84">
        <v>4.32</v>
      </c>
    </row>
    <row r="49" spans="1:3" x14ac:dyDescent="0.25">
      <c r="A49" s="83">
        <v>40</v>
      </c>
      <c r="B49" s="84">
        <v>22.05</v>
      </c>
      <c r="C49" s="84">
        <v>4.32</v>
      </c>
    </row>
    <row r="50" spans="1:3" x14ac:dyDescent="0.25">
      <c r="A50" s="83">
        <v>41</v>
      </c>
      <c r="B50" s="84">
        <v>21.98</v>
      </c>
      <c r="C50" s="84">
        <v>4.3099999999999996</v>
      </c>
    </row>
    <row r="51" spans="1:3" x14ac:dyDescent="0.25">
      <c r="A51" s="83">
        <v>42</v>
      </c>
      <c r="B51" s="84">
        <v>21.9</v>
      </c>
      <c r="C51" s="84">
        <v>4.3099999999999996</v>
      </c>
    </row>
    <row r="52" spans="1:3" x14ac:dyDescent="0.25">
      <c r="A52" s="83">
        <v>43</v>
      </c>
      <c r="B52" s="84">
        <v>21.83</v>
      </c>
      <c r="C52" s="84">
        <v>4.3</v>
      </c>
    </row>
    <row r="53" spans="1:3" x14ac:dyDescent="0.25">
      <c r="A53" s="83">
        <v>44</v>
      </c>
      <c r="B53" s="84">
        <v>21.75</v>
      </c>
      <c r="C53" s="84">
        <v>4.3</v>
      </c>
    </row>
    <row r="54" spans="1:3" x14ac:dyDescent="0.25">
      <c r="A54" s="83">
        <v>45</v>
      </c>
      <c r="B54" s="84">
        <v>21.68</v>
      </c>
      <c r="C54" s="84">
        <v>4.29</v>
      </c>
    </row>
    <row r="55" spans="1:3" x14ac:dyDescent="0.25">
      <c r="A55" s="83">
        <v>46</v>
      </c>
      <c r="B55" s="84">
        <v>21.6</v>
      </c>
      <c r="C55" s="84">
        <v>4.28</v>
      </c>
    </row>
    <row r="56" spans="1:3" x14ac:dyDescent="0.25">
      <c r="A56" s="83">
        <v>47</v>
      </c>
      <c r="B56" s="84">
        <v>21.52</v>
      </c>
      <c r="C56" s="84">
        <v>4.28</v>
      </c>
    </row>
    <row r="57" spans="1:3" x14ac:dyDescent="0.25">
      <c r="A57" s="83">
        <v>48</v>
      </c>
      <c r="B57" s="84">
        <v>21.45</v>
      </c>
      <c r="C57" s="84">
        <v>4.2699999999999996</v>
      </c>
    </row>
    <row r="58" spans="1:3" x14ac:dyDescent="0.25">
      <c r="A58" s="83">
        <v>49</v>
      </c>
      <c r="B58" s="84">
        <v>21.37</v>
      </c>
      <c r="C58" s="84">
        <v>4.26</v>
      </c>
    </row>
    <row r="59" spans="1:3" x14ac:dyDescent="0.25">
      <c r="A59" s="83">
        <v>50</v>
      </c>
      <c r="B59" s="84">
        <v>21.29</v>
      </c>
      <c r="C59" s="84">
        <v>4.25</v>
      </c>
    </row>
    <row r="60" spans="1:3" x14ac:dyDescent="0.25">
      <c r="A60" s="83">
        <v>51</v>
      </c>
      <c r="B60" s="84">
        <v>21.21</v>
      </c>
      <c r="C60" s="84">
        <v>4.24</v>
      </c>
    </row>
    <row r="61" spans="1:3" x14ac:dyDescent="0.25">
      <c r="A61" s="83">
        <v>52</v>
      </c>
      <c r="B61" s="84">
        <v>21.13</v>
      </c>
      <c r="C61" s="84">
        <v>4.2300000000000004</v>
      </c>
    </row>
    <row r="62" spans="1:3" x14ac:dyDescent="0.25">
      <c r="A62" s="83">
        <v>53</v>
      </c>
      <c r="B62" s="84">
        <v>21.06</v>
      </c>
      <c r="C62" s="84">
        <v>4.21</v>
      </c>
    </row>
    <row r="63" spans="1:3" x14ac:dyDescent="0.25">
      <c r="A63" s="83">
        <v>54</v>
      </c>
      <c r="B63" s="84">
        <v>20.98</v>
      </c>
      <c r="C63" s="84">
        <v>4.2</v>
      </c>
    </row>
    <row r="64" spans="1:3" x14ac:dyDescent="0.25">
      <c r="A64" s="83">
        <v>55</v>
      </c>
      <c r="B64" s="84">
        <v>20.91</v>
      </c>
      <c r="C64" s="84">
        <v>4.18</v>
      </c>
    </row>
    <row r="65" spans="1:3" x14ac:dyDescent="0.25">
      <c r="A65" s="83">
        <v>56</v>
      </c>
      <c r="B65" s="84">
        <v>20.85</v>
      </c>
      <c r="C65" s="84">
        <v>4.16</v>
      </c>
    </row>
    <row r="66" spans="1:3" x14ac:dyDescent="0.25">
      <c r="A66" s="83">
        <v>57</v>
      </c>
      <c r="B66" s="84">
        <v>20.79</v>
      </c>
      <c r="C66" s="84">
        <v>4.1399999999999997</v>
      </c>
    </row>
    <row r="67" spans="1:3" x14ac:dyDescent="0.25">
      <c r="A67" s="83">
        <v>58</v>
      </c>
      <c r="B67" s="84">
        <v>20.75</v>
      </c>
      <c r="C67" s="84">
        <v>4.12</v>
      </c>
    </row>
    <row r="68" spans="1:3" x14ac:dyDescent="0.25">
      <c r="A68" s="83">
        <v>59</v>
      </c>
      <c r="B68" s="84">
        <v>20.71</v>
      </c>
      <c r="C68" s="84">
        <v>4.0999999999999996</v>
      </c>
    </row>
  </sheetData>
  <sheetProtection algorithmName="SHA-512" hashValue="aF2cVYXmL2PzK8mjvAwibanWSX77G0KadvJD7exWj08QCHL2+w4AxLOysxx3YggCAZGdI3azAHFlV9ZQfLF/cw==" saltValue="VmW1fPoYW2u+4+ZLrg7sbg==" spinCount="100000" sheet="1" objects="1" scenarios="1"/>
  <conditionalFormatting sqref="A6:A21">
    <cfRule type="expression" dxfId="835" priority="9" stopIfTrue="1">
      <formula>MOD(ROW(),2)=0</formula>
    </cfRule>
    <cfRule type="expression" dxfId="834" priority="10" stopIfTrue="1">
      <formula>MOD(ROW(),2)&lt;&gt;0</formula>
    </cfRule>
  </conditionalFormatting>
  <conditionalFormatting sqref="A26:A68">
    <cfRule type="expression" dxfId="833" priority="11" stopIfTrue="1">
      <formula>MOD(ROW(),2)=0</formula>
    </cfRule>
    <cfRule type="expression" dxfId="832" priority="12" stopIfTrue="1">
      <formula>MOD(ROW(),2)&lt;&gt;0</formula>
    </cfRule>
  </conditionalFormatting>
  <conditionalFormatting sqref="B19">
    <cfRule type="expression" dxfId="831" priority="1" stopIfTrue="1">
      <formula>MOD(ROW(),2)=0</formula>
    </cfRule>
    <cfRule type="expression" dxfId="830" priority="2" stopIfTrue="1">
      <formula>MOD(ROW(),2)&lt;&gt;0</formula>
    </cfRule>
  </conditionalFormatting>
  <conditionalFormatting sqref="B6:C21">
    <cfRule type="expression" dxfId="829" priority="17" stopIfTrue="1">
      <formula>MOD(ROW(),2)=0</formula>
    </cfRule>
    <cfRule type="expression" dxfId="828" priority="18" stopIfTrue="1">
      <formula>MOD(ROW(),2)&lt;&gt;0</formula>
    </cfRule>
  </conditionalFormatting>
  <conditionalFormatting sqref="B26:C68">
    <cfRule type="expression" dxfId="827" priority="13" stopIfTrue="1">
      <formula>MOD(ROW(),2)=0</formula>
    </cfRule>
    <cfRule type="expression" dxfId="826" priority="14" stopIfTrue="1">
      <formula>MOD(ROW(),2)&lt;&gt;0</formula>
    </cfRule>
  </conditionalFormatting>
  <conditionalFormatting sqref="C17">
    <cfRule type="expression" dxfId="825" priority="3" stopIfTrue="1">
      <formula>MOD(ROW(),2)=0</formula>
    </cfRule>
    <cfRule type="expression" dxfId="8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7"/>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TV In (non-club) - x-221</v>
      </c>
      <c r="B3" s="43"/>
      <c r="C3" s="43"/>
      <c r="D3" s="43"/>
      <c r="E3" s="43"/>
      <c r="F3" s="43"/>
      <c r="G3" s="43"/>
    </row>
    <row r="4" spans="1:7" x14ac:dyDescent="0.25">
      <c r="A4" s="45"/>
    </row>
    <row r="6" spans="1:7" x14ac:dyDescent="0.25">
      <c r="A6" s="77" t="s">
        <v>558</v>
      </c>
      <c r="B6" s="152" t="s">
        <v>559</v>
      </c>
      <c r="C6" s="152"/>
    </row>
    <row r="7" spans="1:7" x14ac:dyDescent="0.25">
      <c r="A7" s="79" t="s">
        <v>305</v>
      </c>
      <c r="B7" s="152" t="s">
        <v>319</v>
      </c>
      <c r="C7" s="152"/>
    </row>
    <row r="8" spans="1:7" x14ac:dyDescent="0.25">
      <c r="A8" s="79" t="s">
        <v>306</v>
      </c>
      <c r="B8" s="152">
        <v>2015</v>
      </c>
      <c r="C8" s="152"/>
    </row>
    <row r="9" spans="1:7" x14ac:dyDescent="0.25">
      <c r="A9" s="79" t="s">
        <v>307</v>
      </c>
      <c r="B9" s="152" t="s">
        <v>362</v>
      </c>
      <c r="C9" s="152"/>
    </row>
    <row r="10" spans="1:7" ht="12.6" customHeight="1" x14ac:dyDescent="0.25">
      <c r="A10" s="79" t="s">
        <v>233</v>
      </c>
      <c r="B10" s="152" t="s">
        <v>363</v>
      </c>
      <c r="C10" s="152"/>
    </row>
    <row r="11" spans="1:7" x14ac:dyDescent="0.25">
      <c r="A11" s="79" t="s">
        <v>308</v>
      </c>
      <c r="B11" s="152" t="s">
        <v>328</v>
      </c>
      <c r="C11" s="152"/>
    </row>
    <row r="12" spans="1:7" ht="12.6" customHeight="1" x14ac:dyDescent="0.25">
      <c r="A12" s="79" t="s">
        <v>309</v>
      </c>
      <c r="B12" s="152" t="s">
        <v>323</v>
      </c>
      <c r="C12" s="152"/>
    </row>
    <row r="13" spans="1:7" ht="12.6" customHeight="1" x14ac:dyDescent="0.25">
      <c r="A13" s="79" t="s">
        <v>566</v>
      </c>
      <c r="B13" s="152">
        <v>0</v>
      </c>
      <c r="C13" s="152"/>
    </row>
    <row r="14" spans="1:7" ht="12.6" customHeight="1" x14ac:dyDescent="0.25">
      <c r="A14" s="79" t="s">
        <v>311</v>
      </c>
      <c r="B14" s="152">
        <v>221</v>
      </c>
      <c r="C14" s="152"/>
    </row>
    <row r="15" spans="1:7" x14ac:dyDescent="0.25">
      <c r="A15" s="79" t="s">
        <v>569</v>
      </c>
      <c r="B15" s="152" t="s">
        <v>366</v>
      </c>
      <c r="C15" s="152"/>
    </row>
    <row r="16" spans="1:7" x14ac:dyDescent="0.25">
      <c r="A16" s="79" t="s">
        <v>313</v>
      </c>
      <c r="B16" s="152" t="s">
        <v>367</v>
      </c>
      <c r="C16" s="152"/>
    </row>
    <row r="17" spans="1:3" ht="48" customHeight="1" x14ac:dyDescent="0.25">
      <c r="A17" s="153" t="s">
        <v>639</v>
      </c>
      <c r="B17" s="152"/>
      <c r="C17" s="152"/>
    </row>
    <row r="18" spans="1:3" x14ac:dyDescent="0.25">
      <c r="A18" s="79" t="s">
        <v>315</v>
      </c>
      <c r="B18" s="154">
        <v>45106</v>
      </c>
      <c r="C18" s="152"/>
    </row>
    <row r="19" spans="1:3" x14ac:dyDescent="0.25">
      <c r="A19" s="79" t="s">
        <v>316</v>
      </c>
      <c r="B19" s="154">
        <v>45014</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82" t="s">
        <v>640</v>
      </c>
      <c r="B26" s="82" t="s">
        <v>648</v>
      </c>
      <c r="C26" s="82" t="s">
        <v>647</v>
      </c>
    </row>
    <row r="27" spans="1:3" x14ac:dyDescent="0.25">
      <c r="A27" s="83">
        <v>18</v>
      </c>
      <c r="B27" s="84">
        <v>23.55</v>
      </c>
      <c r="C27" s="84">
        <v>4.16</v>
      </c>
    </row>
    <row r="28" spans="1:3" x14ac:dyDescent="0.25">
      <c r="A28" s="83">
        <v>19</v>
      </c>
      <c r="B28" s="84">
        <v>23.48</v>
      </c>
      <c r="C28" s="84">
        <v>4.3499999999999996</v>
      </c>
    </row>
    <row r="29" spans="1:3" x14ac:dyDescent="0.25">
      <c r="A29" s="83">
        <v>20</v>
      </c>
      <c r="B29" s="84">
        <v>23.41</v>
      </c>
      <c r="C29" s="84">
        <v>4.3499999999999996</v>
      </c>
    </row>
    <row r="30" spans="1:3" x14ac:dyDescent="0.25">
      <c r="A30" s="83">
        <v>21</v>
      </c>
      <c r="B30" s="84">
        <v>23.35</v>
      </c>
      <c r="C30" s="84">
        <v>4.3499999999999996</v>
      </c>
    </row>
    <row r="31" spans="1:3" x14ac:dyDescent="0.25">
      <c r="A31" s="83">
        <v>22</v>
      </c>
      <c r="B31" s="84">
        <v>23.28</v>
      </c>
      <c r="C31" s="84">
        <v>4.3499999999999996</v>
      </c>
    </row>
    <row r="32" spans="1:3" x14ac:dyDescent="0.25">
      <c r="A32" s="83">
        <v>23</v>
      </c>
      <c r="B32" s="84">
        <v>23.22</v>
      </c>
      <c r="C32" s="84">
        <v>4.3499999999999996</v>
      </c>
    </row>
    <row r="33" spans="1:3" x14ac:dyDescent="0.25">
      <c r="A33" s="83">
        <v>24</v>
      </c>
      <c r="B33" s="84">
        <v>23.15</v>
      </c>
      <c r="C33" s="84">
        <v>4.3499999999999996</v>
      </c>
    </row>
    <row r="34" spans="1:3" x14ac:dyDescent="0.25">
      <c r="A34" s="83">
        <v>25</v>
      </c>
      <c r="B34" s="84">
        <v>23.08</v>
      </c>
      <c r="C34" s="84">
        <v>4.3499999999999996</v>
      </c>
    </row>
    <row r="35" spans="1:3" x14ac:dyDescent="0.25">
      <c r="A35" s="83">
        <v>26</v>
      </c>
      <c r="B35" s="84">
        <v>23.02</v>
      </c>
      <c r="C35" s="84">
        <v>4.3499999999999996</v>
      </c>
    </row>
    <row r="36" spans="1:3" x14ac:dyDescent="0.25">
      <c r="A36" s="83">
        <v>27</v>
      </c>
      <c r="B36" s="84">
        <v>22.95</v>
      </c>
      <c r="C36" s="84">
        <v>4.3499999999999996</v>
      </c>
    </row>
    <row r="37" spans="1:3" x14ac:dyDescent="0.25">
      <c r="A37" s="83">
        <v>28</v>
      </c>
      <c r="B37" s="84">
        <v>22.88</v>
      </c>
      <c r="C37" s="84">
        <v>4.3499999999999996</v>
      </c>
    </row>
    <row r="38" spans="1:3" x14ac:dyDescent="0.25">
      <c r="A38" s="83">
        <v>29</v>
      </c>
      <c r="B38" s="84">
        <v>22.82</v>
      </c>
      <c r="C38" s="84">
        <v>4.3499999999999996</v>
      </c>
    </row>
    <row r="39" spans="1:3" x14ac:dyDescent="0.25">
      <c r="A39" s="83">
        <v>30</v>
      </c>
      <c r="B39" s="84">
        <v>22.75</v>
      </c>
      <c r="C39" s="84">
        <v>4.34</v>
      </c>
    </row>
    <row r="40" spans="1:3" x14ac:dyDescent="0.25">
      <c r="A40" s="83">
        <v>31</v>
      </c>
      <c r="B40" s="84">
        <v>22.68</v>
      </c>
      <c r="C40" s="84">
        <v>4.34</v>
      </c>
    </row>
    <row r="41" spans="1:3" x14ac:dyDescent="0.25">
      <c r="A41" s="83">
        <v>32</v>
      </c>
      <c r="B41" s="84">
        <v>22.61</v>
      </c>
      <c r="C41" s="84">
        <v>4.34</v>
      </c>
    </row>
    <row r="42" spans="1:3" x14ac:dyDescent="0.25">
      <c r="A42" s="83">
        <v>33</v>
      </c>
      <c r="B42" s="84">
        <v>22.54</v>
      </c>
      <c r="C42" s="84">
        <v>4.34</v>
      </c>
    </row>
    <row r="43" spans="1:3" x14ac:dyDescent="0.25">
      <c r="A43" s="83">
        <v>34</v>
      </c>
      <c r="B43" s="84">
        <v>22.47</v>
      </c>
      <c r="C43" s="84">
        <v>4.34</v>
      </c>
    </row>
    <row r="44" spans="1:3" x14ac:dyDescent="0.25">
      <c r="A44" s="83">
        <v>35</v>
      </c>
      <c r="B44" s="84">
        <v>22.41</v>
      </c>
      <c r="C44" s="84">
        <v>4.33</v>
      </c>
    </row>
    <row r="45" spans="1:3" x14ac:dyDescent="0.25">
      <c r="A45" s="83">
        <v>36</v>
      </c>
      <c r="B45" s="84">
        <v>22.34</v>
      </c>
      <c r="C45" s="84">
        <v>4.33</v>
      </c>
    </row>
    <row r="46" spans="1:3" x14ac:dyDescent="0.25">
      <c r="A46" s="83">
        <v>37</v>
      </c>
      <c r="B46" s="84">
        <v>22.27</v>
      </c>
      <c r="C46" s="84">
        <v>4.33</v>
      </c>
    </row>
    <row r="47" spans="1:3" x14ac:dyDescent="0.25">
      <c r="A47" s="83">
        <v>38</v>
      </c>
      <c r="B47" s="84">
        <v>22.19</v>
      </c>
      <c r="C47" s="84">
        <v>4.33</v>
      </c>
    </row>
    <row r="48" spans="1:3" x14ac:dyDescent="0.25">
      <c r="A48" s="83">
        <v>39</v>
      </c>
      <c r="B48" s="84">
        <v>22.12</v>
      </c>
      <c r="C48" s="84">
        <v>4.32</v>
      </c>
    </row>
    <row r="49" spans="1:3" x14ac:dyDescent="0.25">
      <c r="A49" s="83">
        <v>40</v>
      </c>
      <c r="B49" s="84">
        <v>22.05</v>
      </c>
      <c r="C49" s="84">
        <v>4.32</v>
      </c>
    </row>
    <row r="50" spans="1:3" x14ac:dyDescent="0.25">
      <c r="A50" s="83">
        <v>41</v>
      </c>
      <c r="B50" s="84">
        <v>21.98</v>
      </c>
      <c r="C50" s="84">
        <v>4.3099999999999996</v>
      </c>
    </row>
    <row r="51" spans="1:3" x14ac:dyDescent="0.25">
      <c r="A51" s="83">
        <v>42</v>
      </c>
      <c r="B51" s="84">
        <v>21.9</v>
      </c>
      <c r="C51" s="84">
        <v>4.3099999999999996</v>
      </c>
    </row>
    <row r="52" spans="1:3" x14ac:dyDescent="0.25">
      <c r="A52" s="83">
        <v>43</v>
      </c>
      <c r="B52" s="84">
        <v>21.83</v>
      </c>
      <c r="C52" s="84">
        <v>4.3</v>
      </c>
    </row>
    <row r="53" spans="1:3" x14ac:dyDescent="0.25">
      <c r="A53" s="83">
        <v>44</v>
      </c>
      <c r="B53" s="84">
        <v>21.75</v>
      </c>
      <c r="C53" s="84">
        <v>4.3</v>
      </c>
    </row>
    <row r="54" spans="1:3" x14ac:dyDescent="0.25">
      <c r="A54" s="83">
        <v>45</v>
      </c>
      <c r="B54" s="84">
        <v>21.68</v>
      </c>
      <c r="C54" s="84">
        <v>4.29</v>
      </c>
    </row>
    <row r="55" spans="1:3" x14ac:dyDescent="0.25">
      <c r="A55" s="83">
        <v>46</v>
      </c>
      <c r="B55" s="84">
        <v>21.6</v>
      </c>
      <c r="C55" s="84">
        <v>4.28</v>
      </c>
    </row>
    <row r="56" spans="1:3" x14ac:dyDescent="0.25">
      <c r="A56" s="83">
        <v>47</v>
      </c>
      <c r="B56" s="84">
        <v>21.52</v>
      </c>
      <c r="C56" s="84">
        <v>4.28</v>
      </c>
    </row>
    <row r="57" spans="1:3" x14ac:dyDescent="0.25">
      <c r="A57" s="83">
        <v>48</v>
      </c>
      <c r="B57" s="84">
        <v>21.45</v>
      </c>
      <c r="C57" s="84">
        <v>4.2699999999999996</v>
      </c>
    </row>
    <row r="58" spans="1:3" x14ac:dyDescent="0.25">
      <c r="A58" s="83">
        <v>49</v>
      </c>
      <c r="B58" s="84">
        <v>21.37</v>
      </c>
      <c r="C58" s="84">
        <v>4.26</v>
      </c>
    </row>
    <row r="59" spans="1:3" x14ac:dyDescent="0.25">
      <c r="A59" s="83">
        <v>50</v>
      </c>
      <c r="B59" s="84">
        <v>21.29</v>
      </c>
      <c r="C59" s="84">
        <v>4.25</v>
      </c>
    </row>
    <row r="60" spans="1:3" x14ac:dyDescent="0.25">
      <c r="A60" s="83">
        <v>51</v>
      </c>
      <c r="B60" s="84">
        <v>21.21</v>
      </c>
      <c r="C60" s="84">
        <v>4.24</v>
      </c>
    </row>
    <row r="61" spans="1:3" x14ac:dyDescent="0.25">
      <c r="A61" s="83">
        <v>52</v>
      </c>
      <c r="B61" s="84">
        <v>21.13</v>
      </c>
      <c r="C61" s="84">
        <v>4.2300000000000004</v>
      </c>
    </row>
    <row r="62" spans="1:3" x14ac:dyDescent="0.25">
      <c r="A62" s="83">
        <v>53</v>
      </c>
      <c r="B62" s="84">
        <v>21.06</v>
      </c>
      <c r="C62" s="84">
        <v>4.21</v>
      </c>
    </row>
    <row r="63" spans="1:3" x14ac:dyDescent="0.25">
      <c r="A63" s="83">
        <v>54</v>
      </c>
      <c r="B63" s="84">
        <v>20.98</v>
      </c>
      <c r="C63" s="84">
        <v>4.2</v>
      </c>
    </row>
    <row r="64" spans="1:3" x14ac:dyDescent="0.25">
      <c r="A64" s="83">
        <v>55</v>
      </c>
      <c r="B64" s="84">
        <v>20.91</v>
      </c>
      <c r="C64" s="84">
        <v>4.18</v>
      </c>
    </row>
    <row r="65" spans="1:3" x14ac:dyDescent="0.25">
      <c r="A65" s="83">
        <v>56</v>
      </c>
      <c r="B65" s="84">
        <v>20.85</v>
      </c>
      <c r="C65" s="84">
        <v>4.16</v>
      </c>
    </row>
    <row r="66" spans="1:3" x14ac:dyDescent="0.25">
      <c r="A66" s="83">
        <v>57</v>
      </c>
      <c r="B66" s="84">
        <v>20.79</v>
      </c>
      <c r="C66" s="84">
        <v>4.1399999999999997</v>
      </c>
    </row>
    <row r="67" spans="1:3" x14ac:dyDescent="0.25">
      <c r="A67" s="83">
        <v>58</v>
      </c>
      <c r="B67" s="84">
        <v>20.75</v>
      </c>
      <c r="C67" s="84">
        <v>4.12</v>
      </c>
    </row>
    <row r="68" spans="1:3" x14ac:dyDescent="0.25">
      <c r="A68" s="83">
        <v>59</v>
      </c>
      <c r="B68" s="84">
        <v>20.71</v>
      </c>
      <c r="C68" s="84">
        <v>4.0999999999999996</v>
      </c>
    </row>
  </sheetData>
  <sheetProtection algorithmName="SHA-512" hashValue="BDU5hvMZTpyZtc3JM+EvnpsdSQjhCxgPQWp1RLeD+QUSyy88nxNjlBKoY130xJRT0MyApwwe2MluACv/iXG63Q==" saltValue="H/oWcLoBgj/4x7DuIT20qg==" spinCount="100000" sheet="1" objects="1" scenarios="1"/>
  <conditionalFormatting sqref="A6:A21">
    <cfRule type="expression" dxfId="823" priority="13" stopIfTrue="1">
      <formula>MOD(ROW(),2)=0</formula>
    </cfRule>
    <cfRule type="expression" dxfId="822" priority="14" stopIfTrue="1">
      <formula>MOD(ROW(),2)&lt;&gt;0</formula>
    </cfRule>
  </conditionalFormatting>
  <conditionalFormatting sqref="A26:A68">
    <cfRule type="expression" dxfId="821" priority="15" stopIfTrue="1">
      <formula>MOD(ROW(),2)=0</formula>
    </cfRule>
    <cfRule type="expression" dxfId="820" priority="16" stopIfTrue="1">
      <formula>MOD(ROW(),2)&lt;&gt;0</formula>
    </cfRule>
  </conditionalFormatting>
  <conditionalFormatting sqref="B6:C21">
    <cfRule type="expression" dxfId="819" priority="21" stopIfTrue="1">
      <formula>MOD(ROW(),2)=0</formula>
    </cfRule>
    <cfRule type="expression" dxfId="818" priority="22" stopIfTrue="1">
      <formula>MOD(ROW(),2)&lt;&gt;0</formula>
    </cfRule>
  </conditionalFormatting>
  <conditionalFormatting sqref="B17:C21">
    <cfRule type="expression" dxfId="817" priority="1" stopIfTrue="1">
      <formula>MOD(ROW(),2)=0</formula>
    </cfRule>
    <cfRule type="expression" dxfId="816" priority="2" stopIfTrue="1">
      <formula>MOD(ROW(),2)&lt;&gt;0</formula>
    </cfRule>
  </conditionalFormatting>
  <conditionalFormatting sqref="B26:C68">
    <cfRule type="expression" dxfId="815" priority="17" stopIfTrue="1">
      <formula>MOD(ROW(),2)=0</formula>
    </cfRule>
    <cfRule type="expression" dxfId="814" priority="1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6" width="22.7773437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x-301</v>
      </c>
      <c r="B3" s="43"/>
      <c r="C3" s="43"/>
      <c r="D3" s="43"/>
      <c r="E3" s="43"/>
      <c r="F3" s="43"/>
      <c r="G3" s="43"/>
      <c r="H3" s="43"/>
      <c r="I3" s="43"/>
    </row>
    <row r="4" spans="1:9" x14ac:dyDescent="0.25">
      <c r="A4" s="45"/>
    </row>
    <row r="6" spans="1:9" x14ac:dyDescent="0.25">
      <c r="A6" s="149" t="s">
        <v>558</v>
      </c>
      <c r="B6" s="110" t="s">
        <v>559</v>
      </c>
      <c r="C6" s="110"/>
      <c r="D6" s="110"/>
      <c r="E6" s="110"/>
      <c r="F6" s="110"/>
    </row>
    <row r="7" spans="1:9" x14ac:dyDescent="0.25">
      <c r="A7" s="73" t="s">
        <v>305</v>
      </c>
      <c r="B7" s="110" t="s">
        <v>319</v>
      </c>
      <c r="C7" s="110"/>
      <c r="D7" s="110"/>
      <c r="E7" s="110"/>
      <c r="F7" s="110"/>
    </row>
    <row r="8" spans="1:9" x14ac:dyDescent="0.25">
      <c r="A8" s="73" t="s">
        <v>306</v>
      </c>
      <c r="B8" s="110">
        <v>1992</v>
      </c>
      <c r="C8" s="110"/>
      <c r="D8" s="110"/>
      <c r="E8" s="110"/>
      <c r="F8" s="110"/>
    </row>
    <row r="9" spans="1:9" x14ac:dyDescent="0.25">
      <c r="A9" s="73" t="s">
        <v>307</v>
      </c>
      <c r="B9" s="110" t="s">
        <v>368</v>
      </c>
      <c r="C9" s="110"/>
      <c r="D9" s="110"/>
      <c r="E9" s="110"/>
      <c r="F9" s="110"/>
    </row>
    <row r="10" spans="1:9" ht="12.6" customHeight="1" x14ac:dyDescent="0.25">
      <c r="A10" s="73" t="s">
        <v>233</v>
      </c>
      <c r="B10" s="110" t="s">
        <v>369</v>
      </c>
      <c r="C10" s="110"/>
      <c r="D10" s="110"/>
      <c r="E10" s="110"/>
      <c r="F10" s="110"/>
    </row>
    <row r="11" spans="1:9" x14ac:dyDescent="0.25">
      <c r="A11" s="73" t="s">
        <v>308</v>
      </c>
      <c r="B11" s="110" t="s">
        <v>322</v>
      </c>
      <c r="C11" s="110"/>
      <c r="D11" s="110"/>
      <c r="E11" s="110"/>
      <c r="F11" s="110"/>
    </row>
    <row r="12" spans="1:9" ht="12.6" customHeight="1" x14ac:dyDescent="0.25">
      <c r="A12" s="73" t="s">
        <v>309</v>
      </c>
      <c r="B12" s="110" t="s">
        <v>323</v>
      </c>
      <c r="C12" s="110"/>
      <c r="D12" s="110"/>
      <c r="E12" s="110"/>
      <c r="F12" s="110"/>
    </row>
    <row r="13" spans="1:9" ht="12.6" customHeight="1" x14ac:dyDescent="0.25">
      <c r="A13" s="73" t="s">
        <v>566</v>
      </c>
      <c r="B13" s="110">
        <v>2</v>
      </c>
      <c r="C13" s="110"/>
      <c r="D13" s="110"/>
      <c r="E13" s="110"/>
      <c r="F13" s="110"/>
    </row>
    <row r="14" spans="1:9" ht="12.6" customHeight="1" x14ac:dyDescent="0.25">
      <c r="A14" s="73" t="s">
        <v>311</v>
      </c>
      <c r="B14" s="110">
        <v>301</v>
      </c>
      <c r="C14" s="110"/>
      <c r="D14" s="110"/>
      <c r="E14" s="110"/>
      <c r="F14" s="110"/>
    </row>
    <row r="15" spans="1:9" x14ac:dyDescent="0.25">
      <c r="A15" s="73" t="s">
        <v>569</v>
      </c>
      <c r="B15" s="110" t="s">
        <v>370</v>
      </c>
      <c r="C15" s="110"/>
      <c r="D15" s="110"/>
      <c r="E15" s="110"/>
      <c r="F15" s="110"/>
    </row>
    <row r="16" spans="1:9" x14ac:dyDescent="0.25">
      <c r="A16" s="73" t="s">
        <v>313</v>
      </c>
      <c r="B16" s="110" t="s">
        <v>371</v>
      </c>
      <c r="C16" s="110"/>
      <c r="D16" s="110"/>
      <c r="E16" s="110"/>
      <c r="F16" s="110"/>
    </row>
    <row r="17" spans="1:6" ht="66" customHeight="1" x14ac:dyDescent="0.25">
      <c r="A17" s="73" t="s">
        <v>639</v>
      </c>
      <c r="B17" s="110"/>
      <c r="C17" s="110"/>
      <c r="D17" s="110"/>
      <c r="E17" s="110"/>
      <c r="F17" s="110"/>
    </row>
    <row r="18" spans="1:6" x14ac:dyDescent="0.25">
      <c r="A18" s="73" t="s">
        <v>315</v>
      </c>
      <c r="B18" s="150">
        <v>45070</v>
      </c>
      <c r="C18" s="110"/>
      <c r="D18" s="110"/>
      <c r="E18" s="110"/>
      <c r="F18" s="110"/>
    </row>
    <row r="19" spans="1:6" x14ac:dyDescent="0.25">
      <c r="A19" s="73" t="s">
        <v>316</v>
      </c>
      <c r="B19" s="150">
        <v>45014</v>
      </c>
      <c r="C19" s="110"/>
      <c r="D19" s="110"/>
      <c r="E19" s="110"/>
      <c r="F19" s="110"/>
    </row>
    <row r="20" spans="1:6" x14ac:dyDescent="0.25">
      <c r="A20" s="73" t="s">
        <v>317</v>
      </c>
      <c r="B20" s="110" t="s">
        <v>326</v>
      </c>
      <c r="C20" s="110"/>
      <c r="D20" s="110"/>
      <c r="E20" s="110"/>
      <c r="F20" s="110"/>
    </row>
    <row r="21" spans="1:6" x14ac:dyDescent="0.25">
      <c r="A21" s="73" t="s">
        <v>318</v>
      </c>
      <c r="B21" s="110" t="s">
        <v>327</v>
      </c>
      <c r="C21" s="110"/>
      <c r="D21" s="110"/>
      <c r="E21" s="110"/>
      <c r="F21" s="110"/>
    </row>
    <row r="23" spans="1:6" x14ac:dyDescent="0.25">
      <c r="B23" s="96" t="str">
        <f>HYPERLINK("#'Factor List'!A1","Back to Factor List")</f>
        <v>Back to Factor List</v>
      </c>
    </row>
    <row r="24" spans="1:6" x14ac:dyDescent="0.25">
      <c r="B24" s="96" t="str">
        <f>HYPERLINK("#'Assumptions'!A1","Assumptions")</f>
        <v>Assumptions</v>
      </c>
    </row>
    <row r="26" spans="1:6" ht="39.6" x14ac:dyDescent="0.25">
      <c r="A26" s="92" t="s">
        <v>640</v>
      </c>
      <c r="B26" s="92" t="s">
        <v>649</v>
      </c>
      <c r="C26" s="92" t="s">
        <v>650</v>
      </c>
      <c r="D26" s="92" t="s">
        <v>651</v>
      </c>
      <c r="E26" s="92" t="s">
        <v>652</v>
      </c>
      <c r="F26" s="92" t="s">
        <v>653</v>
      </c>
    </row>
    <row r="27" spans="1:6" x14ac:dyDescent="0.25">
      <c r="A27" s="93">
        <v>50</v>
      </c>
      <c r="B27" s="94">
        <v>26.01</v>
      </c>
      <c r="C27" s="94">
        <v>21.86</v>
      </c>
      <c r="D27" s="94">
        <v>3.58</v>
      </c>
      <c r="E27" s="94"/>
      <c r="F27" s="94">
        <v>0</v>
      </c>
    </row>
    <row r="28" spans="1:6" x14ac:dyDescent="0.25">
      <c r="A28" s="93">
        <v>51</v>
      </c>
      <c r="B28" s="94">
        <v>25.53</v>
      </c>
      <c r="C28" s="94">
        <v>22.23</v>
      </c>
      <c r="D28" s="94">
        <v>3.61</v>
      </c>
      <c r="E28" s="94"/>
      <c r="F28" s="94">
        <v>0</v>
      </c>
    </row>
    <row r="29" spans="1:6" x14ac:dyDescent="0.25">
      <c r="A29" s="93">
        <v>52</v>
      </c>
      <c r="B29" s="94">
        <v>25.03</v>
      </c>
      <c r="C29" s="94">
        <v>22.61</v>
      </c>
      <c r="D29" s="94">
        <v>3.64</v>
      </c>
      <c r="E29" s="94"/>
      <c r="F29" s="94">
        <v>0</v>
      </c>
    </row>
    <row r="30" spans="1:6" x14ac:dyDescent="0.25">
      <c r="A30" s="93">
        <v>53</v>
      </c>
      <c r="B30" s="94">
        <v>24.5</v>
      </c>
      <c r="C30" s="94">
        <v>23.01</v>
      </c>
      <c r="D30" s="94">
        <v>3.67</v>
      </c>
      <c r="E30" s="94"/>
      <c r="F30" s="94">
        <v>0</v>
      </c>
    </row>
    <row r="31" spans="1:6" x14ac:dyDescent="0.25">
      <c r="A31" s="93">
        <v>54</v>
      </c>
      <c r="B31" s="94">
        <v>23.92</v>
      </c>
      <c r="C31" s="94">
        <v>23.41</v>
      </c>
      <c r="D31" s="94">
        <v>3.69</v>
      </c>
      <c r="E31" s="94"/>
      <c r="F31" s="94">
        <v>0</v>
      </c>
    </row>
    <row r="32" spans="1:6" x14ac:dyDescent="0.25">
      <c r="A32" s="93">
        <v>55</v>
      </c>
      <c r="B32" s="94">
        <v>23.33</v>
      </c>
      <c r="C32" s="94"/>
      <c r="D32" s="94">
        <v>3.72</v>
      </c>
      <c r="E32" s="94"/>
      <c r="F32" s="94">
        <v>0</v>
      </c>
    </row>
    <row r="33" spans="1:6" x14ac:dyDescent="0.25">
      <c r="A33" s="93">
        <v>56</v>
      </c>
      <c r="B33" s="94">
        <v>22.74</v>
      </c>
      <c r="C33" s="94"/>
      <c r="D33" s="94">
        <v>3.75</v>
      </c>
      <c r="E33" s="94"/>
      <c r="F33" s="94">
        <v>0</v>
      </c>
    </row>
    <row r="34" spans="1:6" x14ac:dyDescent="0.25">
      <c r="A34" s="93">
        <v>57</v>
      </c>
      <c r="B34" s="94">
        <v>22.14</v>
      </c>
      <c r="C34" s="94"/>
      <c r="D34" s="94">
        <v>3.77</v>
      </c>
      <c r="E34" s="94"/>
      <c r="F34" s="94">
        <v>0</v>
      </c>
    </row>
    <row r="35" spans="1:6" x14ac:dyDescent="0.25">
      <c r="A35" s="93">
        <v>58</v>
      </c>
      <c r="B35" s="94">
        <v>21.54</v>
      </c>
      <c r="C35" s="94"/>
      <c r="D35" s="94">
        <v>3.8</v>
      </c>
      <c r="E35" s="94"/>
      <c r="F35" s="94">
        <v>0</v>
      </c>
    </row>
    <row r="36" spans="1:6" x14ac:dyDescent="0.25">
      <c r="A36" s="93">
        <v>59</v>
      </c>
      <c r="B36" s="94">
        <v>20.93</v>
      </c>
      <c r="C36" s="94"/>
      <c r="D36" s="94">
        <v>3.82</v>
      </c>
      <c r="E36" s="94"/>
      <c r="F36" s="94">
        <v>0</v>
      </c>
    </row>
    <row r="37" spans="1:6" x14ac:dyDescent="0.25">
      <c r="A37" s="93">
        <v>60</v>
      </c>
      <c r="B37" s="94">
        <v>20.32</v>
      </c>
      <c r="C37" s="94"/>
      <c r="D37" s="94">
        <v>3.84</v>
      </c>
      <c r="E37" s="94"/>
      <c r="F37" s="94">
        <v>0</v>
      </c>
    </row>
    <row r="38" spans="1:6" x14ac:dyDescent="0.25">
      <c r="A38" s="93">
        <v>61</v>
      </c>
      <c r="B38" s="94">
        <v>19.7</v>
      </c>
      <c r="C38" s="94"/>
      <c r="D38" s="94">
        <v>3.86</v>
      </c>
      <c r="E38" s="94"/>
      <c r="F38" s="94">
        <v>0</v>
      </c>
    </row>
    <row r="39" spans="1:6" x14ac:dyDescent="0.25">
      <c r="A39" s="93">
        <v>62</v>
      </c>
      <c r="B39" s="94">
        <v>19.079999999999998</v>
      </c>
      <c r="C39" s="94"/>
      <c r="D39" s="94">
        <v>3.87</v>
      </c>
      <c r="E39" s="94"/>
      <c r="F39" s="94">
        <v>0</v>
      </c>
    </row>
    <row r="40" spans="1:6" x14ac:dyDescent="0.25">
      <c r="A40" s="93">
        <v>63</v>
      </c>
      <c r="B40" s="94">
        <v>18.46</v>
      </c>
      <c r="C40" s="94"/>
      <c r="D40" s="94">
        <v>3.88</v>
      </c>
      <c r="E40" s="94"/>
      <c r="F40" s="94">
        <v>0</v>
      </c>
    </row>
    <row r="41" spans="1:6" x14ac:dyDescent="0.25">
      <c r="A41" s="93">
        <v>64</v>
      </c>
      <c r="B41" s="94">
        <v>17.829999999999998</v>
      </c>
      <c r="C41" s="94"/>
      <c r="D41" s="94">
        <v>3.89</v>
      </c>
      <c r="E41" s="94"/>
      <c r="F41" s="94">
        <v>0</v>
      </c>
    </row>
    <row r="42" spans="1:6" x14ac:dyDescent="0.25">
      <c r="A42" s="93">
        <v>65</v>
      </c>
      <c r="B42" s="94">
        <v>17.2</v>
      </c>
      <c r="C42" s="94"/>
      <c r="D42" s="94">
        <v>3.89</v>
      </c>
      <c r="E42" s="94"/>
      <c r="F42" s="94"/>
    </row>
    <row r="43" spans="1:6" x14ac:dyDescent="0.25">
      <c r="A43" s="93">
        <v>66</v>
      </c>
      <c r="B43" s="94">
        <v>16.57</v>
      </c>
      <c r="C43" s="94"/>
      <c r="D43" s="94">
        <v>3.89</v>
      </c>
      <c r="E43" s="94"/>
      <c r="F43" s="94"/>
    </row>
    <row r="44" spans="1:6" x14ac:dyDescent="0.25">
      <c r="A44" s="93">
        <v>67</v>
      </c>
      <c r="B44" s="94">
        <v>15.94</v>
      </c>
      <c r="C44" s="94"/>
      <c r="D44" s="94">
        <v>3.89</v>
      </c>
      <c r="E44" s="94"/>
      <c r="F44" s="94"/>
    </row>
    <row r="45" spans="1:6" x14ac:dyDescent="0.25">
      <c r="A45" s="93">
        <v>68</v>
      </c>
      <c r="B45" s="94">
        <v>15.31</v>
      </c>
      <c r="C45" s="94"/>
      <c r="D45" s="94">
        <v>3.88</v>
      </c>
      <c r="E45" s="94"/>
      <c r="F45" s="94"/>
    </row>
    <row r="46" spans="1:6" x14ac:dyDescent="0.25">
      <c r="A46" s="93">
        <v>69</v>
      </c>
      <c r="B46" s="94">
        <v>14.67</v>
      </c>
      <c r="C46" s="94"/>
      <c r="D46" s="94">
        <v>3.86</v>
      </c>
      <c r="E46" s="94">
        <v>3.01</v>
      </c>
      <c r="F46" s="94"/>
    </row>
    <row r="47" spans="1:6" x14ac:dyDescent="0.25">
      <c r="A47" s="93">
        <v>70</v>
      </c>
      <c r="B47" s="94">
        <v>14.04</v>
      </c>
      <c r="C47" s="94"/>
      <c r="D47" s="94">
        <v>3.84</v>
      </c>
      <c r="E47" s="94">
        <v>2.8</v>
      </c>
      <c r="F47" s="94"/>
    </row>
    <row r="48" spans="1:6" x14ac:dyDescent="0.25">
      <c r="A48" s="93">
        <v>71</v>
      </c>
      <c r="B48" s="94">
        <v>13.42</v>
      </c>
      <c r="C48" s="94"/>
      <c r="D48" s="94">
        <v>3.82</v>
      </c>
      <c r="E48" s="94">
        <v>2.6</v>
      </c>
      <c r="F48" s="94"/>
    </row>
    <row r="49" spans="1:6" x14ac:dyDescent="0.25">
      <c r="A49" s="93">
        <v>72</v>
      </c>
      <c r="B49" s="94">
        <v>12.79</v>
      </c>
      <c r="C49" s="94"/>
      <c r="D49" s="94">
        <v>3.79</v>
      </c>
      <c r="E49" s="94">
        <v>2.41</v>
      </c>
      <c r="F49" s="94"/>
    </row>
    <row r="50" spans="1:6" x14ac:dyDescent="0.25">
      <c r="A50" s="93">
        <v>73</v>
      </c>
      <c r="B50" s="94">
        <v>12.17</v>
      </c>
      <c r="C50" s="94"/>
      <c r="D50" s="94">
        <v>3.75</v>
      </c>
      <c r="E50" s="94">
        <v>2.23</v>
      </c>
      <c r="F50" s="94"/>
    </row>
    <row r="51" spans="1:6" x14ac:dyDescent="0.25">
      <c r="A51" s="93">
        <v>74</v>
      </c>
      <c r="B51" s="94">
        <v>11.56</v>
      </c>
      <c r="C51" s="94"/>
      <c r="D51" s="94">
        <v>3.61</v>
      </c>
      <c r="E51" s="94">
        <v>2.04</v>
      </c>
      <c r="F51" s="94"/>
    </row>
    <row r="52" spans="1:6" x14ac:dyDescent="0.25">
      <c r="A52" s="93">
        <v>75</v>
      </c>
      <c r="B52" s="94">
        <v>10.95</v>
      </c>
      <c r="C52" s="94"/>
      <c r="D52" s="94">
        <v>3.47</v>
      </c>
      <c r="E52" s="94">
        <v>1.86</v>
      </c>
      <c r="F52" s="94"/>
    </row>
    <row r="53" spans="1:6" x14ac:dyDescent="0.25">
      <c r="A53" s="93">
        <v>76</v>
      </c>
      <c r="B53" s="94">
        <v>10.36</v>
      </c>
      <c r="C53" s="94"/>
      <c r="D53" s="94">
        <v>3.41</v>
      </c>
      <c r="E53" s="94">
        <v>1.7</v>
      </c>
      <c r="F53" s="94"/>
    </row>
    <row r="54" spans="1:6" x14ac:dyDescent="0.25">
      <c r="A54" s="93">
        <v>77</v>
      </c>
      <c r="B54" s="94">
        <v>9.77</v>
      </c>
      <c r="C54" s="94"/>
      <c r="D54" s="94">
        <v>3.35</v>
      </c>
      <c r="E54" s="94">
        <v>1.54</v>
      </c>
      <c r="F54" s="94"/>
    </row>
    <row r="55" spans="1:6" x14ac:dyDescent="0.25">
      <c r="A55" s="93">
        <v>78</v>
      </c>
      <c r="B55" s="94">
        <v>9.19</v>
      </c>
      <c r="C55" s="94"/>
      <c r="D55" s="94">
        <v>3.29</v>
      </c>
      <c r="E55" s="94">
        <v>1.4</v>
      </c>
      <c r="F55" s="94"/>
    </row>
    <row r="56" spans="1:6" x14ac:dyDescent="0.25">
      <c r="A56" s="93">
        <v>79</v>
      </c>
      <c r="B56" s="94">
        <v>8.6300000000000008</v>
      </c>
      <c r="C56" s="94"/>
      <c r="D56" s="94">
        <v>3.04</v>
      </c>
      <c r="E56" s="94">
        <v>1.25</v>
      </c>
      <c r="F56" s="94"/>
    </row>
    <row r="57" spans="1:6" x14ac:dyDescent="0.25">
      <c r="A57" s="93">
        <v>80</v>
      </c>
      <c r="B57" s="94">
        <v>8.09</v>
      </c>
      <c r="C57" s="94"/>
      <c r="D57" s="94">
        <v>2.78</v>
      </c>
      <c r="E57" s="94">
        <v>1.1100000000000001</v>
      </c>
      <c r="F57" s="94"/>
    </row>
    <row r="58" spans="1:6" x14ac:dyDescent="0.25">
      <c r="A58" s="93">
        <v>81</v>
      </c>
      <c r="B58" s="94">
        <v>7.56</v>
      </c>
      <c r="C58" s="94"/>
      <c r="D58" s="94">
        <v>2.7</v>
      </c>
      <c r="E58" s="94">
        <v>0.99</v>
      </c>
      <c r="F58" s="94"/>
    </row>
    <row r="59" spans="1:6" x14ac:dyDescent="0.25">
      <c r="A59" s="93">
        <v>82</v>
      </c>
      <c r="B59" s="94">
        <v>7.05</v>
      </c>
      <c r="C59" s="94"/>
      <c r="D59" s="94">
        <v>2.61</v>
      </c>
      <c r="E59" s="94">
        <v>0.88</v>
      </c>
      <c r="F59" s="94"/>
    </row>
    <row r="60" spans="1:6" x14ac:dyDescent="0.25">
      <c r="A60" s="93">
        <v>83</v>
      </c>
      <c r="B60" s="94">
        <v>6.56</v>
      </c>
      <c r="C60" s="94"/>
      <c r="D60" s="94">
        <v>2.52</v>
      </c>
      <c r="E60" s="94">
        <v>0.79</v>
      </c>
      <c r="F60" s="94"/>
    </row>
    <row r="61" spans="1:6" x14ac:dyDescent="0.25">
      <c r="A61" s="93">
        <v>84</v>
      </c>
      <c r="B61" s="94">
        <v>6.1</v>
      </c>
      <c r="C61" s="94"/>
      <c r="D61" s="94">
        <v>2.2000000000000002</v>
      </c>
      <c r="E61" s="94">
        <v>0.68</v>
      </c>
      <c r="F61" s="94"/>
    </row>
    <row r="62" spans="1:6" x14ac:dyDescent="0.25">
      <c r="A62" s="93">
        <v>85</v>
      </c>
      <c r="B62" s="94">
        <v>5.65</v>
      </c>
      <c r="C62" s="94"/>
      <c r="D62" s="94">
        <v>1.88</v>
      </c>
      <c r="E62" s="94">
        <v>0.57999999999999996</v>
      </c>
      <c r="F62" s="94"/>
    </row>
    <row r="63" spans="1:6" x14ac:dyDescent="0.25">
      <c r="A63"/>
      <c r="B63"/>
    </row>
    <row r="64" spans="1:6" x14ac:dyDescent="0.25">
      <c r="A64"/>
      <c r="B64"/>
    </row>
    <row r="65" spans="1:2" x14ac:dyDescent="0.25">
      <c r="A65"/>
      <c r="B65"/>
    </row>
  </sheetData>
  <sheetProtection algorithmName="SHA-512" hashValue="a3Ji/ibVUVRB+Srv27jmD/9ZlswUuFXbuuTfMqbWZfSjvvAPZHh8s76pUZlQ5vOMQjOwg8bD3NVSPXhF5lk6wA==" saltValue="FRcXpt3LGKkpoHtymFZN+A==" spinCount="100000" sheet="1" objects="1" scenarios="1"/>
  <conditionalFormatting sqref="A6:A21">
    <cfRule type="expression" dxfId="813" priority="17" stopIfTrue="1">
      <formula>MOD(ROW(),2)=0</formula>
    </cfRule>
    <cfRule type="expression" dxfId="812" priority="18" stopIfTrue="1">
      <formula>MOD(ROW(),2)&lt;&gt;0</formula>
    </cfRule>
  </conditionalFormatting>
  <conditionalFormatting sqref="A26:A62">
    <cfRule type="expression" dxfId="811" priority="7" stopIfTrue="1">
      <formula>MOD(ROW(),2)=0</formula>
    </cfRule>
    <cfRule type="expression" dxfId="810" priority="8" stopIfTrue="1">
      <formula>MOD(ROW(),2)&lt;&gt;0</formula>
    </cfRule>
  </conditionalFormatting>
  <conditionalFormatting sqref="B17:B19">
    <cfRule type="expression" dxfId="809" priority="1" stopIfTrue="1">
      <formula>MOD(ROW(),2)=0</formula>
    </cfRule>
  </conditionalFormatting>
  <conditionalFormatting sqref="B18:B19">
    <cfRule type="expression" dxfId="808" priority="2" stopIfTrue="1">
      <formula>MOD(ROW(),2)&lt;&gt;0</formula>
    </cfRule>
  </conditionalFormatting>
  <conditionalFormatting sqref="B6:F21">
    <cfRule type="expression" dxfId="807" priority="25" stopIfTrue="1">
      <formula>MOD(ROW(),2)=0</formula>
    </cfRule>
    <cfRule type="expression" dxfId="806" priority="26" stopIfTrue="1">
      <formula>MOD(ROW(),2)&lt;&gt;0</formula>
    </cfRule>
  </conditionalFormatting>
  <conditionalFormatting sqref="B17:F17">
    <cfRule type="expression" dxfId="805" priority="4" stopIfTrue="1">
      <formula>MOD(ROW(),2)&lt;&gt;0</formula>
    </cfRule>
  </conditionalFormatting>
  <conditionalFormatting sqref="B26:F62">
    <cfRule type="expression" dxfId="804" priority="9" stopIfTrue="1">
      <formula>MOD(ROW(),2)=0</formula>
    </cfRule>
    <cfRule type="expression" dxfId="803" priority="10" stopIfTrue="1">
      <formula>MOD(ROW(),2)&lt;&gt;0</formula>
    </cfRule>
  </conditionalFormatting>
  <conditionalFormatting sqref="C17:F17">
    <cfRule type="expression" dxfId="802"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6" width="22.7773437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x-302</v>
      </c>
      <c r="B3" s="43"/>
      <c r="C3" s="43"/>
      <c r="D3" s="43"/>
      <c r="E3" s="43"/>
      <c r="F3" s="43"/>
      <c r="G3" s="43"/>
      <c r="H3" s="43"/>
      <c r="I3" s="43"/>
    </row>
    <row r="4" spans="1:9" x14ac:dyDescent="0.25">
      <c r="A4" s="45"/>
    </row>
    <row r="6" spans="1:9" x14ac:dyDescent="0.25">
      <c r="A6" s="149" t="s">
        <v>558</v>
      </c>
      <c r="B6" s="110" t="s">
        <v>559</v>
      </c>
      <c r="C6" s="110"/>
      <c r="D6" s="110"/>
      <c r="E6" s="110"/>
      <c r="F6" s="110"/>
    </row>
    <row r="7" spans="1:9" x14ac:dyDescent="0.25">
      <c r="A7" s="73" t="s">
        <v>305</v>
      </c>
      <c r="B7" s="110" t="s">
        <v>319</v>
      </c>
      <c r="C7" s="110"/>
      <c r="D7" s="110"/>
      <c r="E7" s="110"/>
      <c r="F7" s="110"/>
    </row>
    <row r="8" spans="1:9" x14ac:dyDescent="0.25">
      <c r="A8" s="73" t="s">
        <v>306</v>
      </c>
      <c r="B8" s="110">
        <v>1992</v>
      </c>
      <c r="C8" s="110"/>
      <c r="D8" s="110"/>
      <c r="E8" s="110"/>
      <c r="F8" s="110"/>
    </row>
    <row r="9" spans="1:9" x14ac:dyDescent="0.25">
      <c r="A9" s="73" t="s">
        <v>307</v>
      </c>
      <c r="B9" s="110" t="s">
        <v>368</v>
      </c>
      <c r="C9" s="110"/>
      <c r="D9" s="110"/>
      <c r="E9" s="110"/>
      <c r="F9" s="110"/>
    </row>
    <row r="10" spans="1:9" ht="12.6" customHeight="1" x14ac:dyDescent="0.25">
      <c r="A10" s="73" t="s">
        <v>233</v>
      </c>
      <c r="B10" s="110" t="s">
        <v>369</v>
      </c>
      <c r="C10" s="110"/>
      <c r="D10" s="110"/>
      <c r="E10" s="110"/>
      <c r="F10" s="110"/>
    </row>
    <row r="11" spans="1:9" x14ac:dyDescent="0.25">
      <c r="A11" s="73" t="s">
        <v>308</v>
      </c>
      <c r="B11" s="110" t="s">
        <v>328</v>
      </c>
      <c r="C11" s="110"/>
      <c r="D11" s="110"/>
      <c r="E11" s="110"/>
      <c r="F11" s="110"/>
    </row>
    <row r="12" spans="1:9" ht="12.6" customHeight="1" x14ac:dyDescent="0.25">
      <c r="A12" s="73" t="s">
        <v>309</v>
      </c>
      <c r="B12" s="110" t="s">
        <v>323</v>
      </c>
      <c r="C12" s="110"/>
      <c r="D12" s="110"/>
      <c r="E12" s="110"/>
      <c r="F12" s="110"/>
    </row>
    <row r="13" spans="1:9" ht="12.6" customHeight="1" x14ac:dyDescent="0.25">
      <c r="A13" s="73" t="s">
        <v>566</v>
      </c>
      <c r="B13" s="110">
        <v>2</v>
      </c>
      <c r="C13" s="110"/>
      <c r="D13" s="110"/>
      <c r="E13" s="110"/>
      <c r="F13" s="110"/>
    </row>
    <row r="14" spans="1:9" ht="12.6" customHeight="1" x14ac:dyDescent="0.25">
      <c r="A14" s="73" t="s">
        <v>311</v>
      </c>
      <c r="B14" s="110">
        <v>302</v>
      </c>
      <c r="C14" s="110"/>
      <c r="D14" s="110"/>
      <c r="E14" s="110"/>
      <c r="F14" s="110"/>
    </row>
    <row r="15" spans="1:9" x14ac:dyDescent="0.25">
      <c r="A15" s="73" t="s">
        <v>569</v>
      </c>
      <c r="B15" s="110" t="s">
        <v>372</v>
      </c>
      <c r="C15" s="110"/>
      <c r="D15" s="110"/>
      <c r="E15" s="110"/>
      <c r="F15" s="110"/>
    </row>
    <row r="16" spans="1:9" x14ac:dyDescent="0.25">
      <c r="A16" s="73" t="s">
        <v>313</v>
      </c>
      <c r="B16" s="110" t="s">
        <v>373</v>
      </c>
      <c r="C16" s="110"/>
      <c r="D16" s="110"/>
      <c r="E16" s="110"/>
      <c r="F16" s="110"/>
    </row>
    <row r="17" spans="1:6" ht="78.599999999999994" customHeight="1" x14ac:dyDescent="0.25">
      <c r="A17" s="73" t="s">
        <v>639</v>
      </c>
      <c r="B17" s="110"/>
      <c r="C17" s="110"/>
      <c r="D17" s="110"/>
      <c r="E17" s="110"/>
      <c r="F17" s="110"/>
    </row>
    <row r="18" spans="1:6" x14ac:dyDescent="0.25">
      <c r="A18" s="73" t="s">
        <v>315</v>
      </c>
      <c r="B18" s="150">
        <v>45070</v>
      </c>
      <c r="C18" s="110"/>
      <c r="D18" s="110"/>
      <c r="E18" s="110"/>
      <c r="F18" s="110"/>
    </row>
    <row r="19" spans="1:6" x14ac:dyDescent="0.25">
      <c r="A19" s="73" t="s">
        <v>316</v>
      </c>
      <c r="B19" s="150">
        <v>45014</v>
      </c>
      <c r="C19" s="110"/>
      <c r="D19" s="110"/>
      <c r="E19" s="110"/>
      <c r="F19" s="110"/>
    </row>
    <row r="20" spans="1:6" x14ac:dyDescent="0.25">
      <c r="A20" s="73" t="s">
        <v>317</v>
      </c>
      <c r="B20" s="110" t="s">
        <v>326</v>
      </c>
      <c r="C20" s="110"/>
      <c r="D20" s="110"/>
      <c r="E20" s="110"/>
      <c r="F20" s="110"/>
    </row>
    <row r="21" spans="1:6" x14ac:dyDescent="0.25">
      <c r="A21" s="73" t="s">
        <v>318</v>
      </c>
      <c r="B21" s="110" t="s">
        <v>327</v>
      </c>
      <c r="C21" s="110"/>
      <c r="D21" s="110"/>
      <c r="E21" s="110"/>
      <c r="F21" s="110"/>
    </row>
    <row r="23" spans="1:6" x14ac:dyDescent="0.25">
      <c r="B23" s="96" t="str">
        <f>HYPERLINK("#'Factor List'!A1","Back to Factor List")</f>
        <v>Back to Factor List</v>
      </c>
    </row>
    <row r="24" spans="1:6" x14ac:dyDescent="0.25">
      <c r="B24" s="96" t="str">
        <f>HYPERLINK("#'Assumptions'!A1","Assumptions")</f>
        <v>Assumptions</v>
      </c>
    </row>
    <row r="26" spans="1:6" ht="39.6" x14ac:dyDescent="0.25">
      <c r="A26" s="92" t="s">
        <v>640</v>
      </c>
      <c r="B26" s="92" t="s">
        <v>649</v>
      </c>
      <c r="C26" s="92" t="s">
        <v>650</v>
      </c>
      <c r="D26" s="92" t="s">
        <v>651</v>
      </c>
      <c r="E26" s="92" t="s">
        <v>652</v>
      </c>
      <c r="F26" s="92" t="s">
        <v>653</v>
      </c>
    </row>
    <row r="27" spans="1:6" x14ac:dyDescent="0.25">
      <c r="A27" s="93">
        <v>50</v>
      </c>
      <c r="B27" s="94">
        <v>26.01</v>
      </c>
      <c r="C27" s="94">
        <v>21.86</v>
      </c>
      <c r="D27" s="94">
        <v>3.58</v>
      </c>
      <c r="E27" s="94"/>
      <c r="F27" s="94">
        <v>0</v>
      </c>
    </row>
    <row r="28" spans="1:6" x14ac:dyDescent="0.25">
      <c r="A28" s="93">
        <v>51</v>
      </c>
      <c r="B28" s="94">
        <v>25.53</v>
      </c>
      <c r="C28" s="94">
        <v>22.23</v>
      </c>
      <c r="D28" s="94">
        <v>3.61</v>
      </c>
      <c r="E28" s="94"/>
      <c r="F28" s="94">
        <v>0</v>
      </c>
    </row>
    <row r="29" spans="1:6" x14ac:dyDescent="0.25">
      <c r="A29" s="93">
        <v>52</v>
      </c>
      <c r="B29" s="94">
        <v>25.03</v>
      </c>
      <c r="C29" s="94">
        <v>22.61</v>
      </c>
      <c r="D29" s="94">
        <v>3.64</v>
      </c>
      <c r="E29" s="94"/>
      <c r="F29" s="94">
        <v>0</v>
      </c>
    </row>
    <row r="30" spans="1:6" x14ac:dyDescent="0.25">
      <c r="A30" s="93">
        <v>53</v>
      </c>
      <c r="B30" s="94">
        <v>24.5</v>
      </c>
      <c r="C30" s="94">
        <v>23.01</v>
      </c>
      <c r="D30" s="94">
        <v>3.67</v>
      </c>
      <c r="E30" s="94"/>
      <c r="F30" s="94">
        <v>0</v>
      </c>
    </row>
    <row r="31" spans="1:6" x14ac:dyDescent="0.25">
      <c r="A31" s="93">
        <v>54</v>
      </c>
      <c r="B31" s="94">
        <v>23.92</v>
      </c>
      <c r="C31" s="94">
        <v>23.41</v>
      </c>
      <c r="D31" s="94">
        <v>3.69</v>
      </c>
      <c r="E31" s="94"/>
      <c r="F31" s="94">
        <v>0</v>
      </c>
    </row>
    <row r="32" spans="1:6" x14ac:dyDescent="0.25">
      <c r="A32" s="93">
        <v>55</v>
      </c>
      <c r="B32" s="94">
        <v>23.33</v>
      </c>
      <c r="C32" s="94"/>
      <c r="D32" s="94">
        <v>3.72</v>
      </c>
      <c r="E32" s="94"/>
      <c r="F32" s="94">
        <v>0</v>
      </c>
    </row>
    <row r="33" spans="1:6" x14ac:dyDescent="0.25">
      <c r="A33" s="93">
        <v>56</v>
      </c>
      <c r="B33" s="94">
        <v>22.74</v>
      </c>
      <c r="C33" s="94"/>
      <c r="D33" s="94">
        <v>3.75</v>
      </c>
      <c r="E33" s="94"/>
      <c r="F33" s="94">
        <v>0</v>
      </c>
    </row>
    <row r="34" spans="1:6" x14ac:dyDescent="0.25">
      <c r="A34" s="93">
        <v>57</v>
      </c>
      <c r="B34" s="94">
        <v>22.14</v>
      </c>
      <c r="C34" s="94"/>
      <c r="D34" s="94">
        <v>3.77</v>
      </c>
      <c r="E34" s="94"/>
      <c r="F34" s="94">
        <v>0</v>
      </c>
    </row>
    <row r="35" spans="1:6" x14ac:dyDescent="0.25">
      <c r="A35" s="93">
        <v>58</v>
      </c>
      <c r="B35" s="94">
        <v>21.54</v>
      </c>
      <c r="C35" s="94"/>
      <c r="D35" s="94">
        <v>3.8</v>
      </c>
      <c r="E35" s="94"/>
      <c r="F35" s="94">
        <v>0</v>
      </c>
    </row>
    <row r="36" spans="1:6" x14ac:dyDescent="0.25">
      <c r="A36" s="93">
        <v>59</v>
      </c>
      <c r="B36" s="94">
        <v>20.93</v>
      </c>
      <c r="C36" s="94"/>
      <c r="D36" s="94">
        <v>3.82</v>
      </c>
      <c r="E36" s="94"/>
      <c r="F36" s="94">
        <v>0</v>
      </c>
    </row>
    <row r="37" spans="1:6" x14ac:dyDescent="0.25">
      <c r="A37" s="93">
        <v>60</v>
      </c>
      <c r="B37" s="94">
        <v>20.32</v>
      </c>
      <c r="C37" s="94"/>
      <c r="D37" s="94">
        <v>3.84</v>
      </c>
      <c r="E37" s="94"/>
      <c r="F37" s="94">
        <v>0</v>
      </c>
    </row>
    <row r="38" spans="1:6" x14ac:dyDescent="0.25">
      <c r="A38" s="93">
        <v>61</v>
      </c>
      <c r="B38" s="94">
        <v>19.7</v>
      </c>
      <c r="C38" s="94"/>
      <c r="D38" s="94">
        <v>3.86</v>
      </c>
      <c r="E38" s="94"/>
      <c r="F38" s="94">
        <v>0</v>
      </c>
    </row>
    <row r="39" spans="1:6" x14ac:dyDescent="0.25">
      <c r="A39" s="93">
        <v>62</v>
      </c>
      <c r="B39" s="94">
        <v>19.079999999999998</v>
      </c>
      <c r="C39" s="94"/>
      <c r="D39" s="94">
        <v>3.87</v>
      </c>
      <c r="E39" s="94"/>
      <c r="F39" s="94">
        <v>0</v>
      </c>
    </row>
    <row r="40" spans="1:6" x14ac:dyDescent="0.25">
      <c r="A40" s="93">
        <v>63</v>
      </c>
      <c r="B40" s="94">
        <v>18.46</v>
      </c>
      <c r="C40" s="94"/>
      <c r="D40" s="94">
        <v>3.88</v>
      </c>
      <c r="E40" s="94"/>
      <c r="F40" s="94">
        <v>0</v>
      </c>
    </row>
    <row r="41" spans="1:6" x14ac:dyDescent="0.25">
      <c r="A41" s="93">
        <v>64</v>
      </c>
      <c r="B41" s="94">
        <v>17.829999999999998</v>
      </c>
      <c r="C41" s="94"/>
      <c r="D41" s="94">
        <v>3.89</v>
      </c>
      <c r="E41" s="94"/>
      <c r="F41" s="94">
        <v>0</v>
      </c>
    </row>
    <row r="42" spans="1:6" x14ac:dyDescent="0.25">
      <c r="A42" s="93">
        <v>65</v>
      </c>
      <c r="B42" s="94">
        <v>17.2</v>
      </c>
      <c r="C42" s="94"/>
      <c r="D42" s="94">
        <v>3.89</v>
      </c>
      <c r="E42" s="94"/>
      <c r="F42" s="94"/>
    </row>
    <row r="43" spans="1:6" x14ac:dyDescent="0.25">
      <c r="A43" s="93">
        <v>66</v>
      </c>
      <c r="B43" s="94">
        <v>16.57</v>
      </c>
      <c r="C43" s="94"/>
      <c r="D43" s="94">
        <v>3.89</v>
      </c>
      <c r="E43" s="94"/>
      <c r="F43" s="94"/>
    </row>
    <row r="44" spans="1:6" x14ac:dyDescent="0.25">
      <c r="A44" s="93">
        <v>67</v>
      </c>
      <c r="B44" s="94">
        <v>15.94</v>
      </c>
      <c r="C44" s="94"/>
      <c r="D44" s="94">
        <v>3.89</v>
      </c>
      <c r="E44" s="94"/>
      <c r="F44" s="94"/>
    </row>
    <row r="45" spans="1:6" x14ac:dyDescent="0.25">
      <c r="A45" s="93">
        <v>68</v>
      </c>
      <c r="B45" s="94">
        <v>15.31</v>
      </c>
      <c r="C45" s="94"/>
      <c r="D45" s="94">
        <v>3.88</v>
      </c>
      <c r="E45" s="94"/>
      <c r="F45" s="94"/>
    </row>
    <row r="46" spans="1:6" x14ac:dyDescent="0.25">
      <c r="A46" s="93">
        <v>69</v>
      </c>
      <c r="B46" s="94">
        <v>14.67</v>
      </c>
      <c r="C46" s="94"/>
      <c r="D46" s="94">
        <v>3.86</v>
      </c>
      <c r="E46" s="94">
        <v>2.82</v>
      </c>
      <c r="F46" s="94"/>
    </row>
    <row r="47" spans="1:6" x14ac:dyDescent="0.25">
      <c r="A47" s="93">
        <v>70</v>
      </c>
      <c r="B47" s="94">
        <v>14.04</v>
      </c>
      <c r="C47" s="94"/>
      <c r="D47" s="94">
        <v>3.84</v>
      </c>
      <c r="E47" s="94">
        <v>2.62</v>
      </c>
      <c r="F47" s="94"/>
    </row>
    <row r="48" spans="1:6" x14ac:dyDescent="0.25">
      <c r="A48" s="93">
        <v>71</v>
      </c>
      <c r="B48" s="94">
        <v>13.42</v>
      </c>
      <c r="C48" s="94"/>
      <c r="D48" s="94">
        <v>3.82</v>
      </c>
      <c r="E48" s="94">
        <v>2.42</v>
      </c>
      <c r="F48" s="94"/>
    </row>
    <row r="49" spans="1:6" x14ac:dyDescent="0.25">
      <c r="A49" s="93">
        <v>72</v>
      </c>
      <c r="B49" s="94">
        <v>12.79</v>
      </c>
      <c r="C49" s="94"/>
      <c r="D49" s="94">
        <v>3.79</v>
      </c>
      <c r="E49" s="94">
        <v>2.23</v>
      </c>
      <c r="F49" s="94"/>
    </row>
    <row r="50" spans="1:6" x14ac:dyDescent="0.25">
      <c r="A50" s="93">
        <v>73</v>
      </c>
      <c r="B50" s="94">
        <v>12.17</v>
      </c>
      <c r="C50" s="94"/>
      <c r="D50" s="94">
        <v>3.75</v>
      </c>
      <c r="E50" s="94">
        <v>2.0499999999999998</v>
      </c>
      <c r="F50" s="94"/>
    </row>
    <row r="51" spans="1:6" x14ac:dyDescent="0.25">
      <c r="A51" s="93">
        <v>74</v>
      </c>
      <c r="B51" s="94">
        <v>11.56</v>
      </c>
      <c r="C51" s="94"/>
      <c r="D51" s="94">
        <v>3.61</v>
      </c>
      <c r="E51" s="94">
        <v>1.88</v>
      </c>
      <c r="F51" s="94"/>
    </row>
    <row r="52" spans="1:6" x14ac:dyDescent="0.25">
      <c r="A52" s="93">
        <v>75</v>
      </c>
      <c r="B52" s="94">
        <v>10.95</v>
      </c>
      <c r="C52" s="94"/>
      <c r="D52" s="94">
        <v>3.47</v>
      </c>
      <c r="E52" s="94">
        <v>1.71</v>
      </c>
      <c r="F52" s="94"/>
    </row>
    <row r="53" spans="1:6" x14ac:dyDescent="0.25">
      <c r="A53" s="93">
        <v>76</v>
      </c>
      <c r="B53" s="94">
        <v>10.36</v>
      </c>
      <c r="C53" s="94"/>
      <c r="D53" s="94">
        <v>3.41</v>
      </c>
      <c r="E53" s="94">
        <v>1.56</v>
      </c>
      <c r="F53" s="94"/>
    </row>
    <row r="54" spans="1:6" x14ac:dyDescent="0.25">
      <c r="A54" s="93">
        <v>77</v>
      </c>
      <c r="B54" s="94">
        <v>9.77</v>
      </c>
      <c r="C54" s="94"/>
      <c r="D54" s="94">
        <v>3.35</v>
      </c>
      <c r="E54" s="94">
        <v>1.41</v>
      </c>
      <c r="F54" s="94"/>
    </row>
    <row r="55" spans="1:6" x14ac:dyDescent="0.25">
      <c r="A55" s="93">
        <v>78</v>
      </c>
      <c r="B55" s="94">
        <v>9.19</v>
      </c>
      <c r="C55" s="94"/>
      <c r="D55" s="94">
        <v>3.29</v>
      </c>
      <c r="E55" s="94">
        <v>1.27</v>
      </c>
      <c r="F55" s="94"/>
    </row>
    <row r="56" spans="1:6" x14ac:dyDescent="0.25">
      <c r="A56" s="93">
        <v>79</v>
      </c>
      <c r="B56" s="94">
        <v>8.6300000000000008</v>
      </c>
      <c r="C56" s="94"/>
      <c r="D56" s="94">
        <v>3.04</v>
      </c>
      <c r="E56" s="94">
        <v>1.1299999999999999</v>
      </c>
      <c r="F56" s="94"/>
    </row>
    <row r="57" spans="1:6" x14ac:dyDescent="0.25">
      <c r="A57" s="93">
        <v>80</v>
      </c>
      <c r="B57" s="94">
        <v>8.09</v>
      </c>
      <c r="C57" s="94"/>
      <c r="D57" s="94">
        <v>2.78</v>
      </c>
      <c r="E57" s="94">
        <v>1.01</v>
      </c>
      <c r="F57" s="94"/>
    </row>
    <row r="58" spans="1:6" x14ac:dyDescent="0.25">
      <c r="A58" s="93">
        <v>81</v>
      </c>
      <c r="B58" s="94">
        <v>7.56</v>
      </c>
      <c r="C58" s="94"/>
      <c r="D58" s="94">
        <v>2.7</v>
      </c>
      <c r="E58" s="94">
        <v>0.9</v>
      </c>
      <c r="F58" s="94"/>
    </row>
    <row r="59" spans="1:6" x14ac:dyDescent="0.25">
      <c r="A59" s="93">
        <v>82</v>
      </c>
      <c r="B59" s="94">
        <v>7.05</v>
      </c>
      <c r="C59" s="94"/>
      <c r="D59" s="94">
        <v>2.61</v>
      </c>
      <c r="E59" s="94">
        <v>0.8</v>
      </c>
      <c r="F59" s="94"/>
    </row>
    <row r="60" spans="1:6" x14ac:dyDescent="0.25">
      <c r="A60" s="93">
        <v>83</v>
      </c>
      <c r="B60" s="94">
        <v>6.56</v>
      </c>
      <c r="C60" s="94"/>
      <c r="D60" s="94">
        <v>2.52</v>
      </c>
      <c r="E60" s="94">
        <v>0.7</v>
      </c>
      <c r="F60" s="94"/>
    </row>
    <row r="61" spans="1:6" x14ac:dyDescent="0.25">
      <c r="A61" s="93">
        <v>84</v>
      </c>
      <c r="B61" s="94">
        <v>6.1</v>
      </c>
      <c r="C61" s="94"/>
      <c r="D61" s="94">
        <v>2.2000000000000002</v>
      </c>
      <c r="E61" s="94">
        <v>0.61</v>
      </c>
      <c r="F61" s="94"/>
    </row>
    <row r="62" spans="1:6" x14ac:dyDescent="0.25">
      <c r="A62" s="93">
        <v>85</v>
      </c>
      <c r="B62" s="94">
        <v>5.65</v>
      </c>
      <c r="C62" s="94"/>
      <c r="D62" s="94">
        <v>1.88</v>
      </c>
      <c r="E62" s="94">
        <v>0.54</v>
      </c>
      <c r="F62" s="94"/>
    </row>
    <row r="63" spans="1:6" x14ac:dyDescent="0.25">
      <c r="A63"/>
      <c r="B63"/>
    </row>
    <row r="64" spans="1:6" x14ac:dyDescent="0.25">
      <c r="A64"/>
      <c r="B64"/>
    </row>
    <row r="65" spans="1:2" x14ac:dyDescent="0.25">
      <c r="A65"/>
      <c r="B65"/>
    </row>
  </sheetData>
  <sheetProtection algorithmName="SHA-512" hashValue="IQ0gBXiR7lT4xUNIVR6pIYVXLwSRpk2ToaRLKC1nbUIKvAZLJ+A0e0H4lRpT8WIYZxODUHzEN+CLZiprfIF4mA==" saltValue="WNZcUp2g07IvPfuwmrCAEA==" spinCount="100000" sheet="1" objects="1" scenarios="1"/>
  <conditionalFormatting sqref="A6:A21">
    <cfRule type="expression" dxfId="801" priority="21" stopIfTrue="1">
      <formula>MOD(ROW(),2)=0</formula>
    </cfRule>
    <cfRule type="expression" dxfId="800" priority="22" stopIfTrue="1">
      <formula>MOD(ROW(),2)&lt;&gt;0</formula>
    </cfRule>
  </conditionalFormatting>
  <conditionalFormatting sqref="A26:A62">
    <cfRule type="expression" dxfId="799" priority="7" stopIfTrue="1">
      <formula>MOD(ROW(),2)=0</formula>
    </cfRule>
    <cfRule type="expression" dxfId="798" priority="8" stopIfTrue="1">
      <formula>MOD(ROW(),2)&lt;&gt;0</formula>
    </cfRule>
  </conditionalFormatting>
  <conditionalFormatting sqref="B17:B19">
    <cfRule type="expression" dxfId="797" priority="1" stopIfTrue="1">
      <formula>MOD(ROW(),2)=0</formula>
    </cfRule>
  </conditionalFormatting>
  <conditionalFormatting sqref="B18:B19">
    <cfRule type="expression" dxfId="796" priority="2" stopIfTrue="1">
      <formula>MOD(ROW(),2)&lt;&gt;0</formula>
    </cfRule>
  </conditionalFormatting>
  <conditionalFormatting sqref="B6:F6 C7:F7 C18:F19 B20:F21">
    <cfRule type="expression" dxfId="795" priority="33" stopIfTrue="1">
      <formula>MOD(ROW(),2)=0</formula>
    </cfRule>
    <cfRule type="expression" dxfId="794" priority="34" stopIfTrue="1">
      <formula>MOD(ROW(),2)&lt;&gt;0</formula>
    </cfRule>
  </conditionalFormatting>
  <conditionalFormatting sqref="B6:F21">
    <cfRule type="expression" dxfId="793" priority="23" stopIfTrue="1">
      <formula>MOD(ROW(),2)=0</formula>
    </cfRule>
    <cfRule type="expression" dxfId="792" priority="24" stopIfTrue="1">
      <formula>MOD(ROW(),2)&lt;&gt;0</formula>
    </cfRule>
  </conditionalFormatting>
  <conditionalFormatting sqref="B8:F16">
    <cfRule type="expression" dxfId="791" priority="25" stopIfTrue="1">
      <formula>MOD(ROW(),2)=0</formula>
    </cfRule>
    <cfRule type="expression" dxfId="790" priority="26" stopIfTrue="1">
      <formula>MOD(ROW(),2)&lt;&gt;0</formula>
    </cfRule>
  </conditionalFormatting>
  <conditionalFormatting sqref="B17:F17">
    <cfRule type="expression" dxfId="789" priority="4" stopIfTrue="1">
      <formula>MOD(ROW(),2)&lt;&gt;0</formula>
    </cfRule>
  </conditionalFormatting>
  <conditionalFormatting sqref="B26:F62">
    <cfRule type="expression" dxfId="788" priority="9" stopIfTrue="1">
      <formula>MOD(ROW(),2)=0</formula>
    </cfRule>
    <cfRule type="expression" dxfId="787" priority="10" stopIfTrue="1">
      <formula>MOD(ROW(),2)&lt;&gt;0</formula>
    </cfRule>
  </conditionalFormatting>
  <conditionalFormatting sqref="C17:F17">
    <cfRule type="expression" dxfId="786"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x-303</v>
      </c>
      <c r="B3" s="43"/>
      <c r="C3" s="43"/>
      <c r="D3" s="43"/>
      <c r="E3" s="43"/>
      <c r="F3" s="43"/>
      <c r="G3" s="43"/>
      <c r="H3" s="43"/>
      <c r="I3" s="43"/>
    </row>
    <row r="4" spans="1:9" x14ac:dyDescent="0.25">
      <c r="A4" s="45"/>
    </row>
    <row r="6" spans="1:9" x14ac:dyDescent="0.25">
      <c r="A6" s="149" t="s">
        <v>558</v>
      </c>
      <c r="B6" s="110" t="s">
        <v>559</v>
      </c>
      <c r="C6" s="110"/>
      <c r="D6" s="110"/>
      <c r="E6" s="110"/>
    </row>
    <row r="7" spans="1:9" x14ac:dyDescent="0.25">
      <c r="A7" s="73" t="s">
        <v>305</v>
      </c>
      <c r="B7" s="110" t="s">
        <v>319</v>
      </c>
      <c r="C7" s="110"/>
      <c r="D7" s="110"/>
      <c r="E7" s="110"/>
    </row>
    <row r="8" spans="1:9" x14ac:dyDescent="0.25">
      <c r="A8" s="73" t="s">
        <v>306</v>
      </c>
      <c r="B8" s="110">
        <v>1992</v>
      </c>
      <c r="C8" s="110"/>
      <c r="D8" s="110"/>
      <c r="E8" s="110"/>
    </row>
    <row r="9" spans="1:9" x14ac:dyDescent="0.25">
      <c r="A9" s="73" t="s">
        <v>307</v>
      </c>
      <c r="B9" s="110" t="s">
        <v>368</v>
      </c>
      <c r="C9" s="110"/>
      <c r="D9" s="110"/>
      <c r="E9" s="110"/>
    </row>
    <row r="10" spans="1:9" ht="12.6" customHeight="1" x14ac:dyDescent="0.25">
      <c r="A10" s="73" t="s">
        <v>233</v>
      </c>
      <c r="B10" s="110" t="s">
        <v>374</v>
      </c>
      <c r="C10" s="110"/>
      <c r="D10" s="110"/>
      <c r="E10" s="110"/>
    </row>
    <row r="11" spans="1:9" x14ac:dyDescent="0.25">
      <c r="A11" s="73" t="s">
        <v>308</v>
      </c>
      <c r="B11" s="110" t="s">
        <v>322</v>
      </c>
      <c r="C11" s="110"/>
      <c r="D11" s="110"/>
      <c r="E11" s="110"/>
    </row>
    <row r="12" spans="1:9" ht="12.6" customHeight="1" x14ac:dyDescent="0.25">
      <c r="A12" s="73" t="s">
        <v>309</v>
      </c>
      <c r="B12" s="110" t="s">
        <v>323</v>
      </c>
      <c r="C12" s="110"/>
      <c r="D12" s="110"/>
      <c r="E12" s="110"/>
    </row>
    <row r="13" spans="1:9" ht="12.6" customHeight="1" x14ac:dyDescent="0.25">
      <c r="A13" s="73" t="s">
        <v>566</v>
      </c>
      <c r="B13" s="110">
        <v>2</v>
      </c>
      <c r="C13" s="110"/>
      <c r="D13" s="110"/>
      <c r="E13" s="110"/>
    </row>
    <row r="14" spans="1:9" ht="12.6" customHeight="1" x14ac:dyDescent="0.25">
      <c r="A14" s="73" t="s">
        <v>311</v>
      </c>
      <c r="B14" s="110">
        <v>303</v>
      </c>
      <c r="C14" s="110"/>
      <c r="D14" s="110"/>
      <c r="E14" s="110"/>
    </row>
    <row r="15" spans="1:9" x14ac:dyDescent="0.25">
      <c r="A15" s="73" t="s">
        <v>569</v>
      </c>
      <c r="B15" s="110" t="s">
        <v>375</v>
      </c>
      <c r="C15" s="110"/>
      <c r="D15" s="110"/>
      <c r="E15" s="110"/>
    </row>
    <row r="16" spans="1:9" x14ac:dyDescent="0.25">
      <c r="A16" s="73" t="s">
        <v>313</v>
      </c>
      <c r="B16" s="110" t="s">
        <v>376</v>
      </c>
      <c r="C16" s="110"/>
      <c r="D16" s="110"/>
      <c r="E16" s="110"/>
    </row>
    <row r="17" spans="1:5" ht="73.349999999999994" customHeight="1" x14ac:dyDescent="0.25">
      <c r="A17" s="73" t="s">
        <v>639</v>
      </c>
      <c r="B17" s="110"/>
      <c r="C17" s="110"/>
      <c r="D17" s="110"/>
      <c r="E17" s="110"/>
    </row>
    <row r="18" spans="1:5" x14ac:dyDescent="0.25">
      <c r="A18" s="73" t="s">
        <v>315</v>
      </c>
      <c r="B18" s="150">
        <v>45070</v>
      </c>
      <c r="C18" s="110"/>
      <c r="D18" s="110"/>
      <c r="E18" s="110"/>
    </row>
    <row r="19" spans="1:5" x14ac:dyDescent="0.25">
      <c r="A19" s="73" t="s">
        <v>316</v>
      </c>
      <c r="B19" s="150">
        <v>45014</v>
      </c>
      <c r="C19" s="110"/>
      <c r="D19" s="110"/>
      <c r="E19" s="110"/>
    </row>
    <row r="20" spans="1:5" x14ac:dyDescent="0.25">
      <c r="A20" s="73" t="s">
        <v>317</v>
      </c>
      <c r="B20" s="110" t="s">
        <v>326</v>
      </c>
      <c r="C20" s="110"/>
      <c r="D20" s="110"/>
      <c r="E20" s="110"/>
    </row>
    <row r="21" spans="1:5" x14ac:dyDescent="0.25">
      <c r="A21" s="73" t="s">
        <v>318</v>
      </c>
      <c r="B21" s="110" t="s">
        <v>327</v>
      </c>
      <c r="C21" s="110"/>
      <c r="D21" s="110"/>
      <c r="E21" s="110"/>
    </row>
    <row r="23" spans="1:5" x14ac:dyDescent="0.25">
      <c r="B23" s="96" t="str">
        <f>HYPERLINK("#'Factor List'!A1","Back to Factor List")</f>
        <v>Back to Factor List</v>
      </c>
    </row>
    <row r="24" spans="1:5" x14ac:dyDescent="0.25">
      <c r="B24" s="96" t="str">
        <f>HYPERLINK("#'Assumptions'!A1","Assumptions")</f>
        <v>Assumptions</v>
      </c>
    </row>
    <row r="26" spans="1:5" ht="39.6" x14ac:dyDescent="0.25">
      <c r="A26" s="92" t="s">
        <v>640</v>
      </c>
      <c r="B26" s="92" t="s">
        <v>654</v>
      </c>
      <c r="C26" s="92" t="s">
        <v>655</v>
      </c>
      <c r="D26" s="92" t="s">
        <v>656</v>
      </c>
      <c r="E26" s="92" t="s">
        <v>653</v>
      </c>
    </row>
    <row r="27" spans="1:5" x14ac:dyDescent="0.25">
      <c r="A27" s="93">
        <v>20</v>
      </c>
      <c r="B27" s="94">
        <v>39.64</v>
      </c>
      <c r="C27" s="94">
        <v>2.4300000000000002</v>
      </c>
      <c r="D27" s="94"/>
      <c r="E27" s="94">
        <v>0</v>
      </c>
    </row>
    <row r="28" spans="1:5" x14ac:dyDescent="0.25">
      <c r="A28" s="93">
        <v>21</v>
      </c>
      <c r="B28" s="94">
        <v>39.28</v>
      </c>
      <c r="C28" s="94">
        <v>2.4700000000000002</v>
      </c>
      <c r="D28" s="94"/>
      <c r="E28" s="94">
        <v>0</v>
      </c>
    </row>
    <row r="29" spans="1:5" x14ac:dyDescent="0.25">
      <c r="A29" s="93">
        <v>22</v>
      </c>
      <c r="B29" s="94">
        <v>38.92</v>
      </c>
      <c r="C29" s="94">
        <v>2.5099999999999998</v>
      </c>
      <c r="D29" s="94"/>
      <c r="E29" s="94">
        <v>0</v>
      </c>
    </row>
    <row r="30" spans="1:5" x14ac:dyDescent="0.25">
      <c r="A30" s="93">
        <v>23</v>
      </c>
      <c r="B30" s="94">
        <v>38.549999999999997</v>
      </c>
      <c r="C30" s="94">
        <v>2.5499999999999998</v>
      </c>
      <c r="D30" s="94"/>
      <c r="E30" s="94">
        <v>0</v>
      </c>
    </row>
    <row r="31" spans="1:5" x14ac:dyDescent="0.25">
      <c r="A31" s="93">
        <v>24</v>
      </c>
      <c r="B31" s="94">
        <v>38.17</v>
      </c>
      <c r="C31" s="94">
        <v>2.59</v>
      </c>
      <c r="D31" s="94"/>
      <c r="E31" s="94">
        <v>0</v>
      </c>
    </row>
    <row r="32" spans="1:5" x14ac:dyDescent="0.25">
      <c r="A32" s="93">
        <v>25</v>
      </c>
      <c r="B32" s="94">
        <v>37.79</v>
      </c>
      <c r="C32" s="94">
        <v>2.63</v>
      </c>
      <c r="D32" s="94"/>
      <c r="E32" s="94">
        <v>0</v>
      </c>
    </row>
    <row r="33" spans="1:5" x14ac:dyDescent="0.25">
      <c r="A33" s="93">
        <v>26</v>
      </c>
      <c r="B33" s="94">
        <v>37.4</v>
      </c>
      <c r="C33" s="94">
        <v>2.68</v>
      </c>
      <c r="D33" s="94"/>
      <c r="E33" s="94">
        <v>0</v>
      </c>
    </row>
    <row r="34" spans="1:5" x14ac:dyDescent="0.25">
      <c r="A34" s="93">
        <v>27</v>
      </c>
      <c r="B34" s="94">
        <v>37.01</v>
      </c>
      <c r="C34" s="94">
        <v>2.72</v>
      </c>
      <c r="D34" s="94"/>
      <c r="E34" s="94">
        <v>0</v>
      </c>
    </row>
    <row r="35" spans="1:5" x14ac:dyDescent="0.25">
      <c r="A35" s="93">
        <v>28</v>
      </c>
      <c r="B35" s="94">
        <v>36.61</v>
      </c>
      <c r="C35" s="94">
        <v>2.76</v>
      </c>
      <c r="D35" s="94"/>
      <c r="E35" s="94">
        <v>0</v>
      </c>
    </row>
    <row r="36" spans="1:5" x14ac:dyDescent="0.25">
      <c r="A36" s="93">
        <v>29</v>
      </c>
      <c r="B36" s="94">
        <v>36.200000000000003</v>
      </c>
      <c r="C36" s="94">
        <v>2.8</v>
      </c>
      <c r="D36" s="94"/>
      <c r="E36" s="94">
        <v>0</v>
      </c>
    </row>
    <row r="37" spans="1:5" x14ac:dyDescent="0.25">
      <c r="A37" s="93">
        <v>30</v>
      </c>
      <c r="B37" s="94">
        <v>35.79</v>
      </c>
      <c r="C37" s="94">
        <v>2.84</v>
      </c>
      <c r="D37" s="94"/>
      <c r="E37" s="94">
        <v>0</v>
      </c>
    </row>
    <row r="38" spans="1:5" x14ac:dyDescent="0.25">
      <c r="A38" s="93">
        <v>31</v>
      </c>
      <c r="B38" s="94">
        <v>35.369999999999997</v>
      </c>
      <c r="C38" s="94">
        <v>2.88</v>
      </c>
      <c r="D38" s="94"/>
      <c r="E38" s="94">
        <v>0</v>
      </c>
    </row>
    <row r="39" spans="1:5" x14ac:dyDescent="0.25">
      <c r="A39" s="93">
        <v>32</v>
      </c>
      <c r="B39" s="94">
        <v>34.950000000000003</v>
      </c>
      <c r="C39" s="94">
        <v>2.92</v>
      </c>
      <c r="D39" s="94"/>
      <c r="E39" s="94">
        <v>0</v>
      </c>
    </row>
    <row r="40" spans="1:5" x14ac:dyDescent="0.25">
      <c r="A40" s="93">
        <v>33</v>
      </c>
      <c r="B40" s="94">
        <v>34.51</v>
      </c>
      <c r="C40" s="94">
        <v>2.96</v>
      </c>
      <c r="D40" s="94"/>
      <c r="E40" s="94">
        <v>0</v>
      </c>
    </row>
    <row r="41" spans="1:5" x14ac:dyDescent="0.25">
      <c r="A41" s="93">
        <v>34</v>
      </c>
      <c r="B41" s="94">
        <v>34.08</v>
      </c>
      <c r="C41" s="94">
        <v>3</v>
      </c>
      <c r="D41" s="94"/>
      <c r="E41" s="94">
        <v>0</v>
      </c>
    </row>
    <row r="42" spans="1:5" x14ac:dyDescent="0.25">
      <c r="A42" s="93">
        <v>35</v>
      </c>
      <c r="B42" s="94">
        <v>33.630000000000003</v>
      </c>
      <c r="C42" s="94">
        <v>3.04</v>
      </c>
      <c r="D42" s="94"/>
      <c r="E42" s="94">
        <v>0</v>
      </c>
    </row>
    <row r="43" spans="1:5" x14ac:dyDescent="0.25">
      <c r="A43" s="93">
        <v>36</v>
      </c>
      <c r="B43" s="94">
        <v>33.18</v>
      </c>
      <c r="C43" s="94">
        <v>3.08</v>
      </c>
      <c r="D43" s="94"/>
      <c r="E43" s="94">
        <v>0</v>
      </c>
    </row>
    <row r="44" spans="1:5" x14ac:dyDescent="0.25">
      <c r="A44" s="93">
        <v>37</v>
      </c>
      <c r="B44" s="94">
        <v>32.72</v>
      </c>
      <c r="C44" s="94">
        <v>3.12</v>
      </c>
      <c r="D44" s="94"/>
      <c r="E44" s="94">
        <v>0</v>
      </c>
    </row>
    <row r="45" spans="1:5" x14ac:dyDescent="0.25">
      <c r="A45" s="93">
        <v>38</v>
      </c>
      <c r="B45" s="94">
        <v>32.26</v>
      </c>
      <c r="C45" s="94">
        <v>3.16</v>
      </c>
      <c r="D45" s="94"/>
      <c r="E45" s="94">
        <v>0</v>
      </c>
    </row>
    <row r="46" spans="1:5" x14ac:dyDescent="0.25">
      <c r="A46" s="93">
        <v>39</v>
      </c>
      <c r="B46" s="94">
        <v>31.79</v>
      </c>
      <c r="C46" s="94">
        <v>3.2</v>
      </c>
      <c r="D46" s="94"/>
      <c r="E46" s="94">
        <v>0</v>
      </c>
    </row>
    <row r="47" spans="1:5" x14ac:dyDescent="0.25">
      <c r="A47" s="93">
        <v>40</v>
      </c>
      <c r="B47" s="94">
        <v>31.31</v>
      </c>
      <c r="C47" s="94">
        <v>3.24</v>
      </c>
      <c r="D47" s="94"/>
      <c r="E47" s="94">
        <v>0</v>
      </c>
    </row>
    <row r="48" spans="1:5" x14ac:dyDescent="0.25">
      <c r="A48" s="93">
        <v>41</v>
      </c>
      <c r="B48" s="94">
        <v>30.82</v>
      </c>
      <c r="C48" s="94">
        <v>3.27</v>
      </c>
      <c r="D48" s="94"/>
      <c r="E48" s="94">
        <v>0</v>
      </c>
    </row>
    <row r="49" spans="1:5" x14ac:dyDescent="0.25">
      <c r="A49" s="93">
        <v>42</v>
      </c>
      <c r="B49" s="94">
        <v>30.33</v>
      </c>
      <c r="C49" s="94">
        <v>3.31</v>
      </c>
      <c r="D49" s="94"/>
      <c r="E49" s="94">
        <v>0</v>
      </c>
    </row>
    <row r="50" spans="1:5" x14ac:dyDescent="0.25">
      <c r="A50" s="93">
        <v>43</v>
      </c>
      <c r="B50" s="94">
        <v>29.83</v>
      </c>
      <c r="C50" s="94">
        <v>3.35</v>
      </c>
      <c r="D50" s="94"/>
      <c r="E50" s="94">
        <v>0</v>
      </c>
    </row>
    <row r="51" spans="1:5" x14ac:dyDescent="0.25">
      <c r="A51" s="93">
        <v>44</v>
      </c>
      <c r="B51" s="94">
        <v>29.33</v>
      </c>
      <c r="C51" s="94">
        <v>3.38</v>
      </c>
      <c r="D51" s="94"/>
      <c r="E51" s="94">
        <v>0</v>
      </c>
    </row>
    <row r="52" spans="1:5" x14ac:dyDescent="0.25">
      <c r="A52" s="93">
        <v>45</v>
      </c>
      <c r="B52" s="94">
        <v>28.82</v>
      </c>
      <c r="C52" s="94">
        <v>3.42</v>
      </c>
      <c r="D52" s="94"/>
      <c r="E52" s="94">
        <v>0</v>
      </c>
    </row>
    <row r="53" spans="1:5" x14ac:dyDescent="0.25">
      <c r="A53" s="93">
        <v>46</v>
      </c>
      <c r="B53" s="94">
        <v>28.3</v>
      </c>
      <c r="C53" s="94">
        <v>3.45</v>
      </c>
      <c r="D53" s="94"/>
      <c r="E53" s="94">
        <v>0</v>
      </c>
    </row>
    <row r="54" spans="1:5" x14ac:dyDescent="0.25">
      <c r="A54" s="93">
        <v>47</v>
      </c>
      <c r="B54" s="94">
        <v>27.78</v>
      </c>
      <c r="C54" s="94">
        <v>3.48</v>
      </c>
      <c r="D54" s="94"/>
      <c r="E54" s="94">
        <v>0</v>
      </c>
    </row>
    <row r="55" spans="1:5" x14ac:dyDescent="0.25">
      <c r="A55" s="93">
        <v>48</v>
      </c>
      <c r="B55" s="94">
        <v>27.25</v>
      </c>
      <c r="C55" s="94">
        <v>3.51</v>
      </c>
      <c r="D55" s="94"/>
      <c r="E55" s="94">
        <v>0</v>
      </c>
    </row>
    <row r="56" spans="1:5" x14ac:dyDescent="0.25">
      <c r="A56" s="93">
        <v>49</v>
      </c>
      <c r="B56" s="94">
        <v>26.71</v>
      </c>
      <c r="C56" s="94">
        <v>3.55</v>
      </c>
      <c r="D56" s="94"/>
      <c r="E56" s="94">
        <v>0</v>
      </c>
    </row>
    <row r="57" spans="1:5" x14ac:dyDescent="0.25">
      <c r="A57" s="93">
        <v>50</v>
      </c>
      <c r="B57" s="94">
        <v>26.16</v>
      </c>
      <c r="C57" s="94">
        <v>3.58</v>
      </c>
      <c r="D57" s="94"/>
      <c r="E57" s="94">
        <v>0</v>
      </c>
    </row>
    <row r="58" spans="1:5" x14ac:dyDescent="0.25">
      <c r="A58" s="93">
        <v>51</v>
      </c>
      <c r="B58" s="94">
        <v>25.61</v>
      </c>
      <c r="C58" s="94">
        <v>3.61</v>
      </c>
      <c r="D58" s="94"/>
      <c r="E58" s="94">
        <v>0</v>
      </c>
    </row>
    <row r="59" spans="1:5" x14ac:dyDescent="0.25">
      <c r="A59" s="93">
        <v>52</v>
      </c>
      <c r="B59" s="94">
        <v>25.05</v>
      </c>
      <c r="C59" s="94">
        <v>3.64</v>
      </c>
      <c r="D59" s="94"/>
      <c r="E59" s="94">
        <v>0</v>
      </c>
    </row>
    <row r="60" spans="1:5" x14ac:dyDescent="0.25">
      <c r="A60" s="93">
        <v>53</v>
      </c>
      <c r="B60" s="94">
        <v>24.48</v>
      </c>
      <c r="C60" s="94">
        <v>3.67</v>
      </c>
      <c r="D60" s="94"/>
      <c r="E60" s="94">
        <v>0</v>
      </c>
    </row>
    <row r="61" spans="1:5" x14ac:dyDescent="0.25">
      <c r="A61" s="93">
        <v>54</v>
      </c>
      <c r="B61" s="94">
        <v>23.91</v>
      </c>
      <c r="C61" s="94">
        <v>3.69</v>
      </c>
      <c r="D61" s="94"/>
      <c r="E61" s="94">
        <v>0</v>
      </c>
    </row>
    <row r="62" spans="1:5" x14ac:dyDescent="0.25">
      <c r="A62" s="93">
        <v>55</v>
      </c>
      <c r="B62" s="94">
        <v>23.33</v>
      </c>
      <c r="C62" s="94">
        <v>3.72</v>
      </c>
      <c r="D62" s="94"/>
      <c r="E62" s="94">
        <v>0</v>
      </c>
    </row>
    <row r="63" spans="1:5" x14ac:dyDescent="0.25">
      <c r="A63" s="93">
        <v>56</v>
      </c>
      <c r="B63" s="94">
        <v>22.74</v>
      </c>
      <c r="C63" s="94">
        <v>3.75</v>
      </c>
      <c r="D63" s="94"/>
      <c r="E63" s="94">
        <v>0</v>
      </c>
    </row>
    <row r="64" spans="1:5" x14ac:dyDescent="0.25">
      <c r="A64" s="93">
        <v>57</v>
      </c>
      <c r="B64" s="94">
        <v>22.14</v>
      </c>
      <c r="C64" s="94">
        <v>3.77</v>
      </c>
      <c r="D64" s="94"/>
      <c r="E64" s="94">
        <v>0</v>
      </c>
    </row>
    <row r="65" spans="1:5" x14ac:dyDescent="0.25">
      <c r="A65" s="93">
        <v>58</v>
      </c>
      <c r="B65" s="94">
        <v>21.54</v>
      </c>
      <c r="C65" s="94">
        <v>3.8</v>
      </c>
      <c r="D65" s="94"/>
      <c r="E65" s="94">
        <v>0</v>
      </c>
    </row>
    <row r="66" spans="1:5" x14ac:dyDescent="0.25">
      <c r="A66" s="93">
        <v>59</v>
      </c>
      <c r="B66" s="94">
        <v>20.93</v>
      </c>
      <c r="C66" s="94">
        <v>3.82</v>
      </c>
      <c r="D66" s="94"/>
      <c r="E66" s="94">
        <v>0</v>
      </c>
    </row>
    <row r="67" spans="1:5" x14ac:dyDescent="0.25">
      <c r="A67" s="93">
        <v>60</v>
      </c>
      <c r="B67" s="94">
        <v>20.32</v>
      </c>
      <c r="C67" s="94">
        <v>3.84</v>
      </c>
      <c r="D67" s="94"/>
      <c r="E67" s="94">
        <v>0</v>
      </c>
    </row>
    <row r="68" spans="1:5" x14ac:dyDescent="0.25">
      <c r="A68" s="93">
        <v>61</v>
      </c>
      <c r="B68" s="94">
        <v>19.7</v>
      </c>
      <c r="C68" s="94">
        <v>3.86</v>
      </c>
      <c r="D68" s="94"/>
      <c r="E68" s="94">
        <v>0</v>
      </c>
    </row>
    <row r="69" spans="1:5" x14ac:dyDescent="0.25">
      <c r="A69" s="93">
        <v>62</v>
      </c>
      <c r="B69" s="94">
        <v>19.079999999999998</v>
      </c>
      <c r="C69" s="94">
        <v>3.87</v>
      </c>
      <c r="D69" s="94"/>
      <c r="E69" s="94">
        <v>0</v>
      </c>
    </row>
    <row r="70" spans="1:5" x14ac:dyDescent="0.25">
      <c r="A70" s="93">
        <v>63</v>
      </c>
      <c r="B70" s="94">
        <v>18.46</v>
      </c>
      <c r="C70" s="94">
        <v>3.88</v>
      </c>
      <c r="D70" s="94"/>
      <c r="E70" s="94">
        <v>0</v>
      </c>
    </row>
    <row r="71" spans="1:5" x14ac:dyDescent="0.25">
      <c r="A71" s="93">
        <v>64</v>
      </c>
      <c r="B71" s="94">
        <v>17.829999999999998</v>
      </c>
      <c r="C71" s="94">
        <v>3.89</v>
      </c>
      <c r="D71" s="94"/>
      <c r="E71" s="94">
        <v>0</v>
      </c>
    </row>
    <row r="72" spans="1:5" x14ac:dyDescent="0.25">
      <c r="A72" s="93">
        <v>65</v>
      </c>
      <c r="B72" s="94">
        <v>17.2</v>
      </c>
      <c r="C72" s="94">
        <v>3.89</v>
      </c>
      <c r="D72" s="94"/>
      <c r="E72" s="94"/>
    </row>
    <row r="73" spans="1:5" x14ac:dyDescent="0.25">
      <c r="A73" s="93">
        <v>66</v>
      </c>
      <c r="B73" s="94">
        <v>16.57</v>
      </c>
      <c r="C73" s="94">
        <v>3.89</v>
      </c>
      <c r="D73" s="94"/>
      <c r="E73" s="94"/>
    </row>
    <row r="74" spans="1:5" x14ac:dyDescent="0.25">
      <c r="A74" s="93">
        <v>67</v>
      </c>
      <c r="B74" s="94">
        <v>15.94</v>
      </c>
      <c r="C74" s="94">
        <v>3.89</v>
      </c>
      <c r="D74" s="94"/>
      <c r="E74" s="94"/>
    </row>
    <row r="75" spans="1:5" x14ac:dyDescent="0.25">
      <c r="A75" s="93">
        <v>68</v>
      </c>
      <c r="B75" s="94">
        <v>15.31</v>
      </c>
      <c r="C75" s="94">
        <v>3.88</v>
      </c>
      <c r="D75" s="94"/>
      <c r="E75" s="94"/>
    </row>
    <row r="76" spans="1:5" x14ac:dyDescent="0.25">
      <c r="A76" s="93">
        <v>69</v>
      </c>
      <c r="B76" s="94">
        <v>14.67</v>
      </c>
      <c r="C76" s="94">
        <v>3.86</v>
      </c>
      <c r="D76" s="94">
        <v>3.01</v>
      </c>
      <c r="E76" s="94"/>
    </row>
    <row r="77" spans="1:5" x14ac:dyDescent="0.25">
      <c r="A77" s="93">
        <v>70</v>
      </c>
      <c r="B77" s="94">
        <v>14.04</v>
      </c>
      <c r="C77" s="94">
        <v>3.84</v>
      </c>
      <c r="D77" s="94">
        <v>2.8</v>
      </c>
      <c r="E77" s="94"/>
    </row>
    <row r="78" spans="1:5" x14ac:dyDescent="0.25">
      <c r="A78" s="93">
        <v>71</v>
      </c>
      <c r="B78" s="94">
        <v>13.42</v>
      </c>
      <c r="C78" s="94">
        <v>3.82</v>
      </c>
      <c r="D78" s="94">
        <v>2.6</v>
      </c>
      <c r="E78" s="94"/>
    </row>
    <row r="79" spans="1:5" x14ac:dyDescent="0.25">
      <c r="A79" s="93">
        <v>72</v>
      </c>
      <c r="B79" s="94">
        <v>12.79</v>
      </c>
      <c r="C79" s="94">
        <v>3.79</v>
      </c>
      <c r="D79" s="94">
        <v>2.41</v>
      </c>
      <c r="E79" s="94"/>
    </row>
    <row r="80" spans="1:5" x14ac:dyDescent="0.25">
      <c r="A80" s="93">
        <v>73</v>
      </c>
      <c r="B80" s="94">
        <v>12.17</v>
      </c>
      <c r="C80" s="94">
        <v>3.75</v>
      </c>
      <c r="D80" s="94">
        <v>2.23</v>
      </c>
      <c r="E80" s="94"/>
    </row>
    <row r="81" spans="1:5" x14ac:dyDescent="0.25">
      <c r="A81" s="93">
        <v>74</v>
      </c>
      <c r="B81" s="94">
        <v>11.56</v>
      </c>
      <c r="C81" s="94">
        <v>3.61</v>
      </c>
      <c r="D81" s="94">
        <v>2.04</v>
      </c>
      <c r="E81" s="94"/>
    </row>
    <row r="82" spans="1:5" x14ac:dyDescent="0.25">
      <c r="A82" s="93">
        <v>75</v>
      </c>
      <c r="B82" s="94">
        <v>10.95</v>
      </c>
      <c r="C82" s="94">
        <v>3.47</v>
      </c>
      <c r="D82" s="94">
        <v>1.86</v>
      </c>
      <c r="E82" s="94"/>
    </row>
    <row r="83" spans="1:5" x14ac:dyDescent="0.25">
      <c r="A83" s="93">
        <v>76</v>
      </c>
      <c r="B83" s="94">
        <v>10.36</v>
      </c>
      <c r="C83" s="94">
        <v>3.41</v>
      </c>
      <c r="D83" s="94">
        <v>1.7</v>
      </c>
      <c r="E83" s="94"/>
    </row>
    <row r="84" spans="1:5" x14ac:dyDescent="0.25">
      <c r="A84" s="93">
        <v>77</v>
      </c>
      <c r="B84" s="94">
        <v>9.77</v>
      </c>
      <c r="C84" s="94">
        <v>3.35</v>
      </c>
      <c r="D84" s="94">
        <v>1.54</v>
      </c>
      <c r="E84" s="94"/>
    </row>
    <row r="85" spans="1:5" x14ac:dyDescent="0.25">
      <c r="A85" s="93">
        <v>78</v>
      </c>
      <c r="B85" s="94">
        <v>9.19</v>
      </c>
      <c r="C85" s="94">
        <v>3.29</v>
      </c>
      <c r="D85" s="94">
        <v>1.4</v>
      </c>
      <c r="E85" s="94"/>
    </row>
    <row r="86" spans="1:5" x14ac:dyDescent="0.25">
      <c r="A86" s="93">
        <v>79</v>
      </c>
      <c r="B86" s="94">
        <v>8.6300000000000008</v>
      </c>
      <c r="C86" s="94">
        <v>3.04</v>
      </c>
      <c r="D86" s="94">
        <v>1.25</v>
      </c>
      <c r="E86" s="94"/>
    </row>
    <row r="87" spans="1:5" x14ac:dyDescent="0.25">
      <c r="A87" s="93">
        <v>80</v>
      </c>
      <c r="B87" s="94">
        <v>8.09</v>
      </c>
      <c r="C87" s="94">
        <v>2.78</v>
      </c>
      <c r="D87" s="94">
        <v>1.1100000000000001</v>
      </c>
      <c r="E87" s="94"/>
    </row>
    <row r="88" spans="1:5" x14ac:dyDescent="0.25">
      <c r="A88" s="93">
        <v>81</v>
      </c>
      <c r="B88" s="94">
        <v>7.56</v>
      </c>
      <c r="C88" s="94">
        <v>2.7</v>
      </c>
      <c r="D88" s="94">
        <v>0.99</v>
      </c>
      <c r="E88" s="94"/>
    </row>
    <row r="89" spans="1:5" x14ac:dyDescent="0.25">
      <c r="A89" s="93">
        <v>82</v>
      </c>
      <c r="B89" s="94">
        <v>7.05</v>
      </c>
      <c r="C89" s="94">
        <v>2.61</v>
      </c>
      <c r="D89" s="94">
        <v>0.88</v>
      </c>
      <c r="E89" s="94"/>
    </row>
    <row r="90" spans="1:5" x14ac:dyDescent="0.25">
      <c r="A90" s="93">
        <v>83</v>
      </c>
      <c r="B90" s="94">
        <v>6.56</v>
      </c>
      <c r="C90" s="94">
        <v>2.52</v>
      </c>
      <c r="D90" s="94">
        <v>0.79</v>
      </c>
      <c r="E90" s="94"/>
    </row>
    <row r="91" spans="1:5" x14ac:dyDescent="0.25">
      <c r="A91" s="93">
        <v>84</v>
      </c>
      <c r="B91" s="94">
        <v>6.1</v>
      </c>
      <c r="C91" s="94">
        <v>2.2000000000000002</v>
      </c>
      <c r="D91" s="94">
        <v>0.68</v>
      </c>
      <c r="E91" s="94"/>
    </row>
    <row r="92" spans="1:5" x14ac:dyDescent="0.25">
      <c r="A92" s="93">
        <v>85</v>
      </c>
      <c r="B92" s="94">
        <v>5.65</v>
      </c>
      <c r="C92" s="94">
        <v>1.88</v>
      </c>
      <c r="D92" s="94">
        <v>0.57999999999999996</v>
      </c>
      <c r="E92" s="94"/>
    </row>
  </sheetData>
  <sheetProtection algorithmName="SHA-512" hashValue="ISM7ORSKtuTy99JTzNvCMxjEjmyjs9lPFleLdptMYfyNJNigEpS81v9c0I0MjmfllZx6Jqt+d0JsumXDYKO6Ig==" saltValue="SQPYDHcGHqIp4XAxZhGoiA==" spinCount="100000" sheet="1" objects="1" scenarios="1"/>
  <conditionalFormatting sqref="A6:A21">
    <cfRule type="expression" dxfId="785" priority="23" stopIfTrue="1">
      <formula>MOD(ROW(),2)=0</formula>
    </cfRule>
    <cfRule type="expression" dxfId="784" priority="24" stopIfTrue="1">
      <formula>MOD(ROW(),2)&lt;&gt;0</formula>
    </cfRule>
  </conditionalFormatting>
  <conditionalFormatting sqref="A26:A92">
    <cfRule type="expression" dxfId="783" priority="7" stopIfTrue="1">
      <formula>MOD(ROW(),2)=0</formula>
    </cfRule>
    <cfRule type="expression" dxfId="782" priority="8" stopIfTrue="1">
      <formula>MOD(ROW(),2)&lt;&gt;0</formula>
    </cfRule>
  </conditionalFormatting>
  <conditionalFormatting sqref="B17:B19">
    <cfRule type="expression" dxfId="781" priority="1" stopIfTrue="1">
      <formula>MOD(ROW(),2)=0</formula>
    </cfRule>
  </conditionalFormatting>
  <conditionalFormatting sqref="B18:B19">
    <cfRule type="expression" dxfId="780" priority="2" stopIfTrue="1">
      <formula>MOD(ROW(),2)&lt;&gt;0</formula>
    </cfRule>
  </conditionalFormatting>
  <conditionalFormatting sqref="B6:E6 C7:E7 C18:E19 B20:E21">
    <cfRule type="expression" dxfId="779" priority="35" stopIfTrue="1">
      <formula>MOD(ROW(),2)=0</formula>
    </cfRule>
    <cfRule type="expression" dxfId="778" priority="36" stopIfTrue="1">
      <formula>MOD(ROW(),2)&lt;&gt;0</formula>
    </cfRule>
  </conditionalFormatting>
  <conditionalFormatting sqref="B6:E21">
    <cfRule type="expression" dxfId="777" priority="25" stopIfTrue="1">
      <formula>MOD(ROW(),2)=0</formula>
    </cfRule>
    <cfRule type="expression" dxfId="776" priority="26" stopIfTrue="1">
      <formula>MOD(ROW(),2)&lt;&gt;0</formula>
    </cfRule>
  </conditionalFormatting>
  <conditionalFormatting sqref="B8:E16">
    <cfRule type="expression" dxfId="775" priority="27" stopIfTrue="1">
      <formula>MOD(ROW(),2)=0</formula>
    </cfRule>
    <cfRule type="expression" dxfId="774" priority="28" stopIfTrue="1">
      <formula>MOD(ROW(),2)&lt;&gt;0</formula>
    </cfRule>
  </conditionalFormatting>
  <conditionalFormatting sqref="B17:E17">
    <cfRule type="expression" dxfId="773" priority="4" stopIfTrue="1">
      <formula>MOD(ROW(),2)&lt;&gt;0</formula>
    </cfRule>
  </conditionalFormatting>
  <conditionalFormatting sqref="B26:E92">
    <cfRule type="expression" dxfId="772" priority="9" stopIfTrue="1">
      <formula>MOD(ROW(),2)=0</formula>
    </cfRule>
    <cfRule type="expression" dxfId="771" priority="10" stopIfTrue="1">
      <formula>MOD(ROW(),2)&lt;&gt;0</formula>
    </cfRule>
  </conditionalFormatting>
  <conditionalFormatting sqref="C17:E17">
    <cfRule type="expression" dxfId="770"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x-304</v>
      </c>
      <c r="B3" s="43"/>
      <c r="C3" s="43"/>
      <c r="D3" s="43"/>
      <c r="E3" s="43"/>
      <c r="F3" s="43"/>
      <c r="G3" s="43"/>
      <c r="H3" s="43"/>
      <c r="I3" s="43"/>
    </row>
    <row r="4" spans="1:9" x14ac:dyDescent="0.25">
      <c r="A4" s="45"/>
    </row>
    <row r="6" spans="1:9" x14ac:dyDescent="0.25">
      <c r="A6" s="149" t="s">
        <v>558</v>
      </c>
      <c r="B6" s="110" t="s">
        <v>559</v>
      </c>
      <c r="C6" s="110"/>
      <c r="D6" s="110"/>
      <c r="E6" s="110"/>
    </row>
    <row r="7" spans="1:9" x14ac:dyDescent="0.25">
      <c r="A7" s="73" t="s">
        <v>305</v>
      </c>
      <c r="B7" s="110" t="s">
        <v>319</v>
      </c>
      <c r="C7" s="110"/>
      <c r="D7" s="110"/>
      <c r="E7" s="110"/>
    </row>
    <row r="8" spans="1:9" x14ac:dyDescent="0.25">
      <c r="A8" s="73" t="s">
        <v>306</v>
      </c>
      <c r="B8" s="110">
        <v>1992</v>
      </c>
      <c r="C8" s="110"/>
      <c r="D8" s="110"/>
      <c r="E8" s="110"/>
    </row>
    <row r="9" spans="1:9" x14ac:dyDescent="0.25">
      <c r="A9" s="73" t="s">
        <v>307</v>
      </c>
      <c r="B9" s="110" t="s">
        <v>368</v>
      </c>
      <c r="C9" s="110"/>
      <c r="D9" s="110"/>
      <c r="E9" s="110"/>
    </row>
    <row r="10" spans="1:9" ht="12.6" customHeight="1" x14ac:dyDescent="0.25">
      <c r="A10" s="73" t="s">
        <v>233</v>
      </c>
      <c r="B10" s="110" t="s">
        <v>374</v>
      </c>
      <c r="C10" s="110"/>
      <c r="D10" s="110"/>
      <c r="E10" s="110"/>
    </row>
    <row r="11" spans="1:9" x14ac:dyDescent="0.25">
      <c r="A11" s="73" t="s">
        <v>308</v>
      </c>
      <c r="B11" s="110" t="s">
        <v>328</v>
      </c>
      <c r="C11" s="110"/>
      <c r="D11" s="110"/>
      <c r="E11" s="110"/>
    </row>
    <row r="12" spans="1:9" ht="12.6" customHeight="1" x14ac:dyDescent="0.25">
      <c r="A12" s="73" t="s">
        <v>309</v>
      </c>
      <c r="B12" s="110" t="s">
        <v>323</v>
      </c>
      <c r="C12" s="110"/>
      <c r="D12" s="110"/>
      <c r="E12" s="110"/>
    </row>
    <row r="13" spans="1:9" ht="12.6" customHeight="1" x14ac:dyDescent="0.25">
      <c r="A13" s="73" t="s">
        <v>566</v>
      </c>
      <c r="B13" s="110">
        <v>2</v>
      </c>
      <c r="C13" s="110"/>
      <c r="D13" s="110"/>
      <c r="E13" s="110"/>
    </row>
    <row r="14" spans="1:9" ht="12.6" customHeight="1" x14ac:dyDescent="0.25">
      <c r="A14" s="73" t="s">
        <v>311</v>
      </c>
      <c r="B14" s="110">
        <v>304</v>
      </c>
      <c r="C14" s="110"/>
      <c r="D14" s="110"/>
      <c r="E14" s="110"/>
    </row>
    <row r="15" spans="1:9" x14ac:dyDescent="0.25">
      <c r="A15" s="73" t="s">
        <v>569</v>
      </c>
      <c r="B15" s="110" t="s">
        <v>377</v>
      </c>
      <c r="C15" s="110"/>
      <c r="D15" s="110"/>
      <c r="E15" s="110"/>
    </row>
    <row r="16" spans="1:9" x14ac:dyDescent="0.25">
      <c r="A16" s="73" t="s">
        <v>313</v>
      </c>
      <c r="B16" s="110" t="s">
        <v>378</v>
      </c>
      <c r="C16" s="110"/>
      <c r="D16" s="110"/>
      <c r="E16" s="110"/>
    </row>
    <row r="17" spans="1:5" ht="73.5" customHeight="1" x14ac:dyDescent="0.25">
      <c r="A17" s="73" t="s">
        <v>639</v>
      </c>
      <c r="B17" s="110"/>
      <c r="C17" s="110"/>
      <c r="D17" s="110"/>
      <c r="E17" s="110"/>
    </row>
    <row r="18" spans="1:5" x14ac:dyDescent="0.25">
      <c r="A18" s="73" t="s">
        <v>315</v>
      </c>
      <c r="B18" s="150">
        <v>45070</v>
      </c>
      <c r="C18" s="110"/>
      <c r="D18" s="110"/>
      <c r="E18" s="110"/>
    </row>
    <row r="19" spans="1:5" x14ac:dyDescent="0.25">
      <c r="A19" s="73" t="s">
        <v>316</v>
      </c>
      <c r="B19" s="150">
        <v>45014</v>
      </c>
      <c r="C19" s="110"/>
      <c r="D19" s="110"/>
      <c r="E19" s="110"/>
    </row>
    <row r="20" spans="1:5" x14ac:dyDescent="0.25">
      <c r="A20" s="73" t="s">
        <v>317</v>
      </c>
      <c r="B20" s="110" t="s">
        <v>326</v>
      </c>
      <c r="C20" s="110"/>
      <c r="D20" s="110"/>
      <c r="E20" s="110"/>
    </row>
    <row r="21" spans="1:5" x14ac:dyDescent="0.25">
      <c r="A21" s="73" t="s">
        <v>318</v>
      </c>
      <c r="B21" s="110" t="s">
        <v>327</v>
      </c>
      <c r="C21" s="110"/>
      <c r="D21" s="110"/>
      <c r="E21" s="110"/>
    </row>
    <row r="23" spans="1:5" x14ac:dyDescent="0.25">
      <c r="B23" s="96" t="str">
        <f>HYPERLINK("#'Factor List'!A1","Back to Factor List")</f>
        <v>Back to Factor List</v>
      </c>
    </row>
    <row r="24" spans="1:5" x14ac:dyDescent="0.25">
      <c r="B24" s="96" t="str">
        <f>HYPERLINK("#'Assumptions'!A1","Assumptions")</f>
        <v>Assumptions</v>
      </c>
    </row>
    <row r="26" spans="1:5" ht="39.6" x14ac:dyDescent="0.25">
      <c r="A26" s="92" t="s">
        <v>640</v>
      </c>
      <c r="B26" s="92" t="s">
        <v>654</v>
      </c>
      <c r="C26" s="92" t="s">
        <v>655</v>
      </c>
      <c r="D26" s="92" t="s">
        <v>656</v>
      </c>
      <c r="E26" s="92" t="s">
        <v>653</v>
      </c>
    </row>
    <row r="27" spans="1:5" x14ac:dyDescent="0.25">
      <c r="A27" s="93">
        <v>20</v>
      </c>
      <c r="B27" s="94">
        <v>39.64</v>
      </c>
      <c r="C27" s="94">
        <v>2.4300000000000002</v>
      </c>
      <c r="D27" s="94"/>
      <c r="E27" s="94">
        <v>0</v>
      </c>
    </row>
    <row r="28" spans="1:5" x14ac:dyDescent="0.25">
      <c r="A28" s="93">
        <v>21</v>
      </c>
      <c r="B28" s="94">
        <v>39.28</v>
      </c>
      <c r="C28" s="94">
        <v>2.4700000000000002</v>
      </c>
      <c r="D28" s="94"/>
      <c r="E28" s="94">
        <v>0</v>
      </c>
    </row>
    <row r="29" spans="1:5" x14ac:dyDescent="0.25">
      <c r="A29" s="93">
        <v>22</v>
      </c>
      <c r="B29" s="94">
        <v>38.92</v>
      </c>
      <c r="C29" s="94">
        <v>2.5099999999999998</v>
      </c>
      <c r="D29" s="94"/>
      <c r="E29" s="94">
        <v>0</v>
      </c>
    </row>
    <row r="30" spans="1:5" x14ac:dyDescent="0.25">
      <c r="A30" s="93">
        <v>23</v>
      </c>
      <c r="B30" s="94">
        <v>38.549999999999997</v>
      </c>
      <c r="C30" s="94">
        <v>2.5499999999999998</v>
      </c>
      <c r="D30" s="94"/>
      <c r="E30" s="94">
        <v>0</v>
      </c>
    </row>
    <row r="31" spans="1:5" x14ac:dyDescent="0.25">
      <c r="A31" s="93">
        <v>24</v>
      </c>
      <c r="B31" s="94">
        <v>38.17</v>
      </c>
      <c r="C31" s="94">
        <v>2.59</v>
      </c>
      <c r="D31" s="94"/>
      <c r="E31" s="94">
        <v>0</v>
      </c>
    </row>
    <row r="32" spans="1:5" x14ac:dyDescent="0.25">
      <c r="A32" s="93">
        <v>25</v>
      </c>
      <c r="B32" s="94">
        <v>37.79</v>
      </c>
      <c r="C32" s="94">
        <v>2.63</v>
      </c>
      <c r="D32" s="94"/>
      <c r="E32" s="94">
        <v>0</v>
      </c>
    </row>
    <row r="33" spans="1:5" x14ac:dyDescent="0.25">
      <c r="A33" s="93">
        <v>26</v>
      </c>
      <c r="B33" s="94">
        <v>37.4</v>
      </c>
      <c r="C33" s="94">
        <v>2.68</v>
      </c>
      <c r="D33" s="94"/>
      <c r="E33" s="94">
        <v>0</v>
      </c>
    </row>
    <row r="34" spans="1:5" x14ac:dyDescent="0.25">
      <c r="A34" s="93">
        <v>27</v>
      </c>
      <c r="B34" s="94">
        <v>37.01</v>
      </c>
      <c r="C34" s="94">
        <v>2.72</v>
      </c>
      <c r="D34" s="94"/>
      <c r="E34" s="94">
        <v>0</v>
      </c>
    </row>
    <row r="35" spans="1:5" x14ac:dyDescent="0.25">
      <c r="A35" s="93">
        <v>28</v>
      </c>
      <c r="B35" s="94">
        <v>36.61</v>
      </c>
      <c r="C35" s="94">
        <v>2.76</v>
      </c>
      <c r="D35" s="94"/>
      <c r="E35" s="94">
        <v>0</v>
      </c>
    </row>
    <row r="36" spans="1:5" x14ac:dyDescent="0.25">
      <c r="A36" s="93">
        <v>29</v>
      </c>
      <c r="B36" s="94">
        <v>36.200000000000003</v>
      </c>
      <c r="C36" s="94">
        <v>2.8</v>
      </c>
      <c r="D36" s="94"/>
      <c r="E36" s="94">
        <v>0</v>
      </c>
    </row>
    <row r="37" spans="1:5" x14ac:dyDescent="0.25">
      <c r="A37" s="93">
        <v>30</v>
      </c>
      <c r="B37" s="94">
        <v>35.79</v>
      </c>
      <c r="C37" s="94">
        <v>2.84</v>
      </c>
      <c r="D37" s="94"/>
      <c r="E37" s="94">
        <v>0</v>
      </c>
    </row>
    <row r="38" spans="1:5" x14ac:dyDescent="0.25">
      <c r="A38" s="93">
        <v>31</v>
      </c>
      <c r="B38" s="94">
        <v>35.369999999999997</v>
      </c>
      <c r="C38" s="94">
        <v>2.88</v>
      </c>
      <c r="D38" s="94"/>
      <c r="E38" s="94">
        <v>0</v>
      </c>
    </row>
    <row r="39" spans="1:5" x14ac:dyDescent="0.25">
      <c r="A39" s="93">
        <v>32</v>
      </c>
      <c r="B39" s="94">
        <v>34.950000000000003</v>
      </c>
      <c r="C39" s="94">
        <v>2.92</v>
      </c>
      <c r="D39" s="94"/>
      <c r="E39" s="94">
        <v>0</v>
      </c>
    </row>
    <row r="40" spans="1:5" x14ac:dyDescent="0.25">
      <c r="A40" s="93">
        <v>33</v>
      </c>
      <c r="B40" s="94">
        <v>34.51</v>
      </c>
      <c r="C40" s="94">
        <v>2.96</v>
      </c>
      <c r="D40" s="94"/>
      <c r="E40" s="94">
        <v>0</v>
      </c>
    </row>
    <row r="41" spans="1:5" x14ac:dyDescent="0.25">
      <c r="A41" s="93">
        <v>34</v>
      </c>
      <c r="B41" s="94">
        <v>34.08</v>
      </c>
      <c r="C41" s="94">
        <v>3</v>
      </c>
      <c r="D41" s="94"/>
      <c r="E41" s="94">
        <v>0</v>
      </c>
    </row>
    <row r="42" spans="1:5" x14ac:dyDescent="0.25">
      <c r="A42" s="93">
        <v>35</v>
      </c>
      <c r="B42" s="94">
        <v>33.630000000000003</v>
      </c>
      <c r="C42" s="94">
        <v>3.04</v>
      </c>
      <c r="D42" s="94"/>
      <c r="E42" s="94">
        <v>0</v>
      </c>
    </row>
    <row r="43" spans="1:5" x14ac:dyDescent="0.25">
      <c r="A43" s="93">
        <v>36</v>
      </c>
      <c r="B43" s="94">
        <v>33.18</v>
      </c>
      <c r="C43" s="94">
        <v>3.08</v>
      </c>
      <c r="D43" s="94"/>
      <c r="E43" s="94">
        <v>0</v>
      </c>
    </row>
    <row r="44" spans="1:5" x14ac:dyDescent="0.25">
      <c r="A44" s="93">
        <v>37</v>
      </c>
      <c r="B44" s="94">
        <v>32.72</v>
      </c>
      <c r="C44" s="94">
        <v>3.12</v>
      </c>
      <c r="D44" s="94"/>
      <c r="E44" s="94">
        <v>0</v>
      </c>
    </row>
    <row r="45" spans="1:5" x14ac:dyDescent="0.25">
      <c r="A45" s="93">
        <v>38</v>
      </c>
      <c r="B45" s="94">
        <v>32.26</v>
      </c>
      <c r="C45" s="94">
        <v>3.16</v>
      </c>
      <c r="D45" s="94"/>
      <c r="E45" s="94">
        <v>0</v>
      </c>
    </row>
    <row r="46" spans="1:5" x14ac:dyDescent="0.25">
      <c r="A46" s="93">
        <v>39</v>
      </c>
      <c r="B46" s="94">
        <v>31.79</v>
      </c>
      <c r="C46" s="94">
        <v>3.2</v>
      </c>
      <c r="D46" s="94"/>
      <c r="E46" s="94">
        <v>0</v>
      </c>
    </row>
    <row r="47" spans="1:5" x14ac:dyDescent="0.25">
      <c r="A47" s="93">
        <v>40</v>
      </c>
      <c r="B47" s="94">
        <v>31.31</v>
      </c>
      <c r="C47" s="94">
        <v>3.24</v>
      </c>
      <c r="D47" s="94"/>
      <c r="E47" s="94">
        <v>0</v>
      </c>
    </row>
    <row r="48" spans="1:5" x14ac:dyDescent="0.25">
      <c r="A48" s="93">
        <v>41</v>
      </c>
      <c r="B48" s="94">
        <v>30.82</v>
      </c>
      <c r="C48" s="94">
        <v>3.27</v>
      </c>
      <c r="D48" s="94"/>
      <c r="E48" s="94">
        <v>0</v>
      </c>
    </row>
    <row r="49" spans="1:5" x14ac:dyDescent="0.25">
      <c r="A49" s="93">
        <v>42</v>
      </c>
      <c r="B49" s="94">
        <v>30.33</v>
      </c>
      <c r="C49" s="94">
        <v>3.31</v>
      </c>
      <c r="D49" s="94"/>
      <c r="E49" s="94">
        <v>0</v>
      </c>
    </row>
    <row r="50" spans="1:5" x14ac:dyDescent="0.25">
      <c r="A50" s="93">
        <v>43</v>
      </c>
      <c r="B50" s="94">
        <v>29.83</v>
      </c>
      <c r="C50" s="94">
        <v>3.35</v>
      </c>
      <c r="D50" s="94"/>
      <c r="E50" s="94">
        <v>0</v>
      </c>
    </row>
    <row r="51" spans="1:5" x14ac:dyDescent="0.25">
      <c r="A51" s="93">
        <v>44</v>
      </c>
      <c r="B51" s="94">
        <v>29.33</v>
      </c>
      <c r="C51" s="94">
        <v>3.38</v>
      </c>
      <c r="D51" s="94"/>
      <c r="E51" s="94">
        <v>0</v>
      </c>
    </row>
    <row r="52" spans="1:5" x14ac:dyDescent="0.25">
      <c r="A52" s="93">
        <v>45</v>
      </c>
      <c r="B52" s="94">
        <v>28.82</v>
      </c>
      <c r="C52" s="94">
        <v>3.42</v>
      </c>
      <c r="D52" s="94"/>
      <c r="E52" s="94">
        <v>0</v>
      </c>
    </row>
    <row r="53" spans="1:5" x14ac:dyDescent="0.25">
      <c r="A53" s="93">
        <v>46</v>
      </c>
      <c r="B53" s="94">
        <v>28.3</v>
      </c>
      <c r="C53" s="94">
        <v>3.45</v>
      </c>
      <c r="D53" s="94"/>
      <c r="E53" s="94">
        <v>0</v>
      </c>
    </row>
    <row r="54" spans="1:5" x14ac:dyDescent="0.25">
      <c r="A54" s="93">
        <v>47</v>
      </c>
      <c r="B54" s="94">
        <v>27.78</v>
      </c>
      <c r="C54" s="94">
        <v>3.48</v>
      </c>
      <c r="D54" s="94"/>
      <c r="E54" s="94">
        <v>0</v>
      </c>
    </row>
    <row r="55" spans="1:5" x14ac:dyDescent="0.25">
      <c r="A55" s="93">
        <v>48</v>
      </c>
      <c r="B55" s="94">
        <v>27.25</v>
      </c>
      <c r="C55" s="94">
        <v>3.51</v>
      </c>
      <c r="D55" s="94"/>
      <c r="E55" s="94">
        <v>0</v>
      </c>
    </row>
    <row r="56" spans="1:5" x14ac:dyDescent="0.25">
      <c r="A56" s="93">
        <v>49</v>
      </c>
      <c r="B56" s="94">
        <v>26.71</v>
      </c>
      <c r="C56" s="94">
        <v>3.55</v>
      </c>
      <c r="D56" s="94"/>
      <c r="E56" s="94">
        <v>0</v>
      </c>
    </row>
    <row r="57" spans="1:5" x14ac:dyDescent="0.25">
      <c r="A57" s="93">
        <v>50</v>
      </c>
      <c r="B57" s="94">
        <v>26.16</v>
      </c>
      <c r="C57" s="94">
        <v>3.58</v>
      </c>
      <c r="D57" s="94"/>
      <c r="E57" s="94">
        <v>0</v>
      </c>
    </row>
    <row r="58" spans="1:5" x14ac:dyDescent="0.25">
      <c r="A58" s="93">
        <v>51</v>
      </c>
      <c r="B58" s="94">
        <v>25.61</v>
      </c>
      <c r="C58" s="94">
        <v>3.61</v>
      </c>
      <c r="D58" s="94"/>
      <c r="E58" s="94">
        <v>0</v>
      </c>
    </row>
    <row r="59" spans="1:5" x14ac:dyDescent="0.25">
      <c r="A59" s="93">
        <v>52</v>
      </c>
      <c r="B59" s="94">
        <v>25.05</v>
      </c>
      <c r="C59" s="94">
        <v>3.64</v>
      </c>
      <c r="D59" s="94"/>
      <c r="E59" s="94">
        <v>0</v>
      </c>
    </row>
    <row r="60" spans="1:5" x14ac:dyDescent="0.25">
      <c r="A60" s="93">
        <v>53</v>
      </c>
      <c r="B60" s="94">
        <v>24.48</v>
      </c>
      <c r="C60" s="94">
        <v>3.67</v>
      </c>
      <c r="D60" s="94"/>
      <c r="E60" s="94">
        <v>0</v>
      </c>
    </row>
    <row r="61" spans="1:5" x14ac:dyDescent="0.25">
      <c r="A61" s="93">
        <v>54</v>
      </c>
      <c r="B61" s="94">
        <v>23.91</v>
      </c>
      <c r="C61" s="94">
        <v>3.69</v>
      </c>
      <c r="D61" s="94"/>
      <c r="E61" s="94">
        <v>0</v>
      </c>
    </row>
    <row r="62" spans="1:5" x14ac:dyDescent="0.25">
      <c r="A62" s="93">
        <v>55</v>
      </c>
      <c r="B62" s="94">
        <v>23.33</v>
      </c>
      <c r="C62" s="94">
        <v>3.72</v>
      </c>
      <c r="D62" s="94"/>
      <c r="E62" s="94">
        <v>0</v>
      </c>
    </row>
    <row r="63" spans="1:5" x14ac:dyDescent="0.25">
      <c r="A63" s="93">
        <v>56</v>
      </c>
      <c r="B63" s="94">
        <v>22.74</v>
      </c>
      <c r="C63" s="94">
        <v>3.75</v>
      </c>
      <c r="D63" s="94"/>
      <c r="E63" s="94">
        <v>0</v>
      </c>
    </row>
    <row r="64" spans="1:5" x14ac:dyDescent="0.25">
      <c r="A64" s="93">
        <v>57</v>
      </c>
      <c r="B64" s="94">
        <v>22.14</v>
      </c>
      <c r="C64" s="94">
        <v>3.77</v>
      </c>
      <c r="D64" s="94"/>
      <c r="E64" s="94">
        <v>0</v>
      </c>
    </row>
    <row r="65" spans="1:5" x14ac:dyDescent="0.25">
      <c r="A65" s="93">
        <v>58</v>
      </c>
      <c r="B65" s="94">
        <v>21.54</v>
      </c>
      <c r="C65" s="94">
        <v>3.8</v>
      </c>
      <c r="D65" s="94"/>
      <c r="E65" s="94">
        <v>0</v>
      </c>
    </row>
    <row r="66" spans="1:5" x14ac:dyDescent="0.25">
      <c r="A66" s="93">
        <v>59</v>
      </c>
      <c r="B66" s="94">
        <v>20.93</v>
      </c>
      <c r="C66" s="94">
        <v>3.82</v>
      </c>
      <c r="D66" s="94"/>
      <c r="E66" s="94">
        <v>0</v>
      </c>
    </row>
    <row r="67" spans="1:5" x14ac:dyDescent="0.25">
      <c r="A67" s="93">
        <v>60</v>
      </c>
      <c r="B67" s="94">
        <v>20.32</v>
      </c>
      <c r="C67" s="94">
        <v>3.84</v>
      </c>
      <c r="D67" s="94"/>
      <c r="E67" s="94">
        <v>0</v>
      </c>
    </row>
    <row r="68" spans="1:5" x14ac:dyDescent="0.25">
      <c r="A68" s="93">
        <v>61</v>
      </c>
      <c r="B68" s="94">
        <v>19.7</v>
      </c>
      <c r="C68" s="94">
        <v>3.86</v>
      </c>
      <c r="D68" s="94"/>
      <c r="E68" s="94">
        <v>0</v>
      </c>
    </row>
    <row r="69" spans="1:5" x14ac:dyDescent="0.25">
      <c r="A69" s="93">
        <v>62</v>
      </c>
      <c r="B69" s="94">
        <v>19.079999999999998</v>
      </c>
      <c r="C69" s="94">
        <v>3.87</v>
      </c>
      <c r="D69" s="94"/>
      <c r="E69" s="94">
        <v>0</v>
      </c>
    </row>
    <row r="70" spans="1:5" x14ac:dyDescent="0.25">
      <c r="A70" s="93">
        <v>63</v>
      </c>
      <c r="B70" s="94">
        <v>18.46</v>
      </c>
      <c r="C70" s="94">
        <v>3.88</v>
      </c>
      <c r="D70" s="94"/>
      <c r="E70" s="94">
        <v>0</v>
      </c>
    </row>
    <row r="71" spans="1:5" x14ac:dyDescent="0.25">
      <c r="A71" s="93">
        <v>64</v>
      </c>
      <c r="B71" s="94">
        <v>17.829999999999998</v>
      </c>
      <c r="C71" s="94">
        <v>3.89</v>
      </c>
      <c r="D71" s="94"/>
      <c r="E71" s="94">
        <v>0</v>
      </c>
    </row>
    <row r="72" spans="1:5" x14ac:dyDescent="0.25">
      <c r="A72" s="93">
        <v>65</v>
      </c>
      <c r="B72" s="94">
        <v>17.2</v>
      </c>
      <c r="C72" s="94">
        <v>3.89</v>
      </c>
      <c r="D72" s="94"/>
      <c r="E72" s="94"/>
    </row>
    <row r="73" spans="1:5" x14ac:dyDescent="0.25">
      <c r="A73" s="93">
        <v>66</v>
      </c>
      <c r="B73" s="94">
        <v>16.57</v>
      </c>
      <c r="C73" s="94">
        <v>3.89</v>
      </c>
      <c r="D73" s="94"/>
      <c r="E73" s="94"/>
    </row>
    <row r="74" spans="1:5" x14ac:dyDescent="0.25">
      <c r="A74" s="93">
        <v>67</v>
      </c>
      <c r="B74" s="94">
        <v>15.94</v>
      </c>
      <c r="C74" s="94">
        <v>3.89</v>
      </c>
      <c r="D74" s="94"/>
      <c r="E74" s="94"/>
    </row>
    <row r="75" spans="1:5" x14ac:dyDescent="0.25">
      <c r="A75" s="93">
        <v>68</v>
      </c>
      <c r="B75" s="94">
        <v>15.31</v>
      </c>
      <c r="C75" s="94">
        <v>3.88</v>
      </c>
      <c r="D75" s="94"/>
      <c r="E75" s="94"/>
    </row>
    <row r="76" spans="1:5" x14ac:dyDescent="0.25">
      <c r="A76" s="93">
        <v>69</v>
      </c>
      <c r="B76" s="94">
        <v>14.67</v>
      </c>
      <c r="C76" s="94">
        <v>3.86</v>
      </c>
      <c r="D76" s="94">
        <v>2.82</v>
      </c>
      <c r="E76" s="94"/>
    </row>
    <row r="77" spans="1:5" x14ac:dyDescent="0.25">
      <c r="A77" s="93">
        <v>70</v>
      </c>
      <c r="B77" s="94">
        <v>14.04</v>
      </c>
      <c r="C77" s="94">
        <v>3.84</v>
      </c>
      <c r="D77" s="94">
        <v>2.62</v>
      </c>
      <c r="E77" s="94"/>
    </row>
    <row r="78" spans="1:5" x14ac:dyDescent="0.25">
      <c r="A78" s="93">
        <v>71</v>
      </c>
      <c r="B78" s="94">
        <v>13.42</v>
      </c>
      <c r="C78" s="94">
        <v>3.82</v>
      </c>
      <c r="D78" s="94">
        <v>2.42</v>
      </c>
      <c r="E78" s="94"/>
    </row>
    <row r="79" spans="1:5" x14ac:dyDescent="0.25">
      <c r="A79" s="93">
        <v>72</v>
      </c>
      <c r="B79" s="94">
        <v>12.79</v>
      </c>
      <c r="C79" s="94">
        <v>3.79</v>
      </c>
      <c r="D79" s="94">
        <v>2.23</v>
      </c>
      <c r="E79" s="94"/>
    </row>
    <row r="80" spans="1:5" x14ac:dyDescent="0.25">
      <c r="A80" s="93">
        <v>73</v>
      </c>
      <c r="B80" s="94">
        <v>12.17</v>
      </c>
      <c r="C80" s="94">
        <v>3.75</v>
      </c>
      <c r="D80" s="94">
        <v>2.0499999999999998</v>
      </c>
      <c r="E80" s="94"/>
    </row>
    <row r="81" spans="1:5" x14ac:dyDescent="0.25">
      <c r="A81" s="93">
        <v>74</v>
      </c>
      <c r="B81" s="94">
        <v>11.56</v>
      </c>
      <c r="C81" s="94">
        <v>3.61</v>
      </c>
      <c r="D81" s="94">
        <v>1.88</v>
      </c>
      <c r="E81" s="94"/>
    </row>
    <row r="82" spans="1:5" x14ac:dyDescent="0.25">
      <c r="A82" s="93">
        <v>75</v>
      </c>
      <c r="B82" s="94">
        <v>10.95</v>
      </c>
      <c r="C82" s="94">
        <v>3.47</v>
      </c>
      <c r="D82" s="94">
        <v>1.71</v>
      </c>
      <c r="E82" s="94"/>
    </row>
    <row r="83" spans="1:5" x14ac:dyDescent="0.25">
      <c r="A83" s="93">
        <v>76</v>
      </c>
      <c r="B83" s="94">
        <v>10.36</v>
      </c>
      <c r="C83" s="94">
        <v>3.41</v>
      </c>
      <c r="D83" s="94">
        <v>1.56</v>
      </c>
      <c r="E83" s="94"/>
    </row>
    <row r="84" spans="1:5" x14ac:dyDescent="0.25">
      <c r="A84" s="93">
        <v>77</v>
      </c>
      <c r="B84" s="94">
        <v>9.77</v>
      </c>
      <c r="C84" s="94">
        <v>3.35</v>
      </c>
      <c r="D84" s="94">
        <v>1.41</v>
      </c>
      <c r="E84" s="94"/>
    </row>
    <row r="85" spans="1:5" x14ac:dyDescent="0.25">
      <c r="A85" s="93">
        <v>78</v>
      </c>
      <c r="B85" s="94">
        <v>9.19</v>
      </c>
      <c r="C85" s="94">
        <v>3.29</v>
      </c>
      <c r="D85" s="94">
        <v>1.27</v>
      </c>
      <c r="E85" s="94"/>
    </row>
    <row r="86" spans="1:5" x14ac:dyDescent="0.25">
      <c r="A86" s="93">
        <v>79</v>
      </c>
      <c r="B86" s="94">
        <v>8.6300000000000008</v>
      </c>
      <c r="C86" s="94">
        <v>3.04</v>
      </c>
      <c r="D86" s="94">
        <v>1.1299999999999999</v>
      </c>
      <c r="E86" s="94"/>
    </row>
    <row r="87" spans="1:5" x14ac:dyDescent="0.25">
      <c r="A87" s="93">
        <v>80</v>
      </c>
      <c r="B87" s="94">
        <v>8.09</v>
      </c>
      <c r="C87" s="94">
        <v>2.78</v>
      </c>
      <c r="D87" s="94">
        <v>1.01</v>
      </c>
      <c r="E87" s="94"/>
    </row>
    <row r="88" spans="1:5" x14ac:dyDescent="0.25">
      <c r="A88" s="93">
        <v>81</v>
      </c>
      <c r="B88" s="94">
        <v>7.56</v>
      </c>
      <c r="C88" s="94">
        <v>2.7</v>
      </c>
      <c r="D88" s="94">
        <v>0.9</v>
      </c>
      <c r="E88" s="94"/>
    </row>
    <row r="89" spans="1:5" x14ac:dyDescent="0.25">
      <c r="A89" s="93">
        <v>82</v>
      </c>
      <c r="B89" s="94">
        <v>7.05</v>
      </c>
      <c r="C89" s="94">
        <v>2.61</v>
      </c>
      <c r="D89" s="94">
        <v>0.8</v>
      </c>
      <c r="E89" s="94"/>
    </row>
    <row r="90" spans="1:5" x14ac:dyDescent="0.25">
      <c r="A90" s="93">
        <v>83</v>
      </c>
      <c r="B90" s="94">
        <v>6.56</v>
      </c>
      <c r="C90" s="94">
        <v>2.52</v>
      </c>
      <c r="D90" s="94">
        <v>0.7</v>
      </c>
      <c r="E90" s="94"/>
    </row>
    <row r="91" spans="1:5" x14ac:dyDescent="0.25">
      <c r="A91" s="93">
        <v>84</v>
      </c>
      <c r="B91" s="94">
        <v>6.1</v>
      </c>
      <c r="C91" s="94">
        <v>2.2000000000000002</v>
      </c>
      <c r="D91" s="94">
        <v>0.61</v>
      </c>
      <c r="E91" s="94"/>
    </row>
    <row r="92" spans="1:5" x14ac:dyDescent="0.25">
      <c r="A92" s="93">
        <v>85</v>
      </c>
      <c r="B92" s="94">
        <v>5.65</v>
      </c>
      <c r="C92" s="94">
        <v>1.88</v>
      </c>
      <c r="D92" s="94">
        <v>0.54</v>
      </c>
      <c r="E92" s="94"/>
    </row>
  </sheetData>
  <sheetProtection algorithmName="SHA-512" hashValue="ALNEG59Cn/Pph4ulCgItjIIP3kDy1lVdxHCr44VTXub2gA5nFncdPI8DZiVh0jFTsUbbGTvtSHyExAYve1CfIw==" saltValue="l8bEZebtVX2zivskPbov8g==" spinCount="100000" sheet="1" objects="1" scenarios="1"/>
  <conditionalFormatting sqref="A6:A21">
    <cfRule type="expression" dxfId="769" priority="21" stopIfTrue="1">
      <formula>MOD(ROW(),2)=0</formula>
    </cfRule>
    <cfRule type="expression" dxfId="768" priority="22" stopIfTrue="1">
      <formula>MOD(ROW(),2)&lt;&gt;0</formula>
    </cfRule>
  </conditionalFormatting>
  <conditionalFormatting sqref="A26:A92">
    <cfRule type="expression" dxfId="767" priority="7" stopIfTrue="1">
      <formula>MOD(ROW(),2)=0</formula>
    </cfRule>
    <cfRule type="expression" dxfId="766" priority="8" stopIfTrue="1">
      <formula>MOD(ROW(),2)&lt;&gt;0</formula>
    </cfRule>
  </conditionalFormatting>
  <conditionalFormatting sqref="B17:B19">
    <cfRule type="expression" dxfId="765" priority="1" stopIfTrue="1">
      <formula>MOD(ROW(),2)=0</formula>
    </cfRule>
  </conditionalFormatting>
  <conditionalFormatting sqref="B18:B19">
    <cfRule type="expression" dxfId="764" priority="2" stopIfTrue="1">
      <formula>MOD(ROW(),2)&lt;&gt;0</formula>
    </cfRule>
  </conditionalFormatting>
  <conditionalFormatting sqref="B6:E6 C7:E7 C18:E19 B20:E21">
    <cfRule type="expression" dxfId="763" priority="33" stopIfTrue="1">
      <formula>MOD(ROW(),2)=0</formula>
    </cfRule>
    <cfRule type="expression" dxfId="762" priority="34" stopIfTrue="1">
      <formula>MOD(ROW(),2)&lt;&gt;0</formula>
    </cfRule>
  </conditionalFormatting>
  <conditionalFormatting sqref="B6:E21">
    <cfRule type="expression" dxfId="761" priority="23" stopIfTrue="1">
      <formula>MOD(ROW(),2)=0</formula>
    </cfRule>
    <cfRule type="expression" dxfId="760" priority="24" stopIfTrue="1">
      <formula>MOD(ROW(),2)&lt;&gt;0</formula>
    </cfRule>
  </conditionalFormatting>
  <conditionalFormatting sqref="B8:E16">
    <cfRule type="expression" dxfId="759" priority="25" stopIfTrue="1">
      <formula>MOD(ROW(),2)=0</formula>
    </cfRule>
    <cfRule type="expression" dxfId="758" priority="26" stopIfTrue="1">
      <formula>MOD(ROW(),2)&lt;&gt;0</formula>
    </cfRule>
  </conditionalFormatting>
  <conditionalFormatting sqref="B17:E17">
    <cfRule type="expression" dxfId="757" priority="4" stopIfTrue="1">
      <formula>MOD(ROW(),2)&lt;&gt;0</formula>
    </cfRule>
  </conditionalFormatting>
  <conditionalFormatting sqref="B26:E92">
    <cfRule type="expression" dxfId="756" priority="9" stopIfTrue="1">
      <formula>MOD(ROW(),2)=0</formula>
    </cfRule>
    <cfRule type="expression" dxfId="755" priority="10" stopIfTrue="1">
      <formula>MOD(ROW(),2)&lt;&gt;0</formula>
    </cfRule>
  </conditionalFormatting>
  <conditionalFormatting sqref="C17:E17">
    <cfRule type="expression" dxfId="754"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9"/>
  <sheetViews>
    <sheetView showGridLines="0" zoomScale="85" zoomScaleNormal="85" workbookViewId="0">
      <selection activeCell="B6" sqref="B6:D21"/>
    </sheetView>
  </sheetViews>
  <sheetFormatPr defaultRowHeight="13.2" x14ac:dyDescent="0.25"/>
  <sheetData>
    <row r="1" spans="1:13" ht="21" x14ac:dyDescent="0.4">
      <c r="A1" s="4" t="s">
        <v>227</v>
      </c>
      <c r="B1" s="4"/>
      <c r="C1" s="4"/>
      <c r="D1" s="4"/>
      <c r="E1" s="4"/>
      <c r="F1" s="4"/>
      <c r="G1" s="4"/>
      <c r="H1" s="4"/>
      <c r="I1" s="4"/>
      <c r="J1" s="4"/>
      <c r="K1" s="4"/>
      <c r="L1" s="4"/>
    </row>
    <row r="2" spans="1:13"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3" ht="15.6" x14ac:dyDescent="0.3">
      <c r="A3" s="6" t="s">
        <v>258</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uploaded/2025-03/[Fire W Consolidated Factors 2025-02.xlsx]Purpose of spreadsheet</v>
      </c>
      <c r="B4" s="7"/>
    </row>
    <row r="5" spans="1:13" x14ac:dyDescent="0.25">
      <c r="E5" s="8"/>
      <c r="F5" s="8"/>
      <c r="G5" s="8"/>
    </row>
    <row r="7" spans="1:13" ht="23.25" customHeight="1" x14ac:dyDescent="0.3">
      <c r="A7" s="157" t="s">
        <v>259</v>
      </c>
      <c r="B7" s="158"/>
      <c r="C7" s="158"/>
      <c r="D7" s="158"/>
      <c r="E7" s="158"/>
      <c r="F7" s="158"/>
      <c r="G7" s="158"/>
      <c r="H7" s="158"/>
      <c r="I7" s="158"/>
      <c r="J7" s="158"/>
      <c r="K7" s="158"/>
      <c r="L7" s="158"/>
      <c r="M7" s="159"/>
    </row>
    <row r="8" spans="1:13" x14ac:dyDescent="0.25">
      <c r="A8" s="29"/>
      <c r="M8" s="18"/>
    </row>
    <row r="9" spans="1:13" x14ac:dyDescent="0.25">
      <c r="A9" s="160" t="s">
        <v>260</v>
      </c>
      <c r="B9" s="161"/>
      <c r="C9" s="161"/>
      <c r="D9" s="161"/>
      <c r="E9" s="161"/>
      <c r="F9" s="161"/>
      <c r="G9" s="161"/>
      <c r="H9" s="161"/>
      <c r="I9" s="161"/>
      <c r="J9" s="161"/>
      <c r="K9" s="161"/>
      <c r="L9" s="161"/>
      <c r="M9" s="162"/>
    </row>
    <row r="10" spans="1:13" ht="22.5" customHeight="1" x14ac:dyDescent="0.25">
      <c r="A10" s="163"/>
      <c r="B10" s="161"/>
      <c r="C10" s="161"/>
      <c r="D10" s="161"/>
      <c r="E10" s="161"/>
      <c r="F10" s="161"/>
      <c r="G10" s="161"/>
      <c r="H10" s="161"/>
      <c r="I10" s="161"/>
      <c r="J10" s="161"/>
      <c r="K10" s="161"/>
      <c r="L10" s="161"/>
      <c r="M10" s="162"/>
    </row>
    <row r="11" spans="1:13" ht="31.5" customHeight="1" x14ac:dyDescent="0.25">
      <c r="A11" s="163"/>
      <c r="B11" s="161"/>
      <c r="C11" s="161"/>
      <c r="D11" s="161"/>
      <c r="E11" s="161"/>
      <c r="F11" s="161"/>
      <c r="G11" s="161"/>
      <c r="H11" s="161"/>
      <c r="I11" s="161"/>
      <c r="J11" s="161"/>
      <c r="K11" s="161"/>
      <c r="L11" s="161"/>
      <c r="M11" s="162"/>
    </row>
    <row r="12" spans="1:13" ht="125.25" customHeight="1" x14ac:dyDescent="0.25">
      <c r="A12" s="164"/>
      <c r="B12" s="165"/>
      <c r="C12" s="165"/>
      <c r="D12" s="165"/>
      <c r="E12" s="165"/>
      <c r="F12" s="165"/>
      <c r="G12" s="165"/>
      <c r="H12" s="165"/>
      <c r="I12" s="165"/>
      <c r="J12" s="165"/>
      <c r="K12" s="165"/>
      <c r="L12" s="165"/>
      <c r="M12" s="166"/>
    </row>
    <row r="19" spans="2:2" x14ac:dyDescent="0.25">
      <c r="B19" s="8"/>
    </row>
  </sheetData>
  <sheetProtection algorithmName="SHA-512" hashValue="m63IDogqDxSuewhtuW00iaTfHlJMGdp9JRAMuxWk0kMQj4ss2hcvRvJ279PXrwGp0jpj5yLfWCo4HILWprjkfQ==" saltValue="FsmYnu/wIKidGXFQdyQzyw=="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x-305</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2007</v>
      </c>
      <c r="C8" s="110"/>
      <c r="D8" s="110"/>
    </row>
    <row r="9" spans="1:9" x14ac:dyDescent="0.25">
      <c r="A9" s="73" t="s">
        <v>307</v>
      </c>
      <c r="B9" s="110" t="s">
        <v>368</v>
      </c>
      <c r="C9" s="110"/>
      <c r="D9" s="110"/>
    </row>
    <row r="10" spans="1:9" ht="25.2" customHeight="1" x14ac:dyDescent="0.25">
      <c r="A10" s="73" t="s">
        <v>233</v>
      </c>
      <c r="B10" s="110" t="s">
        <v>369</v>
      </c>
      <c r="C10" s="110"/>
      <c r="D10" s="110"/>
    </row>
    <row r="11" spans="1:9" x14ac:dyDescent="0.25">
      <c r="A11" s="73" t="s">
        <v>308</v>
      </c>
      <c r="B11" s="110" t="s">
        <v>322</v>
      </c>
      <c r="C11" s="110"/>
      <c r="D11" s="110"/>
    </row>
    <row r="12" spans="1:9" ht="12.6" customHeight="1" x14ac:dyDescent="0.25">
      <c r="A12" s="73" t="s">
        <v>309</v>
      </c>
      <c r="B12" s="110" t="s">
        <v>323</v>
      </c>
      <c r="C12" s="110"/>
      <c r="D12" s="110"/>
    </row>
    <row r="13" spans="1:9" ht="12.6" customHeight="1" x14ac:dyDescent="0.25">
      <c r="A13" s="73" t="s">
        <v>566</v>
      </c>
      <c r="B13" s="110">
        <v>1</v>
      </c>
      <c r="C13" s="110"/>
      <c r="D13" s="110"/>
    </row>
    <row r="14" spans="1:9" ht="12.6" customHeight="1" x14ac:dyDescent="0.25">
      <c r="A14" s="73" t="s">
        <v>311</v>
      </c>
      <c r="B14" s="110">
        <v>305</v>
      </c>
      <c r="C14" s="110"/>
      <c r="D14" s="110"/>
    </row>
    <row r="15" spans="1:9" x14ac:dyDescent="0.25">
      <c r="A15" s="73" t="s">
        <v>569</v>
      </c>
      <c r="B15" s="110" t="s">
        <v>379</v>
      </c>
      <c r="C15" s="110"/>
      <c r="D15" s="110"/>
    </row>
    <row r="16" spans="1:9" x14ac:dyDescent="0.25">
      <c r="A16" s="73" t="s">
        <v>313</v>
      </c>
      <c r="B16" s="110" t="s">
        <v>371</v>
      </c>
      <c r="C16" s="110"/>
      <c r="D16" s="110"/>
    </row>
    <row r="17" spans="1:4" ht="68.099999999999994"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8.1" customHeight="1" x14ac:dyDescent="0.25">
      <c r="A26" s="92" t="s">
        <v>640</v>
      </c>
      <c r="B26" s="92" t="s">
        <v>649</v>
      </c>
      <c r="C26" s="92" t="s">
        <v>657</v>
      </c>
      <c r="D26" s="92" t="s">
        <v>652</v>
      </c>
    </row>
    <row r="27" spans="1:4" x14ac:dyDescent="0.25">
      <c r="A27" s="93">
        <v>55</v>
      </c>
      <c r="B27" s="94">
        <v>23.37</v>
      </c>
      <c r="C27" s="94">
        <v>3.97</v>
      </c>
      <c r="D27" s="94"/>
    </row>
    <row r="28" spans="1:4" x14ac:dyDescent="0.25">
      <c r="A28" s="93">
        <v>56</v>
      </c>
      <c r="B28" s="94">
        <v>22.78</v>
      </c>
      <c r="C28" s="94">
        <v>4</v>
      </c>
      <c r="D28" s="94"/>
    </row>
    <row r="29" spans="1:4" x14ac:dyDescent="0.25">
      <c r="A29" s="93">
        <v>57</v>
      </c>
      <c r="B29" s="94">
        <v>22.19</v>
      </c>
      <c r="C29" s="94">
        <v>4.0199999999999996</v>
      </c>
      <c r="D29" s="94"/>
    </row>
    <row r="30" spans="1:4" x14ac:dyDescent="0.25">
      <c r="A30" s="93">
        <v>58</v>
      </c>
      <c r="B30" s="94">
        <v>21.6</v>
      </c>
      <c r="C30" s="94">
        <v>4.05</v>
      </c>
      <c r="D30" s="94"/>
    </row>
    <row r="31" spans="1:4" x14ac:dyDescent="0.25">
      <c r="A31" s="93">
        <v>59</v>
      </c>
      <c r="B31" s="94">
        <v>20.99</v>
      </c>
      <c r="C31" s="94">
        <v>4.07</v>
      </c>
      <c r="D31" s="94"/>
    </row>
    <row r="32" spans="1:4" x14ac:dyDescent="0.25">
      <c r="A32" s="93">
        <v>60</v>
      </c>
      <c r="B32" s="94">
        <v>20.37</v>
      </c>
      <c r="C32" s="94">
        <v>4.09</v>
      </c>
      <c r="D32" s="94"/>
    </row>
    <row r="33" spans="1:4" x14ac:dyDescent="0.25">
      <c r="A33" s="93">
        <v>61</v>
      </c>
      <c r="B33" s="94">
        <v>19.739999999999998</v>
      </c>
      <c r="C33" s="94">
        <v>4.1100000000000003</v>
      </c>
      <c r="D33" s="94"/>
    </row>
    <row r="34" spans="1:4" x14ac:dyDescent="0.25">
      <c r="A34" s="93">
        <v>62</v>
      </c>
      <c r="B34" s="94">
        <v>19.100000000000001</v>
      </c>
      <c r="C34" s="94">
        <v>4.13</v>
      </c>
      <c r="D34" s="94"/>
    </row>
    <row r="35" spans="1:4" x14ac:dyDescent="0.25">
      <c r="A35" s="93">
        <v>63</v>
      </c>
      <c r="B35" s="94">
        <v>18.46</v>
      </c>
      <c r="C35" s="94">
        <v>4.1399999999999997</v>
      </c>
      <c r="D35" s="94"/>
    </row>
    <row r="36" spans="1:4" x14ac:dyDescent="0.25">
      <c r="A36" s="93">
        <v>64</v>
      </c>
      <c r="B36" s="94">
        <v>17.829999999999998</v>
      </c>
      <c r="C36" s="94">
        <v>4.1500000000000004</v>
      </c>
      <c r="D36" s="94"/>
    </row>
    <row r="37" spans="1:4" x14ac:dyDescent="0.25">
      <c r="A37" s="93">
        <v>65</v>
      </c>
      <c r="B37" s="94">
        <v>17.2</v>
      </c>
      <c r="C37" s="94">
        <v>4.1500000000000004</v>
      </c>
      <c r="D37" s="94"/>
    </row>
    <row r="38" spans="1:4" x14ac:dyDescent="0.25">
      <c r="A38" s="93">
        <v>66</v>
      </c>
      <c r="B38" s="94">
        <v>16.57</v>
      </c>
      <c r="C38" s="94">
        <v>4.1500000000000004</v>
      </c>
      <c r="D38" s="94"/>
    </row>
    <row r="39" spans="1:4" x14ac:dyDescent="0.25">
      <c r="A39" s="93">
        <v>67</v>
      </c>
      <c r="B39" s="94">
        <v>15.94</v>
      </c>
      <c r="C39" s="94">
        <v>4.1500000000000004</v>
      </c>
      <c r="D39" s="94"/>
    </row>
    <row r="40" spans="1:4" x14ac:dyDescent="0.25">
      <c r="A40" s="93">
        <v>68</v>
      </c>
      <c r="B40" s="94">
        <v>15.31</v>
      </c>
      <c r="C40" s="94">
        <v>4.1399999999999997</v>
      </c>
      <c r="D40" s="94"/>
    </row>
    <row r="41" spans="1:4" x14ac:dyDescent="0.25">
      <c r="A41" s="93">
        <v>69</v>
      </c>
      <c r="B41" s="94">
        <v>14.67</v>
      </c>
      <c r="C41" s="94">
        <v>4.07</v>
      </c>
      <c r="D41" s="94">
        <v>3.01</v>
      </c>
    </row>
    <row r="42" spans="1:4" x14ac:dyDescent="0.25">
      <c r="A42" s="93">
        <v>70</v>
      </c>
      <c r="B42" s="94">
        <v>14.04</v>
      </c>
      <c r="C42" s="94">
        <v>4</v>
      </c>
      <c r="D42" s="94">
        <v>2.8</v>
      </c>
    </row>
    <row r="43" spans="1:4" x14ac:dyDescent="0.25">
      <c r="A43" s="93">
        <v>71</v>
      </c>
      <c r="B43" s="94">
        <v>13.42</v>
      </c>
      <c r="C43" s="94">
        <v>3.97</v>
      </c>
      <c r="D43" s="94">
        <v>2.6</v>
      </c>
    </row>
    <row r="44" spans="1:4" x14ac:dyDescent="0.25">
      <c r="A44" s="93">
        <v>72</v>
      </c>
      <c r="B44" s="94">
        <v>12.79</v>
      </c>
      <c r="C44" s="94">
        <v>3.94</v>
      </c>
      <c r="D44" s="94">
        <v>2.41</v>
      </c>
    </row>
    <row r="45" spans="1:4" x14ac:dyDescent="0.25">
      <c r="A45" s="93">
        <v>73</v>
      </c>
      <c r="B45" s="94">
        <v>12.17</v>
      </c>
      <c r="C45" s="94">
        <v>3.9</v>
      </c>
      <c r="D45" s="94">
        <v>2.23</v>
      </c>
    </row>
    <row r="46" spans="1:4" x14ac:dyDescent="0.25">
      <c r="A46" s="93">
        <v>74</v>
      </c>
      <c r="B46" s="94">
        <v>11.56</v>
      </c>
      <c r="C46" s="94">
        <v>3.74</v>
      </c>
      <c r="D46" s="94">
        <v>2.04</v>
      </c>
    </row>
    <row r="47" spans="1:4" x14ac:dyDescent="0.25">
      <c r="A47" s="93">
        <v>75</v>
      </c>
      <c r="B47" s="94">
        <v>10.95</v>
      </c>
      <c r="C47" s="94">
        <v>3.56</v>
      </c>
      <c r="D47" s="94">
        <v>1.86</v>
      </c>
    </row>
    <row r="48" spans="1:4" x14ac:dyDescent="0.25">
      <c r="A48" s="93">
        <v>76</v>
      </c>
      <c r="B48" s="94">
        <v>10.36</v>
      </c>
      <c r="C48" s="94">
        <v>3.51</v>
      </c>
      <c r="D48" s="94">
        <v>1.7</v>
      </c>
    </row>
    <row r="49" spans="1:4" x14ac:dyDescent="0.25">
      <c r="A49" s="93">
        <v>77</v>
      </c>
      <c r="B49" s="94">
        <v>9.77</v>
      </c>
      <c r="C49" s="94">
        <v>3.45</v>
      </c>
      <c r="D49" s="94">
        <v>1.54</v>
      </c>
    </row>
    <row r="50" spans="1:4" x14ac:dyDescent="0.25">
      <c r="A50" s="93">
        <v>78</v>
      </c>
      <c r="B50" s="94">
        <v>9.19</v>
      </c>
      <c r="C50" s="94">
        <v>3.38</v>
      </c>
      <c r="D50" s="94">
        <v>1.4</v>
      </c>
    </row>
    <row r="51" spans="1:4" x14ac:dyDescent="0.25">
      <c r="A51" s="93">
        <v>79</v>
      </c>
      <c r="B51" s="94">
        <v>8.6300000000000008</v>
      </c>
      <c r="C51" s="94">
        <v>3.1</v>
      </c>
      <c r="D51" s="94">
        <v>1.25</v>
      </c>
    </row>
    <row r="52" spans="1:4" x14ac:dyDescent="0.25">
      <c r="A52" s="93">
        <v>80</v>
      </c>
      <c r="B52" s="94">
        <v>8.09</v>
      </c>
      <c r="C52" s="94">
        <v>2.82</v>
      </c>
      <c r="D52" s="94">
        <v>1.1100000000000001</v>
      </c>
    </row>
    <row r="53" spans="1:4" x14ac:dyDescent="0.25">
      <c r="A53" s="93">
        <v>81</v>
      </c>
      <c r="B53" s="94">
        <v>7.56</v>
      </c>
      <c r="C53" s="94">
        <v>2.74</v>
      </c>
      <c r="D53" s="94">
        <v>0.99</v>
      </c>
    </row>
    <row r="54" spans="1:4" x14ac:dyDescent="0.25">
      <c r="A54" s="93">
        <v>82</v>
      </c>
      <c r="B54" s="94">
        <v>7.05</v>
      </c>
      <c r="C54" s="94">
        <v>2.66</v>
      </c>
      <c r="D54" s="94">
        <v>0.88</v>
      </c>
    </row>
    <row r="55" spans="1:4" x14ac:dyDescent="0.25">
      <c r="A55" s="93">
        <v>83</v>
      </c>
      <c r="B55" s="94">
        <v>6.56</v>
      </c>
      <c r="C55" s="94">
        <v>2.56</v>
      </c>
      <c r="D55" s="94">
        <v>0.79</v>
      </c>
    </row>
    <row r="56" spans="1:4" x14ac:dyDescent="0.25">
      <c r="A56" s="93">
        <v>84</v>
      </c>
      <c r="B56" s="94">
        <v>6.1</v>
      </c>
      <c r="C56" s="94">
        <v>2.2400000000000002</v>
      </c>
      <c r="D56" s="94">
        <v>0.68</v>
      </c>
    </row>
    <row r="57" spans="1:4" x14ac:dyDescent="0.25">
      <c r="A57" s="93">
        <v>85</v>
      </c>
      <c r="B57" s="94">
        <v>5.65</v>
      </c>
      <c r="C57" s="94">
        <v>1.92</v>
      </c>
      <c r="D57" s="94">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tbhNLbi7YkZxpZvFxW1zFtftGgh645EK4X3sNN29JVvMf/NBt5dWM1NgqSEgzNZ/t0tIu7e7QcwO1eZlczy1QA==" saltValue="9t6Nyr101eNZee/p+9QtYQ==" spinCount="100000" sheet="1" objects="1" scenarios="1"/>
  <conditionalFormatting sqref="A6:A21">
    <cfRule type="expression" dxfId="753" priority="13" stopIfTrue="1">
      <formula>MOD(ROW(),2)=0</formula>
    </cfRule>
    <cfRule type="expression" dxfId="752" priority="14" stopIfTrue="1">
      <formula>MOD(ROW(),2)&lt;&gt;0</formula>
    </cfRule>
  </conditionalFormatting>
  <conditionalFormatting sqref="A26:A57">
    <cfRule type="expression" dxfId="751" priority="5" stopIfTrue="1">
      <formula>MOD(ROW(),2)=0</formula>
    </cfRule>
    <cfRule type="expression" dxfId="750" priority="6" stopIfTrue="1">
      <formula>MOD(ROW(),2)&lt;&gt;0</formula>
    </cfRule>
  </conditionalFormatting>
  <conditionalFormatting sqref="B19">
    <cfRule type="expression" dxfId="749" priority="1" stopIfTrue="1">
      <formula>MOD(ROW(),2)=0</formula>
    </cfRule>
    <cfRule type="expression" dxfId="748" priority="2" stopIfTrue="1">
      <formula>MOD(ROW(),2)&lt;&gt;0</formula>
    </cfRule>
  </conditionalFormatting>
  <conditionalFormatting sqref="B6:D6 C7:D7 C19:D19 B20:D21">
    <cfRule type="expression" dxfId="747" priority="25" stopIfTrue="1">
      <formula>MOD(ROW(),2)=0</formula>
    </cfRule>
    <cfRule type="expression" dxfId="746" priority="26" stopIfTrue="1">
      <formula>MOD(ROW(),2)&lt;&gt;0</formula>
    </cfRule>
  </conditionalFormatting>
  <conditionalFormatting sqref="B6:D21">
    <cfRule type="expression" dxfId="745" priority="15" stopIfTrue="1">
      <formula>MOD(ROW(),2)=0</formula>
    </cfRule>
    <cfRule type="expression" dxfId="744" priority="16" stopIfTrue="1">
      <formula>MOD(ROW(),2)&lt;&gt;0</formula>
    </cfRule>
  </conditionalFormatting>
  <conditionalFormatting sqref="B8:D16">
    <cfRule type="expression" dxfId="743" priority="17" stopIfTrue="1">
      <formula>MOD(ROW(),2)=0</formula>
    </cfRule>
    <cfRule type="expression" dxfId="742" priority="18" stopIfTrue="1">
      <formula>MOD(ROW(),2)&lt;&gt;0</formula>
    </cfRule>
  </conditionalFormatting>
  <conditionalFormatting sqref="B17:D18">
    <cfRule type="expression" dxfId="741" priority="3" stopIfTrue="1">
      <formula>MOD(ROW(),2)=0</formula>
    </cfRule>
    <cfRule type="expression" dxfId="740" priority="4" stopIfTrue="1">
      <formula>MOD(ROW(),2)&lt;&gt;0</formula>
    </cfRule>
  </conditionalFormatting>
  <conditionalFormatting sqref="B26:D57">
    <cfRule type="expression" dxfId="739" priority="7" stopIfTrue="1">
      <formula>MOD(ROW(),2)=0</formula>
    </cfRule>
    <cfRule type="expression" dxfId="738"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x-306</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2007</v>
      </c>
      <c r="C8" s="110"/>
      <c r="D8" s="110"/>
    </row>
    <row r="9" spans="1:9" x14ac:dyDescent="0.25">
      <c r="A9" s="73" t="s">
        <v>307</v>
      </c>
      <c r="B9" s="110" t="s">
        <v>368</v>
      </c>
      <c r="C9" s="110"/>
      <c r="D9" s="110"/>
    </row>
    <row r="10" spans="1:9" ht="25.2" customHeight="1" x14ac:dyDescent="0.25">
      <c r="A10" s="73" t="s">
        <v>233</v>
      </c>
      <c r="B10" s="110" t="s">
        <v>369</v>
      </c>
      <c r="C10" s="110"/>
      <c r="D10" s="110"/>
    </row>
    <row r="11" spans="1:9" x14ac:dyDescent="0.25">
      <c r="A11" s="73" t="s">
        <v>308</v>
      </c>
      <c r="B11" s="110" t="s">
        <v>328</v>
      </c>
      <c r="C11" s="110"/>
      <c r="D11" s="110"/>
    </row>
    <row r="12" spans="1:9" ht="12.6" customHeight="1" x14ac:dyDescent="0.25">
      <c r="A12" s="73" t="s">
        <v>309</v>
      </c>
      <c r="B12" s="110" t="s">
        <v>323</v>
      </c>
      <c r="C12" s="110"/>
      <c r="D12" s="110"/>
    </row>
    <row r="13" spans="1:9" ht="12.6" customHeight="1" x14ac:dyDescent="0.25">
      <c r="A13" s="73" t="s">
        <v>566</v>
      </c>
      <c r="B13" s="110">
        <v>1</v>
      </c>
      <c r="C13" s="110"/>
      <c r="D13" s="110"/>
    </row>
    <row r="14" spans="1:9" ht="12.6" customHeight="1" x14ac:dyDescent="0.25">
      <c r="A14" s="73" t="s">
        <v>311</v>
      </c>
      <c r="B14" s="110">
        <v>306</v>
      </c>
      <c r="C14" s="110"/>
      <c r="D14" s="110"/>
    </row>
    <row r="15" spans="1:9" x14ac:dyDescent="0.25">
      <c r="A15" s="73" t="s">
        <v>569</v>
      </c>
      <c r="B15" s="110" t="s">
        <v>380</v>
      </c>
      <c r="C15" s="110"/>
      <c r="D15" s="110"/>
    </row>
    <row r="16" spans="1:9" x14ac:dyDescent="0.25">
      <c r="A16" s="73" t="s">
        <v>313</v>
      </c>
      <c r="B16" s="110" t="s">
        <v>373</v>
      </c>
      <c r="C16" s="110"/>
      <c r="D16" s="110"/>
    </row>
    <row r="17" spans="1:4" ht="71.099999999999994"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41.1" customHeight="1" x14ac:dyDescent="0.25">
      <c r="A26" s="92" t="s">
        <v>640</v>
      </c>
      <c r="B26" s="92" t="s">
        <v>649</v>
      </c>
      <c r="C26" s="92" t="s">
        <v>657</v>
      </c>
      <c r="D26" s="92" t="s">
        <v>652</v>
      </c>
    </row>
    <row r="27" spans="1:4" x14ac:dyDescent="0.25">
      <c r="A27" s="93">
        <v>55</v>
      </c>
      <c r="B27" s="94">
        <v>23.37</v>
      </c>
      <c r="C27" s="94">
        <v>3.97</v>
      </c>
      <c r="D27" s="94"/>
    </row>
    <row r="28" spans="1:4" x14ac:dyDescent="0.25">
      <c r="A28" s="93">
        <v>56</v>
      </c>
      <c r="B28" s="94">
        <v>22.78</v>
      </c>
      <c r="C28" s="94">
        <v>4</v>
      </c>
      <c r="D28" s="94"/>
    </row>
    <row r="29" spans="1:4" x14ac:dyDescent="0.25">
      <c r="A29" s="93">
        <v>57</v>
      </c>
      <c r="B29" s="94">
        <v>22.19</v>
      </c>
      <c r="C29" s="94">
        <v>4.0199999999999996</v>
      </c>
      <c r="D29" s="94"/>
    </row>
    <row r="30" spans="1:4" x14ac:dyDescent="0.25">
      <c r="A30" s="93">
        <v>58</v>
      </c>
      <c r="B30" s="94">
        <v>21.6</v>
      </c>
      <c r="C30" s="94">
        <v>4.05</v>
      </c>
      <c r="D30" s="94"/>
    </row>
    <row r="31" spans="1:4" x14ac:dyDescent="0.25">
      <c r="A31" s="93">
        <v>59</v>
      </c>
      <c r="B31" s="94">
        <v>20.99</v>
      </c>
      <c r="C31" s="94">
        <v>4.07</v>
      </c>
      <c r="D31" s="94"/>
    </row>
    <row r="32" spans="1:4" x14ac:dyDescent="0.25">
      <c r="A32" s="93">
        <v>60</v>
      </c>
      <c r="B32" s="94">
        <v>20.37</v>
      </c>
      <c r="C32" s="94">
        <v>4.09</v>
      </c>
      <c r="D32" s="94"/>
    </row>
    <row r="33" spans="1:4" x14ac:dyDescent="0.25">
      <c r="A33" s="93">
        <v>61</v>
      </c>
      <c r="B33" s="94">
        <v>19.739999999999998</v>
      </c>
      <c r="C33" s="94">
        <v>4.1100000000000003</v>
      </c>
      <c r="D33" s="94"/>
    </row>
    <row r="34" spans="1:4" x14ac:dyDescent="0.25">
      <c r="A34" s="93">
        <v>62</v>
      </c>
      <c r="B34" s="94">
        <v>19.100000000000001</v>
      </c>
      <c r="C34" s="94">
        <v>4.13</v>
      </c>
      <c r="D34" s="94"/>
    </row>
    <row r="35" spans="1:4" x14ac:dyDescent="0.25">
      <c r="A35" s="93">
        <v>63</v>
      </c>
      <c r="B35" s="94">
        <v>18.46</v>
      </c>
      <c r="C35" s="94">
        <v>4.1399999999999997</v>
      </c>
      <c r="D35" s="94"/>
    </row>
    <row r="36" spans="1:4" x14ac:dyDescent="0.25">
      <c r="A36" s="93">
        <v>64</v>
      </c>
      <c r="B36" s="94">
        <v>17.829999999999998</v>
      </c>
      <c r="C36" s="94">
        <v>4.1500000000000004</v>
      </c>
      <c r="D36" s="94"/>
    </row>
    <row r="37" spans="1:4" x14ac:dyDescent="0.25">
      <c r="A37" s="93">
        <v>65</v>
      </c>
      <c r="B37" s="94">
        <v>17.2</v>
      </c>
      <c r="C37" s="94">
        <v>4.1500000000000004</v>
      </c>
      <c r="D37" s="94"/>
    </row>
    <row r="38" spans="1:4" x14ac:dyDescent="0.25">
      <c r="A38" s="93">
        <v>66</v>
      </c>
      <c r="B38" s="94">
        <v>16.57</v>
      </c>
      <c r="C38" s="94">
        <v>4.1500000000000004</v>
      </c>
      <c r="D38" s="94"/>
    </row>
    <row r="39" spans="1:4" x14ac:dyDescent="0.25">
      <c r="A39" s="93">
        <v>67</v>
      </c>
      <c r="B39" s="94">
        <v>15.94</v>
      </c>
      <c r="C39" s="94">
        <v>4.1500000000000004</v>
      </c>
      <c r="D39" s="94"/>
    </row>
    <row r="40" spans="1:4" x14ac:dyDescent="0.25">
      <c r="A40" s="93">
        <v>68</v>
      </c>
      <c r="B40" s="94">
        <v>15.31</v>
      </c>
      <c r="C40" s="94">
        <v>4.1399999999999997</v>
      </c>
      <c r="D40" s="94"/>
    </row>
    <row r="41" spans="1:4" x14ac:dyDescent="0.25">
      <c r="A41" s="93">
        <v>69</v>
      </c>
      <c r="B41" s="94">
        <v>14.67</v>
      </c>
      <c r="C41" s="94">
        <v>4.07</v>
      </c>
      <c r="D41" s="94">
        <v>2.82</v>
      </c>
    </row>
    <row r="42" spans="1:4" x14ac:dyDescent="0.25">
      <c r="A42" s="93">
        <v>70</v>
      </c>
      <c r="B42" s="94">
        <v>14.04</v>
      </c>
      <c r="C42" s="94">
        <v>4</v>
      </c>
      <c r="D42" s="94">
        <v>2.62</v>
      </c>
    </row>
    <row r="43" spans="1:4" x14ac:dyDescent="0.25">
      <c r="A43" s="93">
        <v>71</v>
      </c>
      <c r="B43" s="94">
        <v>13.42</v>
      </c>
      <c r="C43" s="94">
        <v>3.97</v>
      </c>
      <c r="D43" s="94">
        <v>2.42</v>
      </c>
    </row>
    <row r="44" spans="1:4" x14ac:dyDescent="0.25">
      <c r="A44" s="93">
        <v>72</v>
      </c>
      <c r="B44" s="94">
        <v>12.79</v>
      </c>
      <c r="C44" s="94">
        <v>3.94</v>
      </c>
      <c r="D44" s="94">
        <v>2.23</v>
      </c>
    </row>
    <row r="45" spans="1:4" x14ac:dyDescent="0.25">
      <c r="A45" s="93">
        <v>73</v>
      </c>
      <c r="B45" s="94">
        <v>12.17</v>
      </c>
      <c r="C45" s="94">
        <v>3.9</v>
      </c>
      <c r="D45" s="94">
        <v>2.0499999999999998</v>
      </c>
    </row>
    <row r="46" spans="1:4" x14ac:dyDescent="0.25">
      <c r="A46" s="93">
        <v>74</v>
      </c>
      <c r="B46" s="94">
        <v>11.56</v>
      </c>
      <c r="C46" s="94">
        <v>3.74</v>
      </c>
      <c r="D46" s="94">
        <v>1.88</v>
      </c>
    </row>
    <row r="47" spans="1:4" x14ac:dyDescent="0.25">
      <c r="A47" s="93">
        <v>75</v>
      </c>
      <c r="B47" s="94">
        <v>10.95</v>
      </c>
      <c r="C47" s="94">
        <v>3.56</v>
      </c>
      <c r="D47" s="94">
        <v>1.71</v>
      </c>
    </row>
    <row r="48" spans="1:4" x14ac:dyDescent="0.25">
      <c r="A48" s="93">
        <v>76</v>
      </c>
      <c r="B48" s="94">
        <v>10.36</v>
      </c>
      <c r="C48" s="94">
        <v>3.51</v>
      </c>
      <c r="D48" s="94">
        <v>1.56</v>
      </c>
    </row>
    <row r="49" spans="1:4" x14ac:dyDescent="0.25">
      <c r="A49" s="93">
        <v>77</v>
      </c>
      <c r="B49" s="94">
        <v>9.77</v>
      </c>
      <c r="C49" s="94">
        <v>3.45</v>
      </c>
      <c r="D49" s="94">
        <v>1.41</v>
      </c>
    </row>
    <row r="50" spans="1:4" x14ac:dyDescent="0.25">
      <c r="A50" s="93">
        <v>78</v>
      </c>
      <c r="B50" s="94">
        <v>9.19</v>
      </c>
      <c r="C50" s="94">
        <v>3.38</v>
      </c>
      <c r="D50" s="94">
        <v>1.27</v>
      </c>
    </row>
    <row r="51" spans="1:4" x14ac:dyDescent="0.25">
      <c r="A51" s="93">
        <v>79</v>
      </c>
      <c r="B51" s="94">
        <v>8.6300000000000008</v>
      </c>
      <c r="C51" s="94">
        <v>3.1</v>
      </c>
      <c r="D51" s="94">
        <v>1.1299999999999999</v>
      </c>
    </row>
    <row r="52" spans="1:4" x14ac:dyDescent="0.25">
      <c r="A52" s="93">
        <v>80</v>
      </c>
      <c r="B52" s="94">
        <v>8.09</v>
      </c>
      <c r="C52" s="94">
        <v>2.82</v>
      </c>
      <c r="D52" s="94">
        <v>1.01</v>
      </c>
    </row>
    <row r="53" spans="1:4" x14ac:dyDescent="0.25">
      <c r="A53" s="93">
        <v>81</v>
      </c>
      <c r="B53" s="94">
        <v>7.56</v>
      </c>
      <c r="C53" s="94">
        <v>2.74</v>
      </c>
      <c r="D53" s="94">
        <v>0.9</v>
      </c>
    </row>
    <row r="54" spans="1:4" x14ac:dyDescent="0.25">
      <c r="A54" s="93">
        <v>82</v>
      </c>
      <c r="B54" s="94">
        <v>7.05</v>
      </c>
      <c r="C54" s="94">
        <v>2.66</v>
      </c>
      <c r="D54" s="94">
        <v>0.8</v>
      </c>
    </row>
    <row r="55" spans="1:4" x14ac:dyDescent="0.25">
      <c r="A55" s="93">
        <v>83</v>
      </c>
      <c r="B55" s="94">
        <v>6.56</v>
      </c>
      <c r="C55" s="94">
        <v>2.56</v>
      </c>
      <c r="D55" s="94">
        <v>0.7</v>
      </c>
    </row>
    <row r="56" spans="1:4" x14ac:dyDescent="0.25">
      <c r="A56" s="93">
        <v>84</v>
      </c>
      <c r="B56" s="94">
        <v>6.1</v>
      </c>
      <c r="C56" s="94">
        <v>2.2400000000000002</v>
      </c>
      <c r="D56" s="94">
        <v>0.61</v>
      </c>
    </row>
    <row r="57" spans="1:4" x14ac:dyDescent="0.25">
      <c r="A57" s="93">
        <v>85</v>
      </c>
      <c r="B57" s="94">
        <v>5.65</v>
      </c>
      <c r="C57" s="94">
        <v>1.92</v>
      </c>
      <c r="D57" s="94">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DgPMcV/soZyRJb2fFRZTX3zV4z8zhftcvwFf6FbfnDkKsIwxy4v09wrtB3meLSm1hRtI2Dy6J62bJ9MX9gsnZw==" saltValue="D3Jk22+xtcbLk2OdnvN1hw==" spinCount="100000" sheet="1" objects="1" scenarios="1"/>
  <conditionalFormatting sqref="A6:A21">
    <cfRule type="expression" dxfId="737" priority="19" stopIfTrue="1">
      <formula>MOD(ROW(),2)=0</formula>
    </cfRule>
    <cfRule type="expression" dxfId="736" priority="20" stopIfTrue="1">
      <formula>MOD(ROW(),2)&lt;&gt;0</formula>
    </cfRule>
  </conditionalFormatting>
  <conditionalFormatting sqref="A26:A57">
    <cfRule type="expression" dxfId="735" priority="9" stopIfTrue="1">
      <formula>MOD(ROW(),2)=0</formula>
    </cfRule>
    <cfRule type="expression" dxfId="734" priority="10" stopIfTrue="1">
      <formula>MOD(ROW(),2)&lt;&gt;0</formula>
    </cfRule>
  </conditionalFormatting>
  <conditionalFormatting sqref="B16">
    <cfRule type="expression" dxfId="733" priority="13" stopIfTrue="1">
      <formula>MOD(ROW(),2)=0</formula>
    </cfRule>
    <cfRule type="expression" dxfId="732" priority="14" stopIfTrue="1">
      <formula>MOD(ROW(),2)&lt;&gt;0</formula>
    </cfRule>
  </conditionalFormatting>
  <conditionalFormatting sqref="B18:B19">
    <cfRule type="expression" dxfId="731" priority="1" stopIfTrue="1">
      <formula>MOD(ROW(),2)=0</formula>
    </cfRule>
    <cfRule type="expression" dxfId="730" priority="2" stopIfTrue="1">
      <formula>MOD(ROW(),2)&lt;&gt;0</formula>
    </cfRule>
  </conditionalFormatting>
  <conditionalFormatting sqref="B6:D6 C7:D7 B15 C18:D19 B20:D21">
    <cfRule type="expression" dxfId="729" priority="33" stopIfTrue="1">
      <formula>MOD(ROW(),2)=0</formula>
    </cfRule>
    <cfRule type="expression" dxfId="728" priority="34" stopIfTrue="1">
      <formula>MOD(ROW(),2)&lt;&gt;0</formula>
    </cfRule>
  </conditionalFormatting>
  <conditionalFormatting sqref="B6:D21">
    <cfRule type="expression" dxfId="727" priority="23" stopIfTrue="1">
      <formula>MOD(ROW(),2)=0</formula>
    </cfRule>
    <cfRule type="expression" dxfId="726" priority="24" stopIfTrue="1">
      <formula>MOD(ROW(),2)&lt;&gt;0</formula>
    </cfRule>
  </conditionalFormatting>
  <conditionalFormatting sqref="B8:D14">
    <cfRule type="expression" dxfId="725" priority="25" stopIfTrue="1">
      <formula>MOD(ROW(),2)=0</formula>
    </cfRule>
    <cfRule type="expression" dxfId="724" priority="26" stopIfTrue="1">
      <formula>MOD(ROW(),2)&lt;&gt;0</formula>
    </cfRule>
  </conditionalFormatting>
  <conditionalFormatting sqref="B17:D17">
    <cfRule type="expression" dxfId="723" priority="7" stopIfTrue="1">
      <formula>MOD(ROW(),2)=0</formula>
    </cfRule>
    <cfRule type="expression" dxfId="722" priority="8" stopIfTrue="1">
      <formula>MOD(ROW(),2)&lt;&gt;0</formula>
    </cfRule>
  </conditionalFormatting>
  <conditionalFormatting sqref="B26:D57">
    <cfRule type="expression" dxfId="721" priority="11" stopIfTrue="1">
      <formula>MOD(ROW(),2)=0</formula>
    </cfRule>
    <cfRule type="expression" dxfId="720" priority="12" stopIfTrue="1">
      <formula>MOD(ROW(),2)&lt;&gt;0</formula>
    </cfRule>
  </conditionalFormatting>
  <conditionalFormatting sqref="C15:D16">
    <cfRule type="expression" dxfId="719" priority="3" stopIfTrue="1">
      <formula>MOD(ROW(),2)=0</formula>
    </cfRule>
    <cfRule type="expression" dxfId="7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x-307</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2007</v>
      </c>
      <c r="C8" s="110"/>
      <c r="D8" s="110"/>
    </row>
    <row r="9" spans="1:9" x14ac:dyDescent="0.25">
      <c r="A9" s="73" t="s">
        <v>307</v>
      </c>
      <c r="B9" s="110" t="s">
        <v>368</v>
      </c>
      <c r="C9" s="110"/>
      <c r="D9" s="110"/>
    </row>
    <row r="10" spans="1:9" ht="25.2" customHeight="1" x14ac:dyDescent="0.25">
      <c r="A10" s="73" t="s">
        <v>233</v>
      </c>
      <c r="B10" s="110" t="s">
        <v>374</v>
      </c>
      <c r="C10" s="110"/>
      <c r="D10" s="110"/>
    </row>
    <row r="11" spans="1:9" x14ac:dyDescent="0.25">
      <c r="A11" s="73" t="s">
        <v>308</v>
      </c>
      <c r="B11" s="110" t="s">
        <v>322</v>
      </c>
      <c r="C11" s="110"/>
      <c r="D11" s="110"/>
    </row>
    <row r="12" spans="1:9" ht="12.6" customHeight="1" x14ac:dyDescent="0.25">
      <c r="A12" s="73" t="s">
        <v>309</v>
      </c>
      <c r="B12" s="110" t="s">
        <v>323</v>
      </c>
      <c r="C12" s="110"/>
      <c r="D12" s="110"/>
    </row>
    <row r="13" spans="1:9" ht="12.6" customHeight="1" x14ac:dyDescent="0.25">
      <c r="A13" s="73" t="s">
        <v>566</v>
      </c>
      <c r="B13" s="110">
        <v>1</v>
      </c>
      <c r="C13" s="110"/>
      <c r="D13" s="110"/>
    </row>
    <row r="14" spans="1:9" ht="12.6" customHeight="1" x14ac:dyDescent="0.25">
      <c r="A14" s="73" t="s">
        <v>311</v>
      </c>
      <c r="B14" s="110">
        <v>307</v>
      </c>
      <c r="C14" s="110"/>
      <c r="D14" s="110"/>
    </row>
    <row r="15" spans="1:9" x14ac:dyDescent="0.25">
      <c r="A15" s="73" t="s">
        <v>569</v>
      </c>
      <c r="B15" s="110" t="s">
        <v>381</v>
      </c>
      <c r="C15" s="110"/>
      <c r="D15" s="110"/>
    </row>
    <row r="16" spans="1:9" x14ac:dyDescent="0.25">
      <c r="A16" s="73" t="s">
        <v>313</v>
      </c>
      <c r="B16" s="110" t="s">
        <v>376</v>
      </c>
      <c r="C16" s="110"/>
      <c r="D16" s="110"/>
    </row>
    <row r="17" spans="1:4" ht="70.5"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7.5" customHeight="1" x14ac:dyDescent="0.25">
      <c r="A26" s="92" t="s">
        <v>640</v>
      </c>
      <c r="B26" s="92" t="s">
        <v>649</v>
      </c>
      <c r="C26" s="92" t="s">
        <v>657</v>
      </c>
      <c r="D26" s="92" t="s">
        <v>652</v>
      </c>
    </row>
    <row r="27" spans="1:4" x14ac:dyDescent="0.25">
      <c r="A27" s="93">
        <v>20</v>
      </c>
      <c r="B27" s="94">
        <v>39.64</v>
      </c>
      <c r="C27" s="94">
        <v>2.59</v>
      </c>
      <c r="D27" s="94"/>
    </row>
    <row r="28" spans="1:4" x14ac:dyDescent="0.25">
      <c r="A28" s="93">
        <v>21</v>
      </c>
      <c r="B28" s="94">
        <v>39.28</v>
      </c>
      <c r="C28" s="94">
        <v>2.64</v>
      </c>
      <c r="D28" s="94"/>
    </row>
    <row r="29" spans="1:4" x14ac:dyDescent="0.25">
      <c r="A29" s="93">
        <v>22</v>
      </c>
      <c r="B29" s="94">
        <v>38.92</v>
      </c>
      <c r="C29" s="94">
        <v>2.68</v>
      </c>
      <c r="D29" s="94"/>
    </row>
    <row r="30" spans="1:4" x14ac:dyDescent="0.25">
      <c r="A30" s="93">
        <v>23</v>
      </c>
      <c r="B30" s="94">
        <v>38.549999999999997</v>
      </c>
      <c r="C30" s="94">
        <v>2.72</v>
      </c>
      <c r="D30" s="94"/>
    </row>
    <row r="31" spans="1:4" x14ac:dyDescent="0.25">
      <c r="A31" s="93">
        <v>24</v>
      </c>
      <c r="B31" s="94">
        <v>38.17</v>
      </c>
      <c r="C31" s="94">
        <v>2.77</v>
      </c>
      <c r="D31" s="94"/>
    </row>
    <row r="32" spans="1:4" x14ac:dyDescent="0.25">
      <c r="A32" s="93">
        <v>25</v>
      </c>
      <c r="B32" s="94">
        <v>37.79</v>
      </c>
      <c r="C32" s="94">
        <v>2.81</v>
      </c>
      <c r="D32" s="94"/>
    </row>
    <row r="33" spans="1:4" x14ac:dyDescent="0.25">
      <c r="A33" s="93">
        <v>26</v>
      </c>
      <c r="B33" s="94">
        <v>37.4</v>
      </c>
      <c r="C33" s="94">
        <v>2.85</v>
      </c>
      <c r="D33" s="94"/>
    </row>
    <row r="34" spans="1:4" x14ac:dyDescent="0.25">
      <c r="A34" s="93">
        <v>27</v>
      </c>
      <c r="B34" s="94">
        <v>37.01</v>
      </c>
      <c r="C34" s="94">
        <v>2.9</v>
      </c>
      <c r="D34" s="94"/>
    </row>
    <row r="35" spans="1:4" x14ac:dyDescent="0.25">
      <c r="A35" s="93">
        <v>28</v>
      </c>
      <c r="B35" s="94">
        <v>36.61</v>
      </c>
      <c r="C35" s="94">
        <v>2.94</v>
      </c>
      <c r="D35" s="94"/>
    </row>
    <row r="36" spans="1:4" x14ac:dyDescent="0.25">
      <c r="A36" s="93">
        <v>29</v>
      </c>
      <c r="B36" s="94">
        <v>36.200000000000003</v>
      </c>
      <c r="C36" s="94">
        <v>2.99</v>
      </c>
      <c r="D36" s="94"/>
    </row>
    <row r="37" spans="1:4" x14ac:dyDescent="0.25">
      <c r="A37" s="93">
        <v>30</v>
      </c>
      <c r="B37" s="94">
        <v>35.79</v>
      </c>
      <c r="C37" s="94">
        <v>3.03</v>
      </c>
      <c r="D37" s="94"/>
    </row>
    <row r="38" spans="1:4" x14ac:dyDescent="0.25">
      <c r="A38" s="93">
        <v>31</v>
      </c>
      <c r="B38" s="94">
        <v>35.369999999999997</v>
      </c>
      <c r="C38" s="94">
        <v>3.07</v>
      </c>
      <c r="D38" s="94"/>
    </row>
    <row r="39" spans="1:4" x14ac:dyDescent="0.25">
      <c r="A39" s="93">
        <v>32</v>
      </c>
      <c r="B39" s="94">
        <v>34.950000000000003</v>
      </c>
      <c r="C39" s="94">
        <v>3.12</v>
      </c>
      <c r="D39" s="94"/>
    </row>
    <row r="40" spans="1:4" x14ac:dyDescent="0.25">
      <c r="A40" s="93">
        <v>33</v>
      </c>
      <c r="B40" s="94">
        <v>34.51</v>
      </c>
      <c r="C40" s="94">
        <v>3.16</v>
      </c>
      <c r="D40" s="94"/>
    </row>
    <row r="41" spans="1:4" x14ac:dyDescent="0.25">
      <c r="A41" s="93">
        <v>34</v>
      </c>
      <c r="B41" s="94">
        <v>34.08</v>
      </c>
      <c r="C41" s="94">
        <v>3.2</v>
      </c>
      <c r="D41" s="94"/>
    </row>
    <row r="42" spans="1:4" x14ac:dyDescent="0.25">
      <c r="A42" s="93">
        <v>35</v>
      </c>
      <c r="B42" s="94">
        <v>33.630000000000003</v>
      </c>
      <c r="C42" s="94">
        <v>3.24</v>
      </c>
      <c r="D42" s="94"/>
    </row>
    <row r="43" spans="1:4" x14ac:dyDescent="0.25">
      <c r="A43" s="93">
        <v>36</v>
      </c>
      <c r="B43" s="94">
        <v>33.18</v>
      </c>
      <c r="C43" s="94">
        <v>3.29</v>
      </c>
      <c r="D43" s="94"/>
    </row>
    <row r="44" spans="1:4" x14ac:dyDescent="0.25">
      <c r="A44" s="93">
        <v>37</v>
      </c>
      <c r="B44" s="94">
        <v>32.72</v>
      </c>
      <c r="C44" s="94">
        <v>3.33</v>
      </c>
      <c r="D44" s="94"/>
    </row>
    <row r="45" spans="1:4" x14ac:dyDescent="0.25">
      <c r="A45" s="93">
        <v>38</v>
      </c>
      <c r="B45" s="94">
        <v>32.26</v>
      </c>
      <c r="C45" s="94">
        <v>3.37</v>
      </c>
      <c r="D45" s="94"/>
    </row>
    <row r="46" spans="1:4" x14ac:dyDescent="0.25">
      <c r="A46" s="93">
        <v>39</v>
      </c>
      <c r="B46" s="94">
        <v>31.79</v>
      </c>
      <c r="C46" s="94">
        <v>3.41</v>
      </c>
      <c r="D46" s="94"/>
    </row>
    <row r="47" spans="1:4" x14ac:dyDescent="0.25">
      <c r="A47" s="93">
        <v>40</v>
      </c>
      <c r="B47" s="94">
        <v>31.31</v>
      </c>
      <c r="C47" s="94">
        <v>3.45</v>
      </c>
      <c r="D47" s="94"/>
    </row>
    <row r="48" spans="1:4" x14ac:dyDescent="0.25">
      <c r="A48" s="93">
        <v>41</v>
      </c>
      <c r="B48" s="94">
        <v>30.82</v>
      </c>
      <c r="C48" s="94">
        <v>3.49</v>
      </c>
      <c r="D48" s="94"/>
    </row>
    <row r="49" spans="1:4" x14ac:dyDescent="0.25">
      <c r="A49" s="93">
        <v>42</v>
      </c>
      <c r="B49" s="94">
        <v>30.33</v>
      </c>
      <c r="C49" s="94">
        <v>3.53</v>
      </c>
      <c r="D49" s="94"/>
    </row>
    <row r="50" spans="1:4" x14ac:dyDescent="0.25">
      <c r="A50" s="93">
        <v>43</v>
      </c>
      <c r="B50" s="94">
        <v>29.83</v>
      </c>
      <c r="C50" s="94">
        <v>3.57</v>
      </c>
      <c r="D50" s="94"/>
    </row>
    <row r="51" spans="1:4" x14ac:dyDescent="0.25">
      <c r="A51" s="93">
        <v>44</v>
      </c>
      <c r="B51" s="94">
        <v>29.33</v>
      </c>
      <c r="C51" s="94">
        <v>3.61</v>
      </c>
      <c r="D51" s="94"/>
    </row>
    <row r="52" spans="1:4" x14ac:dyDescent="0.25">
      <c r="A52" s="93">
        <v>45</v>
      </c>
      <c r="B52" s="94">
        <v>28.82</v>
      </c>
      <c r="C52" s="94">
        <v>3.64</v>
      </c>
      <c r="D52" s="94"/>
    </row>
    <row r="53" spans="1:4" x14ac:dyDescent="0.25">
      <c r="A53" s="93">
        <v>46</v>
      </c>
      <c r="B53" s="94">
        <v>28.3</v>
      </c>
      <c r="C53" s="94">
        <v>3.68</v>
      </c>
      <c r="D53" s="94"/>
    </row>
    <row r="54" spans="1:4" x14ac:dyDescent="0.25">
      <c r="A54" s="93">
        <v>47</v>
      </c>
      <c r="B54" s="94">
        <v>27.78</v>
      </c>
      <c r="C54" s="94">
        <v>3.71</v>
      </c>
      <c r="D54" s="94"/>
    </row>
    <row r="55" spans="1:4" x14ac:dyDescent="0.25">
      <c r="A55" s="93">
        <v>48</v>
      </c>
      <c r="B55" s="94">
        <v>27.25</v>
      </c>
      <c r="C55" s="94">
        <v>3.75</v>
      </c>
      <c r="D55" s="94"/>
    </row>
    <row r="56" spans="1:4" x14ac:dyDescent="0.25">
      <c r="A56" s="93">
        <v>49</v>
      </c>
      <c r="B56" s="94">
        <v>26.71</v>
      </c>
      <c r="C56" s="94">
        <v>3.78</v>
      </c>
      <c r="D56" s="94"/>
    </row>
    <row r="57" spans="1:4" x14ac:dyDescent="0.25">
      <c r="A57" s="93">
        <v>50</v>
      </c>
      <c r="B57" s="94">
        <v>26.16</v>
      </c>
      <c r="C57" s="94">
        <v>3.82</v>
      </c>
      <c r="D57" s="94"/>
    </row>
    <row r="58" spans="1:4" x14ac:dyDescent="0.25">
      <c r="A58" s="93">
        <v>51</v>
      </c>
      <c r="B58" s="94">
        <v>25.61</v>
      </c>
      <c r="C58" s="94">
        <v>3.85</v>
      </c>
      <c r="D58" s="94"/>
    </row>
    <row r="59" spans="1:4" x14ac:dyDescent="0.25">
      <c r="A59" s="93">
        <v>52</v>
      </c>
      <c r="B59" s="94">
        <v>25.05</v>
      </c>
      <c r="C59" s="94">
        <v>3.88</v>
      </c>
      <c r="D59" s="94"/>
    </row>
    <row r="60" spans="1:4" x14ac:dyDescent="0.25">
      <c r="A60" s="93">
        <v>53</v>
      </c>
      <c r="B60" s="94">
        <v>24.48</v>
      </c>
      <c r="C60" s="94">
        <v>3.91</v>
      </c>
      <c r="D60" s="94"/>
    </row>
    <row r="61" spans="1:4" x14ac:dyDescent="0.25">
      <c r="A61" s="93">
        <v>54</v>
      </c>
      <c r="B61" s="94">
        <v>23.91</v>
      </c>
      <c r="C61" s="94">
        <v>3.94</v>
      </c>
      <c r="D61" s="94"/>
    </row>
    <row r="62" spans="1:4" x14ac:dyDescent="0.25">
      <c r="A62" s="93">
        <v>55</v>
      </c>
      <c r="B62" s="94">
        <v>23.33</v>
      </c>
      <c r="C62" s="94">
        <v>3.97</v>
      </c>
      <c r="D62" s="94"/>
    </row>
    <row r="63" spans="1:4" x14ac:dyDescent="0.25">
      <c r="A63" s="93">
        <v>56</v>
      </c>
      <c r="B63" s="94">
        <v>22.74</v>
      </c>
      <c r="C63" s="94">
        <v>4</v>
      </c>
      <c r="D63" s="94"/>
    </row>
    <row r="64" spans="1:4" x14ac:dyDescent="0.25">
      <c r="A64" s="93">
        <v>57</v>
      </c>
      <c r="B64" s="94">
        <v>22.14</v>
      </c>
      <c r="C64" s="94">
        <v>4.0199999999999996</v>
      </c>
      <c r="D64" s="94"/>
    </row>
    <row r="65" spans="1:4" x14ac:dyDescent="0.25">
      <c r="A65" s="93">
        <v>58</v>
      </c>
      <c r="B65" s="94">
        <v>21.54</v>
      </c>
      <c r="C65" s="94">
        <v>4.05</v>
      </c>
      <c r="D65" s="94"/>
    </row>
    <row r="66" spans="1:4" x14ac:dyDescent="0.25">
      <c r="A66" s="93">
        <v>59</v>
      </c>
      <c r="B66" s="94">
        <v>20.93</v>
      </c>
      <c r="C66" s="94">
        <v>4.07</v>
      </c>
      <c r="D66" s="94"/>
    </row>
    <row r="67" spans="1:4" x14ac:dyDescent="0.25">
      <c r="A67" s="93">
        <v>60</v>
      </c>
      <c r="B67" s="94">
        <v>20.32</v>
      </c>
      <c r="C67" s="94">
        <v>4.09</v>
      </c>
      <c r="D67" s="94"/>
    </row>
    <row r="68" spans="1:4" x14ac:dyDescent="0.25">
      <c r="A68" s="93">
        <v>61</v>
      </c>
      <c r="B68" s="94">
        <v>19.7</v>
      </c>
      <c r="C68" s="94">
        <v>4.1100000000000003</v>
      </c>
      <c r="D68" s="94"/>
    </row>
    <row r="69" spans="1:4" x14ac:dyDescent="0.25">
      <c r="A69" s="93">
        <v>62</v>
      </c>
      <c r="B69" s="94">
        <v>19.079999999999998</v>
      </c>
      <c r="C69" s="94">
        <v>4.13</v>
      </c>
      <c r="D69" s="94"/>
    </row>
    <row r="70" spans="1:4" x14ac:dyDescent="0.25">
      <c r="A70" s="93">
        <v>63</v>
      </c>
      <c r="B70" s="94">
        <v>18.46</v>
      </c>
      <c r="C70" s="94">
        <v>4.1399999999999997</v>
      </c>
      <c r="D70" s="94"/>
    </row>
    <row r="71" spans="1:4" x14ac:dyDescent="0.25">
      <c r="A71" s="93">
        <v>64</v>
      </c>
      <c r="B71" s="94">
        <v>17.829999999999998</v>
      </c>
      <c r="C71" s="94">
        <v>4.1500000000000004</v>
      </c>
      <c r="D71" s="94"/>
    </row>
    <row r="72" spans="1:4" x14ac:dyDescent="0.25">
      <c r="A72" s="93">
        <v>65</v>
      </c>
      <c r="B72" s="94">
        <v>17.2</v>
      </c>
      <c r="C72" s="94">
        <v>4.1500000000000004</v>
      </c>
      <c r="D72" s="94"/>
    </row>
    <row r="73" spans="1:4" x14ac:dyDescent="0.25">
      <c r="A73" s="93">
        <v>66</v>
      </c>
      <c r="B73" s="94">
        <v>16.57</v>
      </c>
      <c r="C73" s="94">
        <v>4.1500000000000004</v>
      </c>
      <c r="D73" s="94"/>
    </row>
    <row r="74" spans="1:4" x14ac:dyDescent="0.25">
      <c r="A74" s="93">
        <v>67</v>
      </c>
      <c r="B74" s="94">
        <v>15.94</v>
      </c>
      <c r="C74" s="94">
        <v>4.1500000000000004</v>
      </c>
      <c r="D74" s="94"/>
    </row>
    <row r="75" spans="1:4" x14ac:dyDescent="0.25">
      <c r="A75" s="93">
        <v>68</v>
      </c>
      <c r="B75" s="94">
        <v>15.31</v>
      </c>
      <c r="C75" s="94">
        <v>4.1399999999999997</v>
      </c>
      <c r="D75" s="94"/>
    </row>
    <row r="76" spans="1:4" x14ac:dyDescent="0.25">
      <c r="A76" s="93">
        <v>69</v>
      </c>
      <c r="B76" s="94">
        <v>14.67</v>
      </c>
      <c r="C76" s="94">
        <v>4.07</v>
      </c>
      <c r="D76" s="94">
        <v>3.01</v>
      </c>
    </row>
    <row r="77" spans="1:4" x14ac:dyDescent="0.25">
      <c r="A77" s="93">
        <v>70</v>
      </c>
      <c r="B77" s="94">
        <v>14.04</v>
      </c>
      <c r="C77" s="94">
        <v>4</v>
      </c>
      <c r="D77" s="94">
        <v>2.8</v>
      </c>
    </row>
    <row r="78" spans="1:4" x14ac:dyDescent="0.25">
      <c r="A78" s="93">
        <v>71</v>
      </c>
      <c r="B78" s="94">
        <v>13.42</v>
      </c>
      <c r="C78" s="94">
        <v>3.97</v>
      </c>
      <c r="D78" s="94">
        <v>2.6</v>
      </c>
    </row>
    <row r="79" spans="1:4" x14ac:dyDescent="0.25">
      <c r="A79" s="93">
        <v>72</v>
      </c>
      <c r="B79" s="94">
        <v>12.79</v>
      </c>
      <c r="C79" s="94">
        <v>3.94</v>
      </c>
      <c r="D79" s="94">
        <v>2.41</v>
      </c>
    </row>
    <row r="80" spans="1:4" x14ac:dyDescent="0.25">
      <c r="A80" s="93">
        <v>73</v>
      </c>
      <c r="B80" s="94">
        <v>12.17</v>
      </c>
      <c r="C80" s="94">
        <v>3.9</v>
      </c>
      <c r="D80" s="94">
        <v>2.23</v>
      </c>
    </row>
    <row r="81" spans="1:4" x14ac:dyDescent="0.25">
      <c r="A81" s="93">
        <v>74</v>
      </c>
      <c r="B81" s="94">
        <v>11.56</v>
      </c>
      <c r="C81" s="94">
        <v>3.74</v>
      </c>
      <c r="D81" s="94">
        <v>2.04</v>
      </c>
    </row>
    <row r="82" spans="1:4" x14ac:dyDescent="0.25">
      <c r="A82" s="93">
        <v>75</v>
      </c>
      <c r="B82" s="94">
        <v>10.95</v>
      </c>
      <c r="C82" s="94">
        <v>3.56</v>
      </c>
      <c r="D82" s="94">
        <v>1.86</v>
      </c>
    </row>
    <row r="83" spans="1:4" x14ac:dyDescent="0.25">
      <c r="A83" s="93">
        <v>76</v>
      </c>
      <c r="B83" s="94">
        <v>10.36</v>
      </c>
      <c r="C83" s="94">
        <v>3.51</v>
      </c>
      <c r="D83" s="94">
        <v>1.7</v>
      </c>
    </row>
    <row r="84" spans="1:4" x14ac:dyDescent="0.25">
      <c r="A84" s="93">
        <v>77</v>
      </c>
      <c r="B84" s="94">
        <v>9.77</v>
      </c>
      <c r="C84" s="94">
        <v>3.45</v>
      </c>
      <c r="D84" s="94">
        <v>1.54</v>
      </c>
    </row>
    <row r="85" spans="1:4" x14ac:dyDescent="0.25">
      <c r="A85" s="93">
        <v>78</v>
      </c>
      <c r="B85" s="94">
        <v>9.19</v>
      </c>
      <c r="C85" s="94">
        <v>3.38</v>
      </c>
      <c r="D85" s="94">
        <v>1.4</v>
      </c>
    </row>
    <row r="86" spans="1:4" x14ac:dyDescent="0.25">
      <c r="A86" s="93">
        <v>79</v>
      </c>
      <c r="B86" s="94">
        <v>8.6300000000000008</v>
      </c>
      <c r="C86" s="94">
        <v>3.1</v>
      </c>
      <c r="D86" s="94">
        <v>1.25</v>
      </c>
    </row>
    <row r="87" spans="1:4" x14ac:dyDescent="0.25">
      <c r="A87" s="93">
        <v>80</v>
      </c>
      <c r="B87" s="94">
        <v>8.09</v>
      </c>
      <c r="C87" s="94">
        <v>2.82</v>
      </c>
      <c r="D87" s="94">
        <v>1.1100000000000001</v>
      </c>
    </row>
    <row r="88" spans="1:4" x14ac:dyDescent="0.25">
      <c r="A88" s="93">
        <v>81</v>
      </c>
      <c r="B88" s="94">
        <v>7.56</v>
      </c>
      <c r="C88" s="94">
        <v>2.74</v>
      </c>
      <c r="D88" s="94">
        <v>0.99</v>
      </c>
    </row>
    <row r="89" spans="1:4" x14ac:dyDescent="0.25">
      <c r="A89" s="93">
        <v>82</v>
      </c>
      <c r="B89" s="94">
        <v>7.05</v>
      </c>
      <c r="C89" s="94">
        <v>2.66</v>
      </c>
      <c r="D89" s="94">
        <v>0.88</v>
      </c>
    </row>
    <row r="90" spans="1:4" x14ac:dyDescent="0.25">
      <c r="A90" s="93">
        <v>83</v>
      </c>
      <c r="B90" s="94">
        <v>6.56</v>
      </c>
      <c r="C90" s="94">
        <v>2.56</v>
      </c>
      <c r="D90" s="94">
        <v>0.79</v>
      </c>
    </row>
    <row r="91" spans="1:4" x14ac:dyDescent="0.25">
      <c r="A91" s="93">
        <v>84</v>
      </c>
      <c r="B91" s="94">
        <v>6.1</v>
      </c>
      <c r="C91" s="94">
        <v>2.2400000000000002</v>
      </c>
      <c r="D91" s="94">
        <v>0.68</v>
      </c>
    </row>
    <row r="92" spans="1:4" x14ac:dyDescent="0.25">
      <c r="A92" s="93">
        <v>85</v>
      </c>
      <c r="B92" s="94">
        <v>5.65</v>
      </c>
      <c r="C92" s="94">
        <v>1.92</v>
      </c>
      <c r="D92" s="94">
        <v>0.57999999999999996</v>
      </c>
    </row>
  </sheetData>
  <sheetProtection algorithmName="SHA-512" hashValue="zN+qpy+avt9JOOj2gUe4ujn8gOLC8AXrr3+aJpExATRVui5NjjWiWVapHjEvNwz5sYmPrG47DnxbzCrn9DbkfQ==" saltValue="s8M5sb6MN+O26oy8MwsdsA==" spinCount="100000" sheet="1" objects="1" scenarios="1"/>
  <conditionalFormatting sqref="A6:A21">
    <cfRule type="expression" dxfId="717" priority="17" stopIfTrue="1">
      <formula>MOD(ROW(),2)=0</formula>
    </cfRule>
    <cfRule type="expression" dxfId="716" priority="18" stopIfTrue="1">
      <formula>MOD(ROW(),2)&lt;&gt;0</formula>
    </cfRule>
  </conditionalFormatting>
  <conditionalFormatting sqref="A26:A92">
    <cfRule type="expression" dxfId="715" priority="7" stopIfTrue="1">
      <formula>MOD(ROW(),2)=0</formula>
    </cfRule>
    <cfRule type="expression" dxfId="714" priority="8" stopIfTrue="1">
      <formula>MOD(ROW(),2)&lt;&gt;0</formula>
    </cfRule>
  </conditionalFormatting>
  <conditionalFormatting sqref="B17:B19">
    <cfRule type="expression" dxfId="713" priority="1" stopIfTrue="1">
      <formula>MOD(ROW(),2)=0</formula>
    </cfRule>
    <cfRule type="expression" dxfId="712" priority="2" stopIfTrue="1">
      <formula>MOD(ROW(),2)&lt;&gt;0</formula>
    </cfRule>
  </conditionalFormatting>
  <conditionalFormatting sqref="B6:D6 C7:D7 B16 C18:D19 B20:D21">
    <cfRule type="expression" dxfId="711" priority="31" stopIfTrue="1">
      <formula>MOD(ROW(),2)=0</formula>
    </cfRule>
    <cfRule type="expression" dxfId="710" priority="32" stopIfTrue="1">
      <formula>MOD(ROW(),2)&lt;&gt;0</formula>
    </cfRule>
  </conditionalFormatting>
  <conditionalFormatting sqref="B6:D21">
    <cfRule type="expression" dxfId="709" priority="21" stopIfTrue="1">
      <formula>MOD(ROW(),2)=0</formula>
    </cfRule>
    <cfRule type="expression" dxfId="708" priority="22" stopIfTrue="1">
      <formula>MOD(ROW(),2)&lt;&gt;0</formula>
    </cfRule>
  </conditionalFormatting>
  <conditionalFormatting sqref="B8:D15">
    <cfRule type="expression" dxfId="707" priority="23" stopIfTrue="1">
      <formula>MOD(ROW(),2)=0</formula>
    </cfRule>
    <cfRule type="expression" dxfId="706" priority="24" stopIfTrue="1">
      <formula>MOD(ROW(),2)&lt;&gt;0</formula>
    </cfRule>
  </conditionalFormatting>
  <conditionalFormatting sqref="B26:D92">
    <cfRule type="expression" dxfId="705" priority="9" stopIfTrue="1">
      <formula>MOD(ROW(),2)=0</formula>
    </cfRule>
    <cfRule type="expression" dxfId="704" priority="10" stopIfTrue="1">
      <formula>MOD(ROW(),2)&lt;&gt;0</formula>
    </cfRule>
  </conditionalFormatting>
  <conditionalFormatting sqref="C16:D17">
    <cfRule type="expression" dxfId="703" priority="3" stopIfTrue="1">
      <formula>MOD(ROW(),2)=0</formula>
    </cfRule>
    <cfRule type="expression" dxfId="7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x-308</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2007</v>
      </c>
      <c r="C8" s="110"/>
      <c r="D8" s="110"/>
    </row>
    <row r="9" spans="1:9" x14ac:dyDescent="0.25">
      <c r="A9" s="73" t="s">
        <v>307</v>
      </c>
      <c r="B9" s="110" t="s">
        <v>368</v>
      </c>
      <c r="C9" s="110"/>
      <c r="D9" s="110"/>
    </row>
    <row r="10" spans="1:9" ht="25.2" customHeight="1" x14ac:dyDescent="0.25">
      <c r="A10" s="73" t="s">
        <v>233</v>
      </c>
      <c r="B10" s="110" t="s">
        <v>374</v>
      </c>
      <c r="C10" s="110"/>
      <c r="D10" s="110"/>
    </row>
    <row r="11" spans="1:9" x14ac:dyDescent="0.25">
      <c r="A11" s="73" t="s">
        <v>308</v>
      </c>
      <c r="B11" s="110" t="s">
        <v>328</v>
      </c>
      <c r="C11" s="110"/>
      <c r="D11" s="110"/>
    </row>
    <row r="12" spans="1:9" ht="12.6" customHeight="1" x14ac:dyDescent="0.25">
      <c r="A12" s="73" t="s">
        <v>309</v>
      </c>
      <c r="B12" s="110" t="s">
        <v>323</v>
      </c>
      <c r="C12" s="110"/>
      <c r="D12" s="110"/>
    </row>
    <row r="13" spans="1:9" ht="12.6" customHeight="1" x14ac:dyDescent="0.25">
      <c r="A13" s="73" t="s">
        <v>566</v>
      </c>
      <c r="B13" s="110">
        <v>1</v>
      </c>
      <c r="C13" s="110"/>
      <c r="D13" s="110"/>
    </row>
    <row r="14" spans="1:9" ht="12.6" customHeight="1" x14ac:dyDescent="0.25">
      <c r="A14" s="73" t="s">
        <v>311</v>
      </c>
      <c r="B14" s="110">
        <v>308</v>
      </c>
      <c r="C14" s="110"/>
      <c r="D14" s="110"/>
    </row>
    <row r="15" spans="1:9" x14ac:dyDescent="0.25">
      <c r="A15" s="73" t="s">
        <v>569</v>
      </c>
      <c r="B15" s="110" t="s">
        <v>382</v>
      </c>
      <c r="C15" s="110"/>
      <c r="D15" s="110"/>
    </row>
    <row r="16" spans="1:9" x14ac:dyDescent="0.25">
      <c r="A16" s="73" t="s">
        <v>313</v>
      </c>
      <c r="B16" s="110" t="s">
        <v>378</v>
      </c>
      <c r="C16" s="110"/>
      <c r="D16" s="110"/>
    </row>
    <row r="17" spans="1:4" ht="64.5"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42" customHeight="1" x14ac:dyDescent="0.25">
      <c r="A26" s="92" t="s">
        <v>640</v>
      </c>
      <c r="B26" s="92" t="s">
        <v>649</v>
      </c>
      <c r="C26" s="92" t="s">
        <v>657</v>
      </c>
      <c r="D26" s="92" t="s">
        <v>652</v>
      </c>
    </row>
    <row r="27" spans="1:4" x14ac:dyDescent="0.25">
      <c r="A27" s="93">
        <v>20</v>
      </c>
      <c r="B27" s="94">
        <v>39.64</v>
      </c>
      <c r="C27" s="94">
        <v>2.59</v>
      </c>
      <c r="D27" s="94"/>
    </row>
    <row r="28" spans="1:4" x14ac:dyDescent="0.25">
      <c r="A28" s="93">
        <v>21</v>
      </c>
      <c r="B28" s="94">
        <v>39.28</v>
      </c>
      <c r="C28" s="94">
        <v>2.64</v>
      </c>
      <c r="D28" s="94"/>
    </row>
    <row r="29" spans="1:4" x14ac:dyDescent="0.25">
      <c r="A29" s="93">
        <v>22</v>
      </c>
      <c r="B29" s="94">
        <v>38.92</v>
      </c>
      <c r="C29" s="94">
        <v>2.68</v>
      </c>
      <c r="D29" s="94"/>
    </row>
    <row r="30" spans="1:4" x14ac:dyDescent="0.25">
      <c r="A30" s="93">
        <v>23</v>
      </c>
      <c r="B30" s="94">
        <v>38.549999999999997</v>
      </c>
      <c r="C30" s="94">
        <v>2.72</v>
      </c>
      <c r="D30" s="94"/>
    </row>
    <row r="31" spans="1:4" x14ac:dyDescent="0.25">
      <c r="A31" s="93">
        <v>24</v>
      </c>
      <c r="B31" s="94">
        <v>38.17</v>
      </c>
      <c r="C31" s="94">
        <v>2.77</v>
      </c>
      <c r="D31" s="94"/>
    </row>
    <row r="32" spans="1:4" x14ac:dyDescent="0.25">
      <c r="A32" s="93">
        <v>25</v>
      </c>
      <c r="B32" s="94">
        <v>37.79</v>
      </c>
      <c r="C32" s="94">
        <v>2.81</v>
      </c>
      <c r="D32" s="94"/>
    </row>
    <row r="33" spans="1:4" x14ac:dyDescent="0.25">
      <c r="A33" s="93">
        <v>26</v>
      </c>
      <c r="B33" s="94">
        <v>37.4</v>
      </c>
      <c r="C33" s="94">
        <v>2.85</v>
      </c>
      <c r="D33" s="94"/>
    </row>
    <row r="34" spans="1:4" x14ac:dyDescent="0.25">
      <c r="A34" s="93">
        <v>27</v>
      </c>
      <c r="B34" s="94">
        <v>37.01</v>
      </c>
      <c r="C34" s="94">
        <v>2.9</v>
      </c>
      <c r="D34" s="94"/>
    </row>
    <row r="35" spans="1:4" x14ac:dyDescent="0.25">
      <c r="A35" s="93">
        <v>28</v>
      </c>
      <c r="B35" s="94">
        <v>36.61</v>
      </c>
      <c r="C35" s="94">
        <v>2.94</v>
      </c>
      <c r="D35" s="94"/>
    </row>
    <row r="36" spans="1:4" x14ac:dyDescent="0.25">
      <c r="A36" s="93">
        <v>29</v>
      </c>
      <c r="B36" s="94">
        <v>36.200000000000003</v>
      </c>
      <c r="C36" s="94">
        <v>2.99</v>
      </c>
      <c r="D36" s="94"/>
    </row>
    <row r="37" spans="1:4" x14ac:dyDescent="0.25">
      <c r="A37" s="93">
        <v>30</v>
      </c>
      <c r="B37" s="94">
        <v>35.79</v>
      </c>
      <c r="C37" s="94">
        <v>3.03</v>
      </c>
      <c r="D37" s="94"/>
    </row>
    <row r="38" spans="1:4" x14ac:dyDescent="0.25">
      <c r="A38" s="93">
        <v>31</v>
      </c>
      <c r="B38" s="94">
        <v>35.369999999999997</v>
      </c>
      <c r="C38" s="94">
        <v>3.07</v>
      </c>
      <c r="D38" s="94"/>
    </row>
    <row r="39" spans="1:4" x14ac:dyDescent="0.25">
      <c r="A39" s="93">
        <v>32</v>
      </c>
      <c r="B39" s="94">
        <v>34.950000000000003</v>
      </c>
      <c r="C39" s="94">
        <v>3.12</v>
      </c>
      <c r="D39" s="94"/>
    </row>
    <row r="40" spans="1:4" x14ac:dyDescent="0.25">
      <c r="A40" s="93">
        <v>33</v>
      </c>
      <c r="B40" s="94">
        <v>34.51</v>
      </c>
      <c r="C40" s="94">
        <v>3.16</v>
      </c>
      <c r="D40" s="94"/>
    </row>
    <row r="41" spans="1:4" x14ac:dyDescent="0.25">
      <c r="A41" s="93">
        <v>34</v>
      </c>
      <c r="B41" s="94">
        <v>34.08</v>
      </c>
      <c r="C41" s="94">
        <v>3.2</v>
      </c>
      <c r="D41" s="94"/>
    </row>
    <row r="42" spans="1:4" x14ac:dyDescent="0.25">
      <c r="A42" s="93">
        <v>35</v>
      </c>
      <c r="B42" s="94">
        <v>33.630000000000003</v>
      </c>
      <c r="C42" s="94">
        <v>3.24</v>
      </c>
      <c r="D42" s="94"/>
    </row>
    <row r="43" spans="1:4" x14ac:dyDescent="0.25">
      <c r="A43" s="93">
        <v>36</v>
      </c>
      <c r="B43" s="94">
        <v>33.18</v>
      </c>
      <c r="C43" s="94">
        <v>3.29</v>
      </c>
      <c r="D43" s="94"/>
    </row>
    <row r="44" spans="1:4" x14ac:dyDescent="0.25">
      <c r="A44" s="93">
        <v>37</v>
      </c>
      <c r="B44" s="94">
        <v>32.72</v>
      </c>
      <c r="C44" s="94">
        <v>3.33</v>
      </c>
      <c r="D44" s="94"/>
    </row>
    <row r="45" spans="1:4" x14ac:dyDescent="0.25">
      <c r="A45" s="93">
        <v>38</v>
      </c>
      <c r="B45" s="94">
        <v>32.26</v>
      </c>
      <c r="C45" s="94">
        <v>3.37</v>
      </c>
      <c r="D45" s="94"/>
    </row>
    <row r="46" spans="1:4" x14ac:dyDescent="0.25">
      <c r="A46" s="93">
        <v>39</v>
      </c>
      <c r="B46" s="94">
        <v>31.79</v>
      </c>
      <c r="C46" s="94">
        <v>3.41</v>
      </c>
      <c r="D46" s="94"/>
    </row>
    <row r="47" spans="1:4" x14ac:dyDescent="0.25">
      <c r="A47" s="93">
        <v>40</v>
      </c>
      <c r="B47" s="94">
        <v>31.31</v>
      </c>
      <c r="C47" s="94">
        <v>3.45</v>
      </c>
      <c r="D47" s="94"/>
    </row>
    <row r="48" spans="1:4" x14ac:dyDescent="0.25">
      <c r="A48" s="93">
        <v>41</v>
      </c>
      <c r="B48" s="94">
        <v>30.82</v>
      </c>
      <c r="C48" s="94">
        <v>3.49</v>
      </c>
      <c r="D48" s="94"/>
    </row>
    <row r="49" spans="1:4" x14ac:dyDescent="0.25">
      <c r="A49" s="93">
        <v>42</v>
      </c>
      <c r="B49" s="94">
        <v>30.33</v>
      </c>
      <c r="C49" s="94">
        <v>3.53</v>
      </c>
      <c r="D49" s="94"/>
    </row>
    <row r="50" spans="1:4" x14ac:dyDescent="0.25">
      <c r="A50" s="93">
        <v>43</v>
      </c>
      <c r="B50" s="94">
        <v>29.83</v>
      </c>
      <c r="C50" s="94">
        <v>3.57</v>
      </c>
      <c r="D50" s="94"/>
    </row>
    <row r="51" spans="1:4" x14ac:dyDescent="0.25">
      <c r="A51" s="93">
        <v>44</v>
      </c>
      <c r="B51" s="94">
        <v>29.33</v>
      </c>
      <c r="C51" s="94">
        <v>3.61</v>
      </c>
      <c r="D51" s="94"/>
    </row>
    <row r="52" spans="1:4" x14ac:dyDescent="0.25">
      <c r="A52" s="93">
        <v>45</v>
      </c>
      <c r="B52" s="94">
        <v>28.82</v>
      </c>
      <c r="C52" s="94">
        <v>3.64</v>
      </c>
      <c r="D52" s="94"/>
    </row>
    <row r="53" spans="1:4" x14ac:dyDescent="0.25">
      <c r="A53" s="93">
        <v>46</v>
      </c>
      <c r="B53" s="94">
        <v>28.3</v>
      </c>
      <c r="C53" s="94">
        <v>3.68</v>
      </c>
      <c r="D53" s="94"/>
    </row>
    <row r="54" spans="1:4" x14ac:dyDescent="0.25">
      <c r="A54" s="93">
        <v>47</v>
      </c>
      <c r="B54" s="94">
        <v>27.78</v>
      </c>
      <c r="C54" s="94">
        <v>3.71</v>
      </c>
      <c r="D54" s="94"/>
    </row>
    <row r="55" spans="1:4" x14ac:dyDescent="0.25">
      <c r="A55" s="93">
        <v>48</v>
      </c>
      <c r="B55" s="94">
        <v>27.25</v>
      </c>
      <c r="C55" s="94">
        <v>3.75</v>
      </c>
      <c r="D55" s="94"/>
    </row>
    <row r="56" spans="1:4" x14ac:dyDescent="0.25">
      <c r="A56" s="93">
        <v>49</v>
      </c>
      <c r="B56" s="94">
        <v>26.71</v>
      </c>
      <c r="C56" s="94">
        <v>3.78</v>
      </c>
      <c r="D56" s="94"/>
    </row>
    <row r="57" spans="1:4" x14ac:dyDescent="0.25">
      <c r="A57" s="93">
        <v>50</v>
      </c>
      <c r="B57" s="94">
        <v>26.16</v>
      </c>
      <c r="C57" s="94">
        <v>3.82</v>
      </c>
      <c r="D57" s="94"/>
    </row>
    <row r="58" spans="1:4" x14ac:dyDescent="0.25">
      <c r="A58" s="93">
        <v>51</v>
      </c>
      <c r="B58" s="94">
        <v>25.61</v>
      </c>
      <c r="C58" s="94">
        <v>3.85</v>
      </c>
      <c r="D58" s="94"/>
    </row>
    <row r="59" spans="1:4" x14ac:dyDescent="0.25">
      <c r="A59" s="93">
        <v>52</v>
      </c>
      <c r="B59" s="94">
        <v>25.05</v>
      </c>
      <c r="C59" s="94">
        <v>3.88</v>
      </c>
      <c r="D59" s="94"/>
    </row>
    <row r="60" spans="1:4" x14ac:dyDescent="0.25">
      <c r="A60" s="93">
        <v>53</v>
      </c>
      <c r="B60" s="94">
        <v>24.48</v>
      </c>
      <c r="C60" s="94">
        <v>3.91</v>
      </c>
      <c r="D60" s="94"/>
    </row>
    <row r="61" spans="1:4" x14ac:dyDescent="0.25">
      <c r="A61" s="93">
        <v>54</v>
      </c>
      <c r="B61" s="94">
        <v>23.91</v>
      </c>
      <c r="C61" s="94">
        <v>3.94</v>
      </c>
      <c r="D61" s="94"/>
    </row>
    <row r="62" spans="1:4" x14ac:dyDescent="0.25">
      <c r="A62" s="93">
        <v>55</v>
      </c>
      <c r="B62" s="94">
        <v>23.33</v>
      </c>
      <c r="C62" s="94">
        <v>3.97</v>
      </c>
      <c r="D62" s="94"/>
    </row>
    <row r="63" spans="1:4" x14ac:dyDescent="0.25">
      <c r="A63" s="93">
        <v>56</v>
      </c>
      <c r="B63" s="94">
        <v>22.74</v>
      </c>
      <c r="C63" s="94">
        <v>4</v>
      </c>
      <c r="D63" s="94"/>
    </row>
    <row r="64" spans="1:4" x14ac:dyDescent="0.25">
      <c r="A64" s="93">
        <v>57</v>
      </c>
      <c r="B64" s="94">
        <v>22.14</v>
      </c>
      <c r="C64" s="94">
        <v>4.0199999999999996</v>
      </c>
      <c r="D64" s="94"/>
    </row>
    <row r="65" spans="1:4" x14ac:dyDescent="0.25">
      <c r="A65" s="93">
        <v>58</v>
      </c>
      <c r="B65" s="94">
        <v>21.54</v>
      </c>
      <c r="C65" s="94">
        <v>4.05</v>
      </c>
      <c r="D65" s="94"/>
    </row>
    <row r="66" spans="1:4" x14ac:dyDescent="0.25">
      <c r="A66" s="93">
        <v>59</v>
      </c>
      <c r="B66" s="94">
        <v>20.93</v>
      </c>
      <c r="C66" s="94">
        <v>4.07</v>
      </c>
      <c r="D66" s="94"/>
    </row>
    <row r="67" spans="1:4" x14ac:dyDescent="0.25">
      <c r="A67" s="93">
        <v>60</v>
      </c>
      <c r="B67" s="94">
        <v>20.32</v>
      </c>
      <c r="C67" s="94">
        <v>4.09</v>
      </c>
      <c r="D67" s="94"/>
    </row>
    <row r="68" spans="1:4" x14ac:dyDescent="0.25">
      <c r="A68" s="93">
        <v>61</v>
      </c>
      <c r="B68" s="94">
        <v>19.7</v>
      </c>
      <c r="C68" s="94">
        <v>4.1100000000000003</v>
      </c>
      <c r="D68" s="94"/>
    </row>
    <row r="69" spans="1:4" x14ac:dyDescent="0.25">
      <c r="A69" s="93">
        <v>62</v>
      </c>
      <c r="B69" s="94">
        <v>19.079999999999998</v>
      </c>
      <c r="C69" s="94">
        <v>4.13</v>
      </c>
      <c r="D69" s="94"/>
    </row>
    <row r="70" spans="1:4" x14ac:dyDescent="0.25">
      <c r="A70" s="93">
        <v>63</v>
      </c>
      <c r="B70" s="94">
        <v>18.46</v>
      </c>
      <c r="C70" s="94">
        <v>4.1399999999999997</v>
      </c>
      <c r="D70" s="94"/>
    </row>
    <row r="71" spans="1:4" x14ac:dyDescent="0.25">
      <c r="A71" s="93">
        <v>64</v>
      </c>
      <c r="B71" s="94">
        <v>17.829999999999998</v>
      </c>
      <c r="C71" s="94">
        <v>4.1500000000000004</v>
      </c>
      <c r="D71" s="94"/>
    </row>
    <row r="72" spans="1:4" x14ac:dyDescent="0.25">
      <c r="A72" s="93">
        <v>65</v>
      </c>
      <c r="B72" s="94">
        <v>17.2</v>
      </c>
      <c r="C72" s="94">
        <v>4.1500000000000004</v>
      </c>
      <c r="D72" s="94"/>
    </row>
    <row r="73" spans="1:4" x14ac:dyDescent="0.25">
      <c r="A73" s="93">
        <v>66</v>
      </c>
      <c r="B73" s="94">
        <v>16.57</v>
      </c>
      <c r="C73" s="94">
        <v>4.1500000000000004</v>
      </c>
      <c r="D73" s="94"/>
    </row>
    <row r="74" spans="1:4" x14ac:dyDescent="0.25">
      <c r="A74" s="93">
        <v>67</v>
      </c>
      <c r="B74" s="94">
        <v>15.94</v>
      </c>
      <c r="C74" s="94">
        <v>4.1500000000000004</v>
      </c>
      <c r="D74" s="94"/>
    </row>
    <row r="75" spans="1:4" x14ac:dyDescent="0.25">
      <c r="A75" s="93">
        <v>68</v>
      </c>
      <c r="B75" s="94">
        <v>15.31</v>
      </c>
      <c r="C75" s="94">
        <v>4.1399999999999997</v>
      </c>
      <c r="D75" s="94"/>
    </row>
    <row r="76" spans="1:4" x14ac:dyDescent="0.25">
      <c r="A76" s="93">
        <v>69</v>
      </c>
      <c r="B76" s="94">
        <v>14.67</v>
      </c>
      <c r="C76" s="94">
        <v>4.07</v>
      </c>
      <c r="D76" s="94">
        <v>2.82</v>
      </c>
    </row>
    <row r="77" spans="1:4" x14ac:dyDescent="0.25">
      <c r="A77" s="93">
        <v>70</v>
      </c>
      <c r="B77" s="94">
        <v>14.04</v>
      </c>
      <c r="C77" s="94">
        <v>4</v>
      </c>
      <c r="D77" s="94">
        <v>2.62</v>
      </c>
    </row>
    <row r="78" spans="1:4" x14ac:dyDescent="0.25">
      <c r="A78" s="93">
        <v>71</v>
      </c>
      <c r="B78" s="94">
        <v>13.42</v>
      </c>
      <c r="C78" s="94">
        <v>3.97</v>
      </c>
      <c r="D78" s="94">
        <v>2.42</v>
      </c>
    </row>
    <row r="79" spans="1:4" x14ac:dyDescent="0.25">
      <c r="A79" s="93">
        <v>72</v>
      </c>
      <c r="B79" s="94">
        <v>12.79</v>
      </c>
      <c r="C79" s="94">
        <v>3.94</v>
      </c>
      <c r="D79" s="94">
        <v>2.23</v>
      </c>
    </row>
    <row r="80" spans="1:4" x14ac:dyDescent="0.25">
      <c r="A80" s="93">
        <v>73</v>
      </c>
      <c r="B80" s="94">
        <v>12.17</v>
      </c>
      <c r="C80" s="94">
        <v>3.9</v>
      </c>
      <c r="D80" s="94">
        <v>2.0499999999999998</v>
      </c>
    </row>
    <row r="81" spans="1:4" x14ac:dyDescent="0.25">
      <c r="A81" s="93">
        <v>74</v>
      </c>
      <c r="B81" s="94">
        <v>11.56</v>
      </c>
      <c r="C81" s="94">
        <v>3.74</v>
      </c>
      <c r="D81" s="94">
        <v>1.88</v>
      </c>
    </row>
    <row r="82" spans="1:4" x14ac:dyDescent="0.25">
      <c r="A82" s="93">
        <v>75</v>
      </c>
      <c r="B82" s="94">
        <v>10.95</v>
      </c>
      <c r="C82" s="94">
        <v>3.56</v>
      </c>
      <c r="D82" s="94">
        <v>1.71</v>
      </c>
    </row>
    <row r="83" spans="1:4" x14ac:dyDescent="0.25">
      <c r="A83" s="93">
        <v>76</v>
      </c>
      <c r="B83" s="94">
        <v>10.36</v>
      </c>
      <c r="C83" s="94">
        <v>3.51</v>
      </c>
      <c r="D83" s="94">
        <v>1.56</v>
      </c>
    </row>
    <row r="84" spans="1:4" x14ac:dyDescent="0.25">
      <c r="A84" s="93">
        <v>77</v>
      </c>
      <c r="B84" s="94">
        <v>9.77</v>
      </c>
      <c r="C84" s="94">
        <v>3.45</v>
      </c>
      <c r="D84" s="94">
        <v>1.41</v>
      </c>
    </row>
    <row r="85" spans="1:4" x14ac:dyDescent="0.25">
      <c r="A85" s="93">
        <v>78</v>
      </c>
      <c r="B85" s="94">
        <v>9.19</v>
      </c>
      <c r="C85" s="94">
        <v>3.38</v>
      </c>
      <c r="D85" s="94">
        <v>1.27</v>
      </c>
    </row>
    <row r="86" spans="1:4" x14ac:dyDescent="0.25">
      <c r="A86" s="93">
        <v>79</v>
      </c>
      <c r="B86" s="94">
        <v>8.6300000000000008</v>
      </c>
      <c r="C86" s="94">
        <v>3.1</v>
      </c>
      <c r="D86" s="94">
        <v>1.1299999999999999</v>
      </c>
    </row>
    <row r="87" spans="1:4" x14ac:dyDescent="0.25">
      <c r="A87" s="93">
        <v>80</v>
      </c>
      <c r="B87" s="94">
        <v>8.09</v>
      </c>
      <c r="C87" s="94">
        <v>2.82</v>
      </c>
      <c r="D87" s="94">
        <v>1.01</v>
      </c>
    </row>
    <row r="88" spans="1:4" x14ac:dyDescent="0.25">
      <c r="A88" s="93">
        <v>81</v>
      </c>
      <c r="B88" s="94">
        <v>7.56</v>
      </c>
      <c r="C88" s="94">
        <v>2.74</v>
      </c>
      <c r="D88" s="94">
        <v>0.9</v>
      </c>
    </row>
    <row r="89" spans="1:4" x14ac:dyDescent="0.25">
      <c r="A89" s="93">
        <v>82</v>
      </c>
      <c r="B89" s="94">
        <v>7.05</v>
      </c>
      <c r="C89" s="94">
        <v>2.66</v>
      </c>
      <c r="D89" s="94">
        <v>0.8</v>
      </c>
    </row>
    <row r="90" spans="1:4" x14ac:dyDescent="0.25">
      <c r="A90" s="93">
        <v>83</v>
      </c>
      <c r="B90" s="94">
        <v>6.56</v>
      </c>
      <c r="C90" s="94">
        <v>2.56</v>
      </c>
      <c r="D90" s="94">
        <v>0.7</v>
      </c>
    </row>
    <row r="91" spans="1:4" x14ac:dyDescent="0.25">
      <c r="A91" s="93">
        <v>84</v>
      </c>
      <c r="B91" s="94">
        <v>6.1</v>
      </c>
      <c r="C91" s="94">
        <v>2.2400000000000002</v>
      </c>
      <c r="D91" s="94">
        <v>0.61</v>
      </c>
    </row>
    <row r="92" spans="1:4" x14ac:dyDescent="0.25">
      <c r="A92" s="93">
        <v>85</v>
      </c>
      <c r="B92" s="94">
        <v>5.65</v>
      </c>
      <c r="C92" s="94">
        <v>1.92</v>
      </c>
      <c r="D92" s="94">
        <v>0.54</v>
      </c>
    </row>
  </sheetData>
  <sheetProtection algorithmName="SHA-512" hashValue="eL9iCmR322uSanJnmBGXSWifLtMD6JFE2D6XAf/WYZInqs5lzyOxpTEAq/GGCgO6V8Js0bLynh3deLTKpqjk5A==" saltValue="uPsCtFbjs0mE67w4OHemWA==" spinCount="100000" sheet="1" objects="1" scenarios="1"/>
  <conditionalFormatting sqref="A6:A21">
    <cfRule type="expression" dxfId="701" priority="15" stopIfTrue="1">
      <formula>MOD(ROW(),2)=0</formula>
    </cfRule>
    <cfRule type="expression" dxfId="700" priority="16" stopIfTrue="1">
      <formula>MOD(ROW(),2)&lt;&gt;0</formula>
    </cfRule>
  </conditionalFormatting>
  <conditionalFormatting sqref="A26:A92">
    <cfRule type="expression" dxfId="699" priority="5" stopIfTrue="1">
      <formula>MOD(ROW(),2)=0</formula>
    </cfRule>
    <cfRule type="expression" dxfId="698" priority="6" stopIfTrue="1">
      <formula>MOD(ROW(),2)&lt;&gt;0</formula>
    </cfRule>
  </conditionalFormatting>
  <conditionalFormatting sqref="B18:B19">
    <cfRule type="expression" dxfId="697" priority="1" stopIfTrue="1">
      <formula>MOD(ROW(),2)=0</formula>
    </cfRule>
    <cfRule type="expression" dxfId="696" priority="2" stopIfTrue="1">
      <formula>MOD(ROW(),2)&lt;&gt;0</formula>
    </cfRule>
  </conditionalFormatting>
  <conditionalFormatting sqref="B6:D6 C7:D7 C18:D19 B20:D21">
    <cfRule type="expression" dxfId="695" priority="29" stopIfTrue="1">
      <formula>MOD(ROW(),2)=0</formula>
    </cfRule>
    <cfRule type="expression" dxfId="694" priority="30" stopIfTrue="1">
      <formula>MOD(ROW(),2)&lt;&gt;0</formula>
    </cfRule>
  </conditionalFormatting>
  <conditionalFormatting sqref="B6:D21">
    <cfRule type="expression" dxfId="693" priority="19" stopIfTrue="1">
      <formula>MOD(ROW(),2)=0</formula>
    </cfRule>
    <cfRule type="expression" dxfId="692" priority="20" stopIfTrue="1">
      <formula>MOD(ROW(),2)&lt;&gt;0</formula>
    </cfRule>
  </conditionalFormatting>
  <conditionalFormatting sqref="B8:D11">
    <cfRule type="expression" dxfId="691" priority="21" stopIfTrue="1">
      <formula>MOD(ROW(),2)=0</formula>
    </cfRule>
    <cfRule type="expression" dxfId="690" priority="22" stopIfTrue="1">
      <formula>MOD(ROW(),2)&lt;&gt;0</formula>
    </cfRule>
  </conditionalFormatting>
  <conditionalFormatting sqref="B12:D17">
    <cfRule type="expression" dxfId="689" priority="3" stopIfTrue="1">
      <formula>MOD(ROW(),2)=0</formula>
    </cfRule>
    <cfRule type="expression" dxfId="688" priority="4" stopIfTrue="1">
      <formula>MOD(ROW(),2)&lt;&gt;0</formula>
    </cfRule>
  </conditionalFormatting>
  <conditionalFormatting sqref="B26:D92">
    <cfRule type="expression" dxfId="687" priority="7" stopIfTrue="1">
      <formula>MOD(ROW(),2)=0</formula>
    </cfRule>
    <cfRule type="expression" dxfId="686"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x-309</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2015</v>
      </c>
      <c r="C8" s="110"/>
      <c r="D8" s="110"/>
    </row>
    <row r="9" spans="1:9" x14ac:dyDescent="0.25">
      <c r="A9" s="73" t="s">
        <v>307</v>
      </c>
      <c r="B9" s="110" t="s">
        <v>368</v>
      </c>
      <c r="C9" s="110"/>
      <c r="D9" s="110"/>
    </row>
    <row r="10" spans="1:9" ht="25.2" customHeight="1" x14ac:dyDescent="0.25">
      <c r="A10" s="73" t="s">
        <v>233</v>
      </c>
      <c r="B10" s="110" t="s">
        <v>369</v>
      </c>
      <c r="C10" s="110"/>
      <c r="D10" s="110"/>
    </row>
    <row r="11" spans="1:9" x14ac:dyDescent="0.25">
      <c r="A11" s="73" t="s">
        <v>308</v>
      </c>
      <c r="B11" s="110" t="s">
        <v>322</v>
      </c>
      <c r="C11" s="110"/>
      <c r="D11" s="110"/>
    </row>
    <row r="12" spans="1:9" ht="12.6" customHeight="1" x14ac:dyDescent="0.25">
      <c r="A12" s="73" t="s">
        <v>309</v>
      </c>
      <c r="B12" s="110" t="s">
        <v>323</v>
      </c>
      <c r="C12" s="110"/>
      <c r="D12" s="110"/>
    </row>
    <row r="13" spans="1:9" ht="12.6" customHeight="1" x14ac:dyDescent="0.25">
      <c r="A13" s="73" t="s">
        <v>566</v>
      </c>
      <c r="B13" s="110">
        <v>0</v>
      </c>
      <c r="C13" s="110"/>
      <c r="D13" s="110"/>
    </row>
    <row r="14" spans="1:9" ht="12.6" customHeight="1" x14ac:dyDescent="0.25">
      <c r="A14" s="73" t="s">
        <v>311</v>
      </c>
      <c r="B14" s="110">
        <v>309</v>
      </c>
      <c r="C14" s="110"/>
      <c r="D14" s="110"/>
    </row>
    <row r="15" spans="1:9" x14ac:dyDescent="0.25">
      <c r="A15" s="73" t="s">
        <v>569</v>
      </c>
      <c r="B15" s="110" t="s">
        <v>383</v>
      </c>
      <c r="C15" s="110"/>
      <c r="D15" s="110"/>
    </row>
    <row r="16" spans="1:9" x14ac:dyDescent="0.25">
      <c r="A16" s="73" t="s">
        <v>313</v>
      </c>
      <c r="B16" s="110" t="s">
        <v>325</v>
      </c>
      <c r="C16" s="110"/>
      <c r="D16" s="110"/>
    </row>
    <row r="17" spans="1:4" ht="43.5" customHeight="1" x14ac:dyDescent="0.25">
      <c r="A17" s="75"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6.6" customHeight="1" x14ac:dyDescent="0.25">
      <c r="A26" s="92" t="s">
        <v>640</v>
      </c>
      <c r="B26" s="92" t="s">
        <v>649</v>
      </c>
      <c r="C26" s="92" t="s">
        <v>657</v>
      </c>
      <c r="D26" s="92" t="s">
        <v>652</v>
      </c>
    </row>
    <row r="27" spans="1:4" x14ac:dyDescent="0.25">
      <c r="A27" s="93">
        <v>55</v>
      </c>
      <c r="B27" s="94">
        <v>23.37</v>
      </c>
      <c r="C27" s="94">
        <v>3.97</v>
      </c>
      <c r="D27" s="94"/>
    </row>
    <row r="28" spans="1:4" x14ac:dyDescent="0.25">
      <c r="A28" s="93">
        <v>56</v>
      </c>
      <c r="B28" s="94">
        <v>22.78</v>
      </c>
      <c r="C28" s="94">
        <v>4</v>
      </c>
      <c r="D28" s="94"/>
    </row>
    <row r="29" spans="1:4" x14ac:dyDescent="0.25">
      <c r="A29" s="93">
        <v>57</v>
      </c>
      <c r="B29" s="94">
        <v>22.19</v>
      </c>
      <c r="C29" s="94">
        <v>4.0199999999999996</v>
      </c>
      <c r="D29" s="94"/>
    </row>
    <row r="30" spans="1:4" x14ac:dyDescent="0.25">
      <c r="A30" s="93">
        <v>58</v>
      </c>
      <c r="B30" s="94">
        <v>21.6</v>
      </c>
      <c r="C30" s="94">
        <v>4.05</v>
      </c>
      <c r="D30" s="94"/>
    </row>
    <row r="31" spans="1:4" x14ac:dyDescent="0.25">
      <c r="A31" s="93">
        <v>59</v>
      </c>
      <c r="B31" s="94">
        <v>20.99</v>
      </c>
      <c r="C31" s="94">
        <v>4.07</v>
      </c>
      <c r="D31" s="94"/>
    </row>
    <row r="32" spans="1:4" x14ac:dyDescent="0.25">
      <c r="A32" s="93">
        <v>60</v>
      </c>
      <c r="B32" s="94">
        <v>20.37</v>
      </c>
      <c r="C32" s="94">
        <v>4.09</v>
      </c>
      <c r="D32" s="94"/>
    </row>
    <row r="33" spans="1:4" x14ac:dyDescent="0.25">
      <c r="A33" s="93">
        <v>61</v>
      </c>
      <c r="B33" s="94">
        <v>19.739999999999998</v>
      </c>
      <c r="C33" s="94">
        <v>4.1100000000000003</v>
      </c>
      <c r="D33" s="94"/>
    </row>
    <row r="34" spans="1:4" x14ac:dyDescent="0.25">
      <c r="A34" s="93">
        <v>62</v>
      </c>
      <c r="B34" s="94">
        <v>19.100000000000001</v>
      </c>
      <c r="C34" s="94">
        <v>4.13</v>
      </c>
      <c r="D34" s="94"/>
    </row>
    <row r="35" spans="1:4" x14ac:dyDescent="0.25">
      <c r="A35" s="93">
        <v>63</v>
      </c>
      <c r="B35" s="94">
        <v>18.46</v>
      </c>
      <c r="C35" s="94">
        <v>4.1399999999999997</v>
      </c>
      <c r="D35" s="94"/>
    </row>
    <row r="36" spans="1:4" x14ac:dyDescent="0.25">
      <c r="A36" s="93">
        <v>64</v>
      </c>
      <c r="B36" s="94">
        <v>17.829999999999998</v>
      </c>
      <c r="C36" s="94">
        <v>4.1500000000000004</v>
      </c>
      <c r="D36" s="94"/>
    </row>
    <row r="37" spans="1:4" x14ac:dyDescent="0.25">
      <c r="A37" s="93">
        <v>65</v>
      </c>
      <c r="B37" s="94">
        <v>17.2</v>
      </c>
      <c r="C37" s="94">
        <v>4.1500000000000004</v>
      </c>
      <c r="D37" s="94"/>
    </row>
    <row r="38" spans="1:4" x14ac:dyDescent="0.25">
      <c r="A38" s="93">
        <v>66</v>
      </c>
      <c r="B38" s="94">
        <v>16.57</v>
      </c>
      <c r="C38" s="94">
        <v>4.1500000000000004</v>
      </c>
      <c r="D38" s="94"/>
    </row>
    <row r="39" spans="1:4" x14ac:dyDescent="0.25">
      <c r="A39" s="93">
        <v>67</v>
      </c>
      <c r="B39" s="94">
        <v>15.94</v>
      </c>
      <c r="C39" s="94">
        <v>4.1500000000000004</v>
      </c>
      <c r="D39" s="94"/>
    </row>
    <row r="40" spans="1:4" x14ac:dyDescent="0.25">
      <c r="A40" s="93">
        <v>68</v>
      </c>
      <c r="B40" s="94">
        <v>15.31</v>
      </c>
      <c r="C40" s="94">
        <v>4.1399999999999997</v>
      </c>
      <c r="D40" s="94"/>
    </row>
    <row r="41" spans="1:4" x14ac:dyDescent="0.25">
      <c r="A41" s="93">
        <v>69</v>
      </c>
      <c r="B41" s="94">
        <v>14.67</v>
      </c>
      <c r="C41" s="94">
        <v>4.07</v>
      </c>
      <c r="D41" s="94">
        <v>3.01</v>
      </c>
    </row>
    <row r="42" spans="1:4" x14ac:dyDescent="0.25">
      <c r="A42" s="93">
        <v>70</v>
      </c>
      <c r="B42" s="94">
        <v>14.04</v>
      </c>
      <c r="C42" s="94">
        <v>4</v>
      </c>
      <c r="D42" s="94">
        <v>2.8</v>
      </c>
    </row>
    <row r="43" spans="1:4" x14ac:dyDescent="0.25">
      <c r="A43" s="93">
        <v>71</v>
      </c>
      <c r="B43" s="94">
        <v>13.42</v>
      </c>
      <c r="C43" s="94">
        <v>3.97</v>
      </c>
      <c r="D43" s="94">
        <v>2.6</v>
      </c>
    </row>
    <row r="44" spans="1:4" x14ac:dyDescent="0.25">
      <c r="A44" s="93">
        <v>72</v>
      </c>
      <c r="B44" s="94">
        <v>12.79</v>
      </c>
      <c r="C44" s="94">
        <v>3.94</v>
      </c>
      <c r="D44" s="94">
        <v>2.41</v>
      </c>
    </row>
    <row r="45" spans="1:4" x14ac:dyDescent="0.25">
      <c r="A45" s="93">
        <v>73</v>
      </c>
      <c r="B45" s="94">
        <v>12.17</v>
      </c>
      <c r="C45" s="94">
        <v>3.9</v>
      </c>
      <c r="D45" s="94">
        <v>2.23</v>
      </c>
    </row>
    <row r="46" spans="1:4" x14ac:dyDescent="0.25">
      <c r="A46" s="93">
        <v>74</v>
      </c>
      <c r="B46" s="94">
        <v>11.56</v>
      </c>
      <c r="C46" s="94">
        <v>3.74</v>
      </c>
      <c r="D46" s="94">
        <v>2.04</v>
      </c>
    </row>
    <row r="47" spans="1:4" x14ac:dyDescent="0.25">
      <c r="A47" s="93">
        <v>75</v>
      </c>
      <c r="B47" s="94">
        <v>10.95</v>
      </c>
      <c r="C47" s="94">
        <v>3.56</v>
      </c>
      <c r="D47" s="94">
        <v>1.86</v>
      </c>
    </row>
    <row r="48" spans="1:4" x14ac:dyDescent="0.25">
      <c r="A48" s="93">
        <v>76</v>
      </c>
      <c r="B48" s="94">
        <v>10.36</v>
      </c>
      <c r="C48" s="94">
        <v>3.51</v>
      </c>
      <c r="D48" s="94">
        <v>1.7</v>
      </c>
    </row>
    <row r="49" spans="1:4" x14ac:dyDescent="0.25">
      <c r="A49" s="93">
        <v>77</v>
      </c>
      <c r="B49" s="94">
        <v>9.77</v>
      </c>
      <c r="C49" s="94">
        <v>3.45</v>
      </c>
      <c r="D49" s="94">
        <v>1.54</v>
      </c>
    </row>
    <row r="50" spans="1:4" x14ac:dyDescent="0.25">
      <c r="A50" s="93">
        <v>78</v>
      </c>
      <c r="B50" s="94">
        <v>9.19</v>
      </c>
      <c r="C50" s="94">
        <v>3.38</v>
      </c>
      <c r="D50" s="94">
        <v>1.4</v>
      </c>
    </row>
    <row r="51" spans="1:4" x14ac:dyDescent="0.25">
      <c r="A51" s="93">
        <v>79</v>
      </c>
      <c r="B51" s="94">
        <v>8.6300000000000008</v>
      </c>
      <c r="C51" s="94">
        <v>3.1</v>
      </c>
      <c r="D51" s="94">
        <v>1.25</v>
      </c>
    </row>
    <row r="52" spans="1:4" x14ac:dyDescent="0.25">
      <c r="A52" s="93">
        <v>80</v>
      </c>
      <c r="B52" s="94">
        <v>8.09</v>
      </c>
      <c r="C52" s="94">
        <v>2.82</v>
      </c>
      <c r="D52" s="94">
        <v>1.1100000000000001</v>
      </c>
    </row>
    <row r="53" spans="1:4" x14ac:dyDescent="0.25">
      <c r="A53" s="93">
        <v>81</v>
      </c>
      <c r="B53" s="94">
        <v>7.56</v>
      </c>
      <c r="C53" s="94">
        <v>2.74</v>
      </c>
      <c r="D53" s="94">
        <v>0.99</v>
      </c>
    </row>
    <row r="54" spans="1:4" x14ac:dyDescent="0.25">
      <c r="A54" s="93">
        <v>82</v>
      </c>
      <c r="B54" s="94">
        <v>7.05</v>
      </c>
      <c r="C54" s="94">
        <v>2.66</v>
      </c>
      <c r="D54" s="94">
        <v>0.88</v>
      </c>
    </row>
    <row r="55" spans="1:4" x14ac:dyDescent="0.25">
      <c r="A55" s="93">
        <v>83</v>
      </c>
      <c r="B55" s="94">
        <v>6.56</v>
      </c>
      <c r="C55" s="94">
        <v>2.56</v>
      </c>
      <c r="D55" s="94">
        <v>0.79</v>
      </c>
    </row>
    <row r="56" spans="1:4" x14ac:dyDescent="0.25">
      <c r="A56" s="93">
        <v>84</v>
      </c>
      <c r="B56" s="94">
        <v>6.1</v>
      </c>
      <c r="C56" s="94">
        <v>2.2400000000000002</v>
      </c>
      <c r="D56" s="94">
        <v>0.68</v>
      </c>
    </row>
    <row r="57" spans="1:4" x14ac:dyDescent="0.25">
      <c r="A57" s="93">
        <v>85</v>
      </c>
      <c r="B57" s="94">
        <v>5.65</v>
      </c>
      <c r="C57" s="94">
        <v>1.92</v>
      </c>
      <c r="D57" s="94">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FtLMLXzHNN+2jTziVWAL3tMGQqOzp0tAWVxaOLsWVLq4B/+NGJLc4jUdcmuMU68yRPEiTxpGgEijswvyF7978w==" saltValue="ABLSbT130vC4y/onSqBtKg==" spinCount="100000" sheet="1" objects="1" scenarios="1"/>
  <conditionalFormatting sqref="A6:A21">
    <cfRule type="expression" dxfId="685" priority="13" stopIfTrue="1">
      <formula>MOD(ROW(),2)=0</formula>
    </cfRule>
    <cfRule type="expression" dxfId="684" priority="14" stopIfTrue="1">
      <formula>MOD(ROW(),2)&lt;&gt;0</formula>
    </cfRule>
  </conditionalFormatting>
  <conditionalFormatting sqref="A26:A57">
    <cfRule type="expression" dxfId="683" priority="5" stopIfTrue="1">
      <formula>MOD(ROW(),2)=0</formula>
    </cfRule>
    <cfRule type="expression" dxfId="682" priority="6" stopIfTrue="1">
      <formula>MOD(ROW(),2)&lt;&gt;0</formula>
    </cfRule>
  </conditionalFormatting>
  <conditionalFormatting sqref="B18:B19">
    <cfRule type="expression" dxfId="681" priority="1" stopIfTrue="1">
      <formula>MOD(ROW(),2)=0</formula>
    </cfRule>
    <cfRule type="expression" dxfId="680" priority="2" stopIfTrue="1">
      <formula>MOD(ROW(),2)&lt;&gt;0</formula>
    </cfRule>
  </conditionalFormatting>
  <conditionalFormatting sqref="B6:D6 C7:D7 B16:B17 C18:D19 B20:D21">
    <cfRule type="expression" dxfId="679" priority="25" stopIfTrue="1">
      <formula>MOD(ROW(),2)=0</formula>
    </cfRule>
    <cfRule type="expression" dxfId="678" priority="26" stopIfTrue="1">
      <formula>MOD(ROW(),2)&lt;&gt;0</formula>
    </cfRule>
  </conditionalFormatting>
  <conditionalFormatting sqref="B6:D21">
    <cfRule type="expression" dxfId="677" priority="15" stopIfTrue="1">
      <formula>MOD(ROW(),2)=0</formula>
    </cfRule>
    <cfRule type="expression" dxfId="676" priority="16" stopIfTrue="1">
      <formula>MOD(ROW(),2)&lt;&gt;0</formula>
    </cfRule>
  </conditionalFormatting>
  <conditionalFormatting sqref="B8:D15">
    <cfRule type="expression" dxfId="675" priority="17" stopIfTrue="1">
      <formula>MOD(ROW(),2)=0</formula>
    </cfRule>
    <cfRule type="expression" dxfId="674" priority="18" stopIfTrue="1">
      <formula>MOD(ROW(),2)&lt;&gt;0</formula>
    </cfRule>
  </conditionalFormatting>
  <conditionalFormatting sqref="B26:D57">
    <cfRule type="expression" dxfId="673" priority="7" stopIfTrue="1">
      <formula>MOD(ROW(),2)=0</formula>
    </cfRule>
    <cfRule type="expression" dxfId="672" priority="8" stopIfTrue="1">
      <formula>MOD(ROW(),2)&lt;&gt;0</formula>
    </cfRule>
  </conditionalFormatting>
  <conditionalFormatting sqref="C16:D17">
    <cfRule type="expression" dxfId="671" priority="3" stopIfTrue="1">
      <formula>MOD(ROW(),2)=0</formula>
    </cfRule>
    <cfRule type="expression" dxfId="6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5"/>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x-310</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2015</v>
      </c>
      <c r="C8" s="110"/>
      <c r="D8" s="110"/>
    </row>
    <row r="9" spans="1:9" x14ac:dyDescent="0.25">
      <c r="A9" s="73" t="s">
        <v>307</v>
      </c>
      <c r="B9" s="110" t="s">
        <v>368</v>
      </c>
      <c r="C9" s="110"/>
      <c r="D9" s="110"/>
    </row>
    <row r="10" spans="1:9" ht="25.2" customHeight="1" x14ac:dyDescent="0.25">
      <c r="A10" s="73" t="s">
        <v>233</v>
      </c>
      <c r="B10" s="110" t="s">
        <v>369</v>
      </c>
      <c r="C10" s="110"/>
      <c r="D10" s="110"/>
    </row>
    <row r="11" spans="1:9" x14ac:dyDescent="0.25">
      <c r="A11" s="73" t="s">
        <v>308</v>
      </c>
      <c r="B11" s="110" t="s">
        <v>328</v>
      </c>
      <c r="C11" s="110"/>
      <c r="D11" s="110"/>
    </row>
    <row r="12" spans="1:9" ht="12.6" customHeight="1" x14ac:dyDescent="0.25">
      <c r="A12" s="73" t="s">
        <v>309</v>
      </c>
      <c r="B12" s="110" t="s">
        <v>323</v>
      </c>
      <c r="C12" s="110"/>
      <c r="D12" s="110"/>
    </row>
    <row r="13" spans="1:9" ht="12.6" customHeight="1" x14ac:dyDescent="0.25">
      <c r="A13" s="73" t="s">
        <v>566</v>
      </c>
      <c r="B13" s="110">
        <v>0</v>
      </c>
      <c r="C13" s="110"/>
      <c r="D13" s="110"/>
    </row>
    <row r="14" spans="1:9" ht="12.6" customHeight="1" x14ac:dyDescent="0.25">
      <c r="A14" s="73" t="s">
        <v>311</v>
      </c>
      <c r="B14" s="110">
        <v>310</v>
      </c>
      <c r="C14" s="110"/>
      <c r="D14" s="110"/>
    </row>
    <row r="15" spans="1:9" x14ac:dyDescent="0.25">
      <c r="A15" s="73" t="s">
        <v>569</v>
      </c>
      <c r="B15" s="110" t="s">
        <v>384</v>
      </c>
      <c r="C15" s="110"/>
      <c r="D15" s="110"/>
    </row>
    <row r="16" spans="1:9" x14ac:dyDescent="0.25">
      <c r="A16" s="73" t="s">
        <v>313</v>
      </c>
      <c r="B16" s="110" t="s">
        <v>330</v>
      </c>
      <c r="C16" s="110"/>
      <c r="D16" s="110"/>
    </row>
    <row r="17" spans="1:4" ht="40.5" customHeight="1" x14ac:dyDescent="0.25">
      <c r="A17" s="75"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6.6" customHeight="1" x14ac:dyDescent="0.25">
      <c r="A26" s="92" t="s">
        <v>640</v>
      </c>
      <c r="B26" s="92" t="s">
        <v>649</v>
      </c>
      <c r="C26" s="92" t="s">
        <v>657</v>
      </c>
      <c r="D26" s="92" t="s">
        <v>652</v>
      </c>
    </row>
    <row r="27" spans="1:4" x14ac:dyDescent="0.25">
      <c r="A27" s="93">
        <v>55</v>
      </c>
      <c r="B27" s="94">
        <v>23.37</v>
      </c>
      <c r="C27" s="94">
        <v>3.97</v>
      </c>
      <c r="D27" s="94"/>
    </row>
    <row r="28" spans="1:4" x14ac:dyDescent="0.25">
      <c r="A28" s="93">
        <v>56</v>
      </c>
      <c r="B28" s="94">
        <v>22.78</v>
      </c>
      <c r="C28" s="94">
        <v>4</v>
      </c>
      <c r="D28" s="94"/>
    </row>
    <row r="29" spans="1:4" x14ac:dyDescent="0.25">
      <c r="A29" s="93">
        <v>57</v>
      </c>
      <c r="B29" s="94">
        <v>22.19</v>
      </c>
      <c r="C29" s="94">
        <v>4.0199999999999996</v>
      </c>
      <c r="D29" s="94"/>
    </row>
    <row r="30" spans="1:4" x14ac:dyDescent="0.25">
      <c r="A30" s="93">
        <v>58</v>
      </c>
      <c r="B30" s="94">
        <v>21.6</v>
      </c>
      <c r="C30" s="94">
        <v>4.05</v>
      </c>
      <c r="D30" s="94"/>
    </row>
    <row r="31" spans="1:4" x14ac:dyDescent="0.25">
      <c r="A31" s="93">
        <v>59</v>
      </c>
      <c r="B31" s="94">
        <v>20.99</v>
      </c>
      <c r="C31" s="94">
        <v>4.07</v>
      </c>
      <c r="D31" s="94"/>
    </row>
    <row r="32" spans="1:4" x14ac:dyDescent="0.25">
      <c r="A32" s="93">
        <v>60</v>
      </c>
      <c r="B32" s="94">
        <v>20.37</v>
      </c>
      <c r="C32" s="94">
        <v>4.09</v>
      </c>
      <c r="D32" s="94"/>
    </row>
    <row r="33" spans="1:4" x14ac:dyDescent="0.25">
      <c r="A33" s="93">
        <v>61</v>
      </c>
      <c r="B33" s="94">
        <v>19.739999999999998</v>
      </c>
      <c r="C33" s="94">
        <v>4.1100000000000003</v>
      </c>
      <c r="D33" s="94"/>
    </row>
    <row r="34" spans="1:4" x14ac:dyDescent="0.25">
      <c r="A34" s="93">
        <v>62</v>
      </c>
      <c r="B34" s="94">
        <v>19.100000000000001</v>
      </c>
      <c r="C34" s="94">
        <v>4.13</v>
      </c>
      <c r="D34" s="94"/>
    </row>
    <row r="35" spans="1:4" x14ac:dyDescent="0.25">
      <c r="A35" s="93">
        <v>63</v>
      </c>
      <c r="B35" s="94">
        <v>18.46</v>
      </c>
      <c r="C35" s="94">
        <v>4.1399999999999997</v>
      </c>
      <c r="D35" s="94"/>
    </row>
    <row r="36" spans="1:4" x14ac:dyDescent="0.25">
      <c r="A36" s="93">
        <v>64</v>
      </c>
      <c r="B36" s="94">
        <v>17.829999999999998</v>
      </c>
      <c r="C36" s="94">
        <v>4.1500000000000004</v>
      </c>
      <c r="D36" s="94"/>
    </row>
    <row r="37" spans="1:4" x14ac:dyDescent="0.25">
      <c r="A37" s="93">
        <v>65</v>
      </c>
      <c r="B37" s="94">
        <v>17.2</v>
      </c>
      <c r="C37" s="94">
        <v>4.1500000000000004</v>
      </c>
      <c r="D37" s="94"/>
    </row>
    <row r="38" spans="1:4" x14ac:dyDescent="0.25">
      <c r="A38" s="93">
        <v>66</v>
      </c>
      <c r="B38" s="94">
        <v>16.57</v>
      </c>
      <c r="C38" s="94">
        <v>4.1500000000000004</v>
      </c>
      <c r="D38" s="94"/>
    </row>
    <row r="39" spans="1:4" x14ac:dyDescent="0.25">
      <c r="A39" s="93">
        <v>67</v>
      </c>
      <c r="B39" s="94">
        <v>15.94</v>
      </c>
      <c r="C39" s="94">
        <v>4.1500000000000004</v>
      </c>
      <c r="D39" s="94"/>
    </row>
    <row r="40" spans="1:4" x14ac:dyDescent="0.25">
      <c r="A40" s="93">
        <v>68</v>
      </c>
      <c r="B40" s="94">
        <v>15.31</v>
      </c>
      <c r="C40" s="94">
        <v>4.1399999999999997</v>
      </c>
      <c r="D40" s="94"/>
    </row>
    <row r="41" spans="1:4" x14ac:dyDescent="0.25">
      <c r="A41" s="93">
        <v>69</v>
      </c>
      <c r="B41" s="94">
        <v>14.67</v>
      </c>
      <c r="C41" s="94">
        <v>4.07</v>
      </c>
      <c r="D41" s="94">
        <v>2.82</v>
      </c>
    </row>
    <row r="42" spans="1:4" x14ac:dyDescent="0.25">
      <c r="A42" s="93">
        <v>70</v>
      </c>
      <c r="B42" s="94">
        <v>14.04</v>
      </c>
      <c r="C42" s="94">
        <v>4</v>
      </c>
      <c r="D42" s="94">
        <v>2.62</v>
      </c>
    </row>
    <row r="43" spans="1:4" x14ac:dyDescent="0.25">
      <c r="A43" s="93">
        <v>71</v>
      </c>
      <c r="B43" s="94">
        <v>13.42</v>
      </c>
      <c r="C43" s="94">
        <v>3.97</v>
      </c>
      <c r="D43" s="94">
        <v>2.42</v>
      </c>
    </row>
    <row r="44" spans="1:4" x14ac:dyDescent="0.25">
      <c r="A44" s="93">
        <v>72</v>
      </c>
      <c r="B44" s="94">
        <v>12.79</v>
      </c>
      <c r="C44" s="94">
        <v>3.94</v>
      </c>
      <c r="D44" s="94">
        <v>2.23</v>
      </c>
    </row>
    <row r="45" spans="1:4" x14ac:dyDescent="0.25">
      <c r="A45" s="93">
        <v>73</v>
      </c>
      <c r="B45" s="94">
        <v>12.17</v>
      </c>
      <c r="C45" s="94">
        <v>3.9</v>
      </c>
      <c r="D45" s="94">
        <v>2.0499999999999998</v>
      </c>
    </row>
    <row r="46" spans="1:4" x14ac:dyDescent="0.25">
      <c r="A46" s="93">
        <v>74</v>
      </c>
      <c r="B46" s="94">
        <v>11.56</v>
      </c>
      <c r="C46" s="94">
        <v>3.74</v>
      </c>
      <c r="D46" s="94">
        <v>1.88</v>
      </c>
    </row>
    <row r="47" spans="1:4" x14ac:dyDescent="0.25">
      <c r="A47" s="93">
        <v>75</v>
      </c>
      <c r="B47" s="94">
        <v>10.95</v>
      </c>
      <c r="C47" s="94">
        <v>3.56</v>
      </c>
      <c r="D47" s="94">
        <v>1.71</v>
      </c>
    </row>
    <row r="48" spans="1:4" x14ac:dyDescent="0.25">
      <c r="A48" s="93">
        <v>76</v>
      </c>
      <c r="B48" s="94">
        <v>10.36</v>
      </c>
      <c r="C48" s="94">
        <v>3.51</v>
      </c>
      <c r="D48" s="94">
        <v>1.56</v>
      </c>
    </row>
    <row r="49" spans="1:4" x14ac:dyDescent="0.25">
      <c r="A49" s="93">
        <v>77</v>
      </c>
      <c r="B49" s="94">
        <v>9.77</v>
      </c>
      <c r="C49" s="94">
        <v>3.45</v>
      </c>
      <c r="D49" s="94">
        <v>1.41</v>
      </c>
    </row>
    <row r="50" spans="1:4" x14ac:dyDescent="0.25">
      <c r="A50" s="93">
        <v>78</v>
      </c>
      <c r="B50" s="94">
        <v>9.19</v>
      </c>
      <c r="C50" s="94">
        <v>3.38</v>
      </c>
      <c r="D50" s="94">
        <v>1.27</v>
      </c>
    </row>
    <row r="51" spans="1:4" x14ac:dyDescent="0.25">
      <c r="A51" s="93">
        <v>79</v>
      </c>
      <c r="B51" s="94">
        <v>8.6300000000000008</v>
      </c>
      <c r="C51" s="94">
        <v>3.1</v>
      </c>
      <c r="D51" s="94">
        <v>1.1299999999999999</v>
      </c>
    </row>
    <row r="52" spans="1:4" x14ac:dyDescent="0.25">
      <c r="A52" s="93">
        <v>80</v>
      </c>
      <c r="B52" s="94">
        <v>8.09</v>
      </c>
      <c r="C52" s="94">
        <v>2.82</v>
      </c>
      <c r="D52" s="94">
        <v>1.01</v>
      </c>
    </row>
    <row r="53" spans="1:4" x14ac:dyDescent="0.25">
      <c r="A53" s="93">
        <v>81</v>
      </c>
      <c r="B53" s="94">
        <v>7.56</v>
      </c>
      <c r="C53" s="94">
        <v>2.74</v>
      </c>
      <c r="D53" s="94">
        <v>0.9</v>
      </c>
    </row>
    <row r="54" spans="1:4" x14ac:dyDescent="0.25">
      <c r="A54" s="93">
        <v>82</v>
      </c>
      <c r="B54" s="94">
        <v>7.05</v>
      </c>
      <c r="C54" s="94">
        <v>2.66</v>
      </c>
      <c r="D54" s="94">
        <v>0.8</v>
      </c>
    </row>
    <row r="55" spans="1:4" x14ac:dyDescent="0.25">
      <c r="A55" s="93">
        <v>83</v>
      </c>
      <c r="B55" s="94">
        <v>6.56</v>
      </c>
      <c r="C55" s="94">
        <v>2.56</v>
      </c>
      <c r="D55" s="94">
        <v>0.7</v>
      </c>
    </row>
    <row r="56" spans="1:4" x14ac:dyDescent="0.25">
      <c r="A56" s="93">
        <v>84</v>
      </c>
      <c r="B56" s="94">
        <v>6.1</v>
      </c>
      <c r="C56" s="94">
        <v>2.2400000000000002</v>
      </c>
      <c r="D56" s="94">
        <v>0.61</v>
      </c>
    </row>
    <row r="57" spans="1:4" x14ac:dyDescent="0.25">
      <c r="A57" s="93">
        <v>85</v>
      </c>
      <c r="B57" s="94">
        <v>5.65</v>
      </c>
      <c r="C57" s="94">
        <v>1.92</v>
      </c>
      <c r="D57" s="94">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64O5eX8dOBlahuxblCJqoG0fD21CLF92KR5ltC1FjiAIJ9yJDoYkHu5xN9/X4UOThdtM4Yk8KcNi6nxU24p6pA==" saltValue="vPt4j5zod2kNVtQYAI1PUA==" spinCount="100000" sheet="1" objects="1" scenarios="1"/>
  <conditionalFormatting sqref="A6:A21">
    <cfRule type="expression" dxfId="669" priority="21" stopIfTrue="1">
      <formula>MOD(ROW(),2)=0</formula>
    </cfRule>
    <cfRule type="expression" dxfId="668" priority="22" stopIfTrue="1">
      <formula>MOD(ROW(),2)&lt;&gt;0</formula>
    </cfRule>
  </conditionalFormatting>
  <conditionalFormatting sqref="A26:A57">
    <cfRule type="expression" dxfId="667" priority="9" stopIfTrue="1">
      <formula>MOD(ROW(),2)=0</formula>
    </cfRule>
    <cfRule type="expression" dxfId="666" priority="10" stopIfTrue="1">
      <formula>MOD(ROW(),2)&lt;&gt;0</formula>
    </cfRule>
  </conditionalFormatting>
  <conditionalFormatting sqref="B17:B19">
    <cfRule type="expression" dxfId="665" priority="1" stopIfTrue="1">
      <formula>MOD(ROW(),2)=0</formula>
    </cfRule>
    <cfRule type="expression" dxfId="664" priority="2" stopIfTrue="1">
      <formula>MOD(ROW(),2)&lt;&gt;0</formula>
    </cfRule>
  </conditionalFormatting>
  <conditionalFormatting sqref="B6:D6 C7:D7 B16 C18:D19 B20:D21">
    <cfRule type="expression" dxfId="663" priority="35" stopIfTrue="1">
      <formula>MOD(ROW(),2)=0</formula>
    </cfRule>
    <cfRule type="expression" dxfId="662" priority="36" stopIfTrue="1">
      <formula>MOD(ROW(),2)&lt;&gt;0</formula>
    </cfRule>
  </conditionalFormatting>
  <conditionalFormatting sqref="B6:D21">
    <cfRule type="expression" dxfId="661" priority="25" stopIfTrue="1">
      <formula>MOD(ROW(),2)=0</formula>
    </cfRule>
    <cfRule type="expression" dxfId="660" priority="26" stopIfTrue="1">
      <formula>MOD(ROW(),2)&lt;&gt;0</formula>
    </cfRule>
  </conditionalFormatting>
  <conditionalFormatting sqref="B8:D15">
    <cfRule type="expression" dxfId="659" priority="27" stopIfTrue="1">
      <formula>MOD(ROW(),2)=0</formula>
    </cfRule>
    <cfRule type="expression" dxfId="658" priority="28" stopIfTrue="1">
      <formula>MOD(ROW(),2)&lt;&gt;0</formula>
    </cfRule>
  </conditionalFormatting>
  <conditionalFormatting sqref="B26:D57">
    <cfRule type="expression" dxfId="657" priority="11" stopIfTrue="1">
      <formula>MOD(ROW(),2)=0</formula>
    </cfRule>
    <cfRule type="expression" dxfId="656" priority="12" stopIfTrue="1">
      <formula>MOD(ROW(),2)&lt;&gt;0</formula>
    </cfRule>
  </conditionalFormatting>
  <conditionalFormatting sqref="C16:D17">
    <cfRule type="expression" dxfId="655" priority="3" stopIfTrue="1">
      <formula>MOD(ROW(),2)=0</formula>
    </cfRule>
    <cfRule type="expression" dxfId="6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x-311</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2015</v>
      </c>
      <c r="C8" s="110"/>
      <c r="D8" s="110"/>
    </row>
    <row r="9" spans="1:9" x14ac:dyDescent="0.25">
      <c r="A9" s="73" t="s">
        <v>307</v>
      </c>
      <c r="B9" s="110" t="s">
        <v>368</v>
      </c>
      <c r="C9" s="110"/>
      <c r="D9" s="110"/>
    </row>
    <row r="10" spans="1:9" ht="25.2" customHeight="1" x14ac:dyDescent="0.25">
      <c r="A10" s="73" t="s">
        <v>233</v>
      </c>
      <c r="B10" s="110" t="s">
        <v>374</v>
      </c>
      <c r="C10" s="110"/>
      <c r="D10" s="110"/>
    </row>
    <row r="11" spans="1:9" x14ac:dyDescent="0.25">
      <c r="A11" s="73" t="s">
        <v>308</v>
      </c>
      <c r="B11" s="110" t="s">
        <v>322</v>
      </c>
      <c r="C11" s="110"/>
      <c r="D11" s="110"/>
    </row>
    <row r="12" spans="1:9" ht="12.6" customHeight="1" x14ac:dyDescent="0.25">
      <c r="A12" s="73" t="s">
        <v>309</v>
      </c>
      <c r="B12" s="110" t="s">
        <v>323</v>
      </c>
      <c r="C12" s="110"/>
      <c r="D12" s="110"/>
    </row>
    <row r="13" spans="1:9" ht="12.6" customHeight="1" x14ac:dyDescent="0.25">
      <c r="A13" s="73" t="s">
        <v>566</v>
      </c>
      <c r="B13" s="110">
        <v>0</v>
      </c>
      <c r="C13" s="110"/>
      <c r="D13" s="110"/>
    </row>
    <row r="14" spans="1:9" ht="12.6" customHeight="1" x14ac:dyDescent="0.25">
      <c r="A14" s="73" t="s">
        <v>311</v>
      </c>
      <c r="B14" s="110">
        <v>311</v>
      </c>
      <c r="C14" s="110"/>
      <c r="D14" s="110"/>
    </row>
    <row r="15" spans="1:9" x14ac:dyDescent="0.25">
      <c r="A15" s="73" t="s">
        <v>569</v>
      </c>
      <c r="B15" s="110" t="s">
        <v>385</v>
      </c>
      <c r="C15" s="110"/>
      <c r="D15" s="110"/>
    </row>
    <row r="16" spans="1:9" ht="13.35" customHeight="1" x14ac:dyDescent="0.25">
      <c r="A16" s="73" t="s">
        <v>313</v>
      </c>
      <c r="B16" s="110" t="s">
        <v>339</v>
      </c>
      <c r="C16" s="110"/>
      <c r="D16" s="110"/>
    </row>
    <row r="17" spans="1:4" ht="38.1" customHeight="1" x14ac:dyDescent="0.25">
      <c r="A17" s="75"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8.1" customHeight="1" x14ac:dyDescent="0.25">
      <c r="A26" s="92" t="s">
        <v>640</v>
      </c>
      <c r="B26" s="92" t="s">
        <v>649</v>
      </c>
      <c r="C26" s="92" t="s">
        <v>657</v>
      </c>
      <c r="D26" s="92" t="s">
        <v>652</v>
      </c>
    </row>
    <row r="27" spans="1:4" x14ac:dyDescent="0.25">
      <c r="A27" s="93">
        <v>20</v>
      </c>
      <c r="B27" s="94">
        <v>39.64</v>
      </c>
      <c r="C27" s="94">
        <v>2.59</v>
      </c>
      <c r="D27" s="94"/>
    </row>
    <row r="28" spans="1:4" x14ac:dyDescent="0.25">
      <c r="A28" s="93">
        <v>21</v>
      </c>
      <c r="B28" s="94">
        <v>39.28</v>
      </c>
      <c r="C28" s="94">
        <v>2.64</v>
      </c>
      <c r="D28" s="94"/>
    </row>
    <row r="29" spans="1:4" x14ac:dyDescent="0.25">
      <c r="A29" s="93">
        <v>22</v>
      </c>
      <c r="B29" s="94">
        <v>38.92</v>
      </c>
      <c r="C29" s="94">
        <v>2.68</v>
      </c>
      <c r="D29" s="94"/>
    </row>
    <row r="30" spans="1:4" x14ac:dyDescent="0.25">
      <c r="A30" s="93">
        <v>23</v>
      </c>
      <c r="B30" s="94">
        <v>38.549999999999997</v>
      </c>
      <c r="C30" s="94">
        <v>2.72</v>
      </c>
      <c r="D30" s="94"/>
    </row>
    <row r="31" spans="1:4" x14ac:dyDescent="0.25">
      <c r="A31" s="93">
        <v>24</v>
      </c>
      <c r="B31" s="94">
        <v>38.17</v>
      </c>
      <c r="C31" s="94">
        <v>2.77</v>
      </c>
      <c r="D31" s="94"/>
    </row>
    <row r="32" spans="1:4" x14ac:dyDescent="0.25">
      <c r="A32" s="93">
        <v>25</v>
      </c>
      <c r="B32" s="94">
        <v>37.79</v>
      </c>
      <c r="C32" s="94">
        <v>2.81</v>
      </c>
      <c r="D32" s="94"/>
    </row>
    <row r="33" spans="1:4" x14ac:dyDescent="0.25">
      <c r="A33" s="93">
        <v>26</v>
      </c>
      <c r="B33" s="94">
        <v>37.4</v>
      </c>
      <c r="C33" s="94">
        <v>2.85</v>
      </c>
      <c r="D33" s="94"/>
    </row>
    <row r="34" spans="1:4" x14ac:dyDescent="0.25">
      <c r="A34" s="93">
        <v>27</v>
      </c>
      <c r="B34" s="94">
        <v>37.01</v>
      </c>
      <c r="C34" s="94">
        <v>2.9</v>
      </c>
      <c r="D34" s="94"/>
    </row>
    <row r="35" spans="1:4" x14ac:dyDescent="0.25">
      <c r="A35" s="93">
        <v>28</v>
      </c>
      <c r="B35" s="94">
        <v>36.61</v>
      </c>
      <c r="C35" s="94">
        <v>2.94</v>
      </c>
      <c r="D35" s="94"/>
    </row>
    <row r="36" spans="1:4" x14ac:dyDescent="0.25">
      <c r="A36" s="93">
        <v>29</v>
      </c>
      <c r="B36" s="94">
        <v>36.200000000000003</v>
      </c>
      <c r="C36" s="94">
        <v>2.99</v>
      </c>
      <c r="D36" s="94"/>
    </row>
    <row r="37" spans="1:4" x14ac:dyDescent="0.25">
      <c r="A37" s="93">
        <v>30</v>
      </c>
      <c r="B37" s="94">
        <v>35.79</v>
      </c>
      <c r="C37" s="94">
        <v>3.03</v>
      </c>
      <c r="D37" s="94"/>
    </row>
    <row r="38" spans="1:4" x14ac:dyDescent="0.25">
      <c r="A38" s="93">
        <v>31</v>
      </c>
      <c r="B38" s="94">
        <v>35.369999999999997</v>
      </c>
      <c r="C38" s="94">
        <v>3.07</v>
      </c>
      <c r="D38" s="94"/>
    </row>
    <row r="39" spans="1:4" x14ac:dyDescent="0.25">
      <c r="A39" s="93">
        <v>32</v>
      </c>
      <c r="B39" s="94">
        <v>34.950000000000003</v>
      </c>
      <c r="C39" s="94">
        <v>3.12</v>
      </c>
      <c r="D39" s="94"/>
    </row>
    <row r="40" spans="1:4" x14ac:dyDescent="0.25">
      <c r="A40" s="93">
        <v>33</v>
      </c>
      <c r="B40" s="94">
        <v>34.51</v>
      </c>
      <c r="C40" s="94">
        <v>3.16</v>
      </c>
      <c r="D40" s="94"/>
    </row>
    <row r="41" spans="1:4" x14ac:dyDescent="0.25">
      <c r="A41" s="93">
        <v>34</v>
      </c>
      <c r="B41" s="94">
        <v>34.08</v>
      </c>
      <c r="C41" s="94">
        <v>3.2</v>
      </c>
      <c r="D41" s="94"/>
    </row>
    <row r="42" spans="1:4" x14ac:dyDescent="0.25">
      <c r="A42" s="93">
        <v>35</v>
      </c>
      <c r="B42" s="94">
        <v>33.630000000000003</v>
      </c>
      <c r="C42" s="94">
        <v>3.24</v>
      </c>
      <c r="D42" s="94"/>
    </row>
    <row r="43" spans="1:4" x14ac:dyDescent="0.25">
      <c r="A43" s="93">
        <v>36</v>
      </c>
      <c r="B43" s="94">
        <v>33.18</v>
      </c>
      <c r="C43" s="94">
        <v>3.29</v>
      </c>
      <c r="D43" s="94"/>
    </row>
    <row r="44" spans="1:4" x14ac:dyDescent="0.25">
      <c r="A44" s="93">
        <v>37</v>
      </c>
      <c r="B44" s="94">
        <v>32.72</v>
      </c>
      <c r="C44" s="94">
        <v>3.33</v>
      </c>
      <c r="D44" s="94"/>
    </row>
    <row r="45" spans="1:4" x14ac:dyDescent="0.25">
      <c r="A45" s="93">
        <v>38</v>
      </c>
      <c r="B45" s="94">
        <v>32.26</v>
      </c>
      <c r="C45" s="94">
        <v>3.37</v>
      </c>
      <c r="D45" s="94"/>
    </row>
    <row r="46" spans="1:4" x14ac:dyDescent="0.25">
      <c r="A46" s="93">
        <v>39</v>
      </c>
      <c r="B46" s="94">
        <v>31.79</v>
      </c>
      <c r="C46" s="94">
        <v>3.41</v>
      </c>
      <c r="D46" s="94"/>
    </row>
    <row r="47" spans="1:4" x14ac:dyDescent="0.25">
      <c r="A47" s="93">
        <v>40</v>
      </c>
      <c r="B47" s="94">
        <v>31.31</v>
      </c>
      <c r="C47" s="94">
        <v>3.45</v>
      </c>
      <c r="D47" s="94"/>
    </row>
    <row r="48" spans="1:4" x14ac:dyDescent="0.25">
      <c r="A48" s="93">
        <v>41</v>
      </c>
      <c r="B48" s="94">
        <v>30.82</v>
      </c>
      <c r="C48" s="94">
        <v>3.49</v>
      </c>
      <c r="D48" s="94"/>
    </row>
    <row r="49" spans="1:4" x14ac:dyDescent="0.25">
      <c r="A49" s="93">
        <v>42</v>
      </c>
      <c r="B49" s="94">
        <v>30.33</v>
      </c>
      <c r="C49" s="94">
        <v>3.53</v>
      </c>
      <c r="D49" s="94"/>
    </row>
    <row r="50" spans="1:4" x14ac:dyDescent="0.25">
      <c r="A50" s="93">
        <v>43</v>
      </c>
      <c r="B50" s="94">
        <v>29.83</v>
      </c>
      <c r="C50" s="94">
        <v>3.57</v>
      </c>
      <c r="D50" s="94"/>
    </row>
    <row r="51" spans="1:4" x14ac:dyDescent="0.25">
      <c r="A51" s="93">
        <v>44</v>
      </c>
      <c r="B51" s="94">
        <v>29.33</v>
      </c>
      <c r="C51" s="94">
        <v>3.61</v>
      </c>
      <c r="D51" s="94"/>
    </row>
    <row r="52" spans="1:4" x14ac:dyDescent="0.25">
      <c r="A52" s="93">
        <v>45</v>
      </c>
      <c r="B52" s="94">
        <v>28.82</v>
      </c>
      <c r="C52" s="94">
        <v>3.64</v>
      </c>
      <c r="D52" s="94"/>
    </row>
    <row r="53" spans="1:4" x14ac:dyDescent="0.25">
      <c r="A53" s="93">
        <v>46</v>
      </c>
      <c r="B53" s="94">
        <v>28.3</v>
      </c>
      <c r="C53" s="94">
        <v>3.68</v>
      </c>
      <c r="D53" s="94"/>
    </row>
    <row r="54" spans="1:4" x14ac:dyDescent="0.25">
      <c r="A54" s="93">
        <v>47</v>
      </c>
      <c r="B54" s="94">
        <v>27.78</v>
      </c>
      <c r="C54" s="94">
        <v>3.71</v>
      </c>
      <c r="D54" s="94"/>
    </row>
    <row r="55" spans="1:4" x14ac:dyDescent="0.25">
      <c r="A55" s="93">
        <v>48</v>
      </c>
      <c r="B55" s="94">
        <v>27.25</v>
      </c>
      <c r="C55" s="94">
        <v>3.75</v>
      </c>
      <c r="D55" s="94"/>
    </row>
    <row r="56" spans="1:4" x14ac:dyDescent="0.25">
      <c r="A56" s="93">
        <v>49</v>
      </c>
      <c r="B56" s="94">
        <v>26.71</v>
      </c>
      <c r="C56" s="94">
        <v>3.78</v>
      </c>
      <c r="D56" s="94"/>
    </row>
    <row r="57" spans="1:4" x14ac:dyDescent="0.25">
      <c r="A57" s="93">
        <v>50</v>
      </c>
      <c r="B57" s="94">
        <v>26.16</v>
      </c>
      <c r="C57" s="94">
        <v>3.82</v>
      </c>
      <c r="D57" s="94"/>
    </row>
    <row r="58" spans="1:4" x14ac:dyDescent="0.25">
      <c r="A58" s="93">
        <v>51</v>
      </c>
      <c r="B58" s="94">
        <v>25.61</v>
      </c>
      <c r="C58" s="94">
        <v>3.85</v>
      </c>
      <c r="D58" s="94"/>
    </row>
    <row r="59" spans="1:4" x14ac:dyDescent="0.25">
      <c r="A59" s="93">
        <v>52</v>
      </c>
      <c r="B59" s="94">
        <v>25.05</v>
      </c>
      <c r="C59" s="94">
        <v>3.88</v>
      </c>
      <c r="D59" s="94"/>
    </row>
    <row r="60" spans="1:4" x14ac:dyDescent="0.25">
      <c r="A60" s="93">
        <v>53</v>
      </c>
      <c r="B60" s="94">
        <v>24.48</v>
      </c>
      <c r="C60" s="94">
        <v>3.91</v>
      </c>
      <c r="D60" s="94"/>
    </row>
    <row r="61" spans="1:4" x14ac:dyDescent="0.25">
      <c r="A61" s="93">
        <v>54</v>
      </c>
      <c r="B61" s="94">
        <v>23.91</v>
      </c>
      <c r="C61" s="94">
        <v>3.94</v>
      </c>
      <c r="D61" s="94"/>
    </row>
    <row r="62" spans="1:4" x14ac:dyDescent="0.25">
      <c r="A62" s="93">
        <v>55</v>
      </c>
      <c r="B62" s="94">
        <v>23.33</v>
      </c>
      <c r="C62" s="94">
        <v>3.97</v>
      </c>
      <c r="D62" s="94"/>
    </row>
    <row r="63" spans="1:4" x14ac:dyDescent="0.25">
      <c r="A63" s="93">
        <v>56</v>
      </c>
      <c r="B63" s="94">
        <v>22.74</v>
      </c>
      <c r="C63" s="94">
        <v>4</v>
      </c>
      <c r="D63" s="94"/>
    </row>
    <row r="64" spans="1:4" x14ac:dyDescent="0.25">
      <c r="A64" s="93">
        <v>57</v>
      </c>
      <c r="B64" s="94">
        <v>22.14</v>
      </c>
      <c r="C64" s="94">
        <v>4.0199999999999996</v>
      </c>
      <c r="D64" s="94"/>
    </row>
    <row r="65" spans="1:4" x14ac:dyDescent="0.25">
      <c r="A65" s="93">
        <v>58</v>
      </c>
      <c r="B65" s="94">
        <v>21.54</v>
      </c>
      <c r="C65" s="94">
        <v>4.05</v>
      </c>
      <c r="D65" s="94"/>
    </row>
    <row r="66" spans="1:4" x14ac:dyDescent="0.25">
      <c r="A66" s="93">
        <v>59</v>
      </c>
      <c r="B66" s="94">
        <v>20.93</v>
      </c>
      <c r="C66" s="94">
        <v>4.07</v>
      </c>
      <c r="D66" s="94"/>
    </row>
    <row r="67" spans="1:4" x14ac:dyDescent="0.25">
      <c r="A67" s="93">
        <v>60</v>
      </c>
      <c r="B67" s="94">
        <v>20.32</v>
      </c>
      <c r="C67" s="94">
        <v>4.09</v>
      </c>
      <c r="D67" s="94"/>
    </row>
    <row r="68" spans="1:4" x14ac:dyDescent="0.25">
      <c r="A68" s="93">
        <v>61</v>
      </c>
      <c r="B68" s="94">
        <v>19.7</v>
      </c>
      <c r="C68" s="94">
        <v>4.1100000000000003</v>
      </c>
      <c r="D68" s="94"/>
    </row>
    <row r="69" spans="1:4" x14ac:dyDescent="0.25">
      <c r="A69" s="93">
        <v>62</v>
      </c>
      <c r="B69" s="94">
        <v>19.079999999999998</v>
      </c>
      <c r="C69" s="94">
        <v>4.13</v>
      </c>
      <c r="D69" s="94"/>
    </row>
    <row r="70" spans="1:4" x14ac:dyDescent="0.25">
      <c r="A70" s="93">
        <v>63</v>
      </c>
      <c r="B70" s="94">
        <v>18.46</v>
      </c>
      <c r="C70" s="94">
        <v>4.1399999999999997</v>
      </c>
      <c r="D70" s="94"/>
    </row>
    <row r="71" spans="1:4" x14ac:dyDescent="0.25">
      <c r="A71" s="93">
        <v>64</v>
      </c>
      <c r="B71" s="94">
        <v>17.829999999999998</v>
      </c>
      <c r="C71" s="94">
        <v>4.1500000000000004</v>
      </c>
      <c r="D71" s="94"/>
    </row>
    <row r="72" spans="1:4" x14ac:dyDescent="0.25">
      <c r="A72" s="93">
        <v>65</v>
      </c>
      <c r="B72" s="94">
        <v>17.2</v>
      </c>
      <c r="C72" s="94">
        <v>4.1500000000000004</v>
      </c>
      <c r="D72" s="94"/>
    </row>
    <row r="73" spans="1:4" x14ac:dyDescent="0.25">
      <c r="A73" s="93">
        <v>66</v>
      </c>
      <c r="B73" s="94">
        <v>16.57</v>
      </c>
      <c r="C73" s="94">
        <v>4.1500000000000004</v>
      </c>
      <c r="D73" s="94"/>
    </row>
    <row r="74" spans="1:4" x14ac:dyDescent="0.25">
      <c r="A74" s="93">
        <v>67</v>
      </c>
      <c r="B74" s="94">
        <v>15.94</v>
      </c>
      <c r="C74" s="94">
        <v>4.1500000000000004</v>
      </c>
      <c r="D74" s="94"/>
    </row>
    <row r="75" spans="1:4" x14ac:dyDescent="0.25">
      <c r="A75" s="93">
        <v>68</v>
      </c>
      <c r="B75" s="94">
        <v>15.31</v>
      </c>
      <c r="C75" s="94">
        <v>4.1399999999999997</v>
      </c>
      <c r="D75" s="94"/>
    </row>
    <row r="76" spans="1:4" x14ac:dyDescent="0.25">
      <c r="A76" s="93">
        <v>69</v>
      </c>
      <c r="B76" s="94">
        <v>14.67</v>
      </c>
      <c r="C76" s="94">
        <v>4.07</v>
      </c>
      <c r="D76" s="94">
        <v>3.01</v>
      </c>
    </row>
    <row r="77" spans="1:4" x14ac:dyDescent="0.25">
      <c r="A77" s="93">
        <v>70</v>
      </c>
      <c r="B77" s="94">
        <v>14.04</v>
      </c>
      <c r="C77" s="94">
        <v>4</v>
      </c>
      <c r="D77" s="94">
        <v>2.8</v>
      </c>
    </row>
    <row r="78" spans="1:4" x14ac:dyDescent="0.25">
      <c r="A78" s="93">
        <v>71</v>
      </c>
      <c r="B78" s="94">
        <v>13.42</v>
      </c>
      <c r="C78" s="94">
        <v>3.97</v>
      </c>
      <c r="D78" s="94">
        <v>2.6</v>
      </c>
    </row>
    <row r="79" spans="1:4" x14ac:dyDescent="0.25">
      <c r="A79" s="93">
        <v>72</v>
      </c>
      <c r="B79" s="94">
        <v>12.79</v>
      </c>
      <c r="C79" s="94">
        <v>3.94</v>
      </c>
      <c r="D79" s="94">
        <v>2.41</v>
      </c>
    </row>
    <row r="80" spans="1:4" x14ac:dyDescent="0.25">
      <c r="A80" s="93">
        <v>73</v>
      </c>
      <c r="B80" s="94">
        <v>12.17</v>
      </c>
      <c r="C80" s="94">
        <v>3.9</v>
      </c>
      <c r="D80" s="94">
        <v>2.23</v>
      </c>
    </row>
    <row r="81" spans="1:4" x14ac:dyDescent="0.25">
      <c r="A81" s="93">
        <v>74</v>
      </c>
      <c r="B81" s="94">
        <v>11.56</v>
      </c>
      <c r="C81" s="94">
        <v>3.74</v>
      </c>
      <c r="D81" s="94">
        <v>2.04</v>
      </c>
    </row>
    <row r="82" spans="1:4" x14ac:dyDescent="0.25">
      <c r="A82" s="93">
        <v>75</v>
      </c>
      <c r="B82" s="94">
        <v>10.95</v>
      </c>
      <c r="C82" s="94">
        <v>3.56</v>
      </c>
      <c r="D82" s="94">
        <v>1.86</v>
      </c>
    </row>
    <row r="83" spans="1:4" x14ac:dyDescent="0.25">
      <c r="A83" s="93">
        <v>76</v>
      </c>
      <c r="B83" s="94">
        <v>10.36</v>
      </c>
      <c r="C83" s="94">
        <v>3.51</v>
      </c>
      <c r="D83" s="94">
        <v>1.7</v>
      </c>
    </row>
    <row r="84" spans="1:4" x14ac:dyDescent="0.25">
      <c r="A84" s="93">
        <v>77</v>
      </c>
      <c r="B84" s="94">
        <v>9.77</v>
      </c>
      <c r="C84" s="94">
        <v>3.45</v>
      </c>
      <c r="D84" s="94">
        <v>1.54</v>
      </c>
    </row>
    <row r="85" spans="1:4" x14ac:dyDescent="0.25">
      <c r="A85" s="93">
        <v>78</v>
      </c>
      <c r="B85" s="94">
        <v>9.19</v>
      </c>
      <c r="C85" s="94">
        <v>3.38</v>
      </c>
      <c r="D85" s="94">
        <v>1.4</v>
      </c>
    </row>
    <row r="86" spans="1:4" x14ac:dyDescent="0.25">
      <c r="A86" s="93">
        <v>79</v>
      </c>
      <c r="B86" s="94">
        <v>8.6300000000000008</v>
      </c>
      <c r="C86" s="94">
        <v>3.1</v>
      </c>
      <c r="D86" s="94">
        <v>1.25</v>
      </c>
    </row>
    <row r="87" spans="1:4" x14ac:dyDescent="0.25">
      <c r="A87" s="93">
        <v>80</v>
      </c>
      <c r="B87" s="94">
        <v>8.09</v>
      </c>
      <c r="C87" s="94">
        <v>2.82</v>
      </c>
      <c r="D87" s="94">
        <v>1.1100000000000001</v>
      </c>
    </row>
    <row r="88" spans="1:4" x14ac:dyDescent="0.25">
      <c r="A88" s="93">
        <v>81</v>
      </c>
      <c r="B88" s="94">
        <v>7.56</v>
      </c>
      <c r="C88" s="94">
        <v>2.74</v>
      </c>
      <c r="D88" s="94">
        <v>0.99</v>
      </c>
    </row>
    <row r="89" spans="1:4" x14ac:dyDescent="0.25">
      <c r="A89" s="93">
        <v>82</v>
      </c>
      <c r="B89" s="94">
        <v>7.05</v>
      </c>
      <c r="C89" s="94">
        <v>2.66</v>
      </c>
      <c r="D89" s="94">
        <v>0.88</v>
      </c>
    </row>
    <row r="90" spans="1:4" x14ac:dyDescent="0.25">
      <c r="A90" s="93">
        <v>83</v>
      </c>
      <c r="B90" s="94">
        <v>6.56</v>
      </c>
      <c r="C90" s="94">
        <v>2.56</v>
      </c>
      <c r="D90" s="94">
        <v>0.79</v>
      </c>
    </row>
    <row r="91" spans="1:4" x14ac:dyDescent="0.25">
      <c r="A91" s="93">
        <v>84</v>
      </c>
      <c r="B91" s="94">
        <v>6.1</v>
      </c>
      <c r="C91" s="94">
        <v>2.2400000000000002</v>
      </c>
      <c r="D91" s="94">
        <v>0.68</v>
      </c>
    </row>
    <row r="92" spans="1:4" x14ac:dyDescent="0.25">
      <c r="A92" s="93">
        <v>85</v>
      </c>
      <c r="B92" s="94">
        <v>5.65</v>
      </c>
      <c r="C92" s="94">
        <v>1.92</v>
      </c>
      <c r="D92" s="94">
        <v>0.57999999999999996</v>
      </c>
    </row>
  </sheetData>
  <sheetProtection algorithmName="SHA-512" hashValue="NCV17XYxldBACBGv5Qi/KcGCB2EgUQywNeWyZwMO+fQfeasDc4hk9CHmylIYh1ZXnLANL4DE62GS+diFkxXGxg==" saltValue="aarbKegV1DuS9R6cX2JMNQ==" spinCount="100000" sheet="1" objects="1" scenarios="1"/>
  <conditionalFormatting sqref="A6:A21">
    <cfRule type="expression" dxfId="653" priority="19" stopIfTrue="1">
      <formula>MOD(ROW(),2)=0</formula>
    </cfRule>
    <cfRule type="expression" dxfId="652" priority="20" stopIfTrue="1">
      <formula>MOD(ROW(),2)&lt;&gt;0</formula>
    </cfRule>
  </conditionalFormatting>
  <conditionalFormatting sqref="A26:A92">
    <cfRule type="expression" dxfId="651" priority="7" stopIfTrue="1">
      <formula>MOD(ROW(),2)=0</formula>
    </cfRule>
    <cfRule type="expression" dxfId="650" priority="8" stopIfTrue="1">
      <formula>MOD(ROW(),2)&lt;&gt;0</formula>
    </cfRule>
  </conditionalFormatting>
  <conditionalFormatting sqref="B17:B19">
    <cfRule type="expression" dxfId="649" priority="1" stopIfTrue="1">
      <formula>MOD(ROW(),2)=0</formula>
    </cfRule>
  </conditionalFormatting>
  <conditionalFormatting sqref="B18:B19">
    <cfRule type="expression" dxfId="648" priority="2" stopIfTrue="1">
      <formula>MOD(ROW(),2)&lt;&gt;0</formula>
    </cfRule>
  </conditionalFormatting>
  <conditionalFormatting sqref="B6:D6 C7:D7 C18:D19 B20:D21">
    <cfRule type="expression" dxfId="647" priority="33" stopIfTrue="1">
      <formula>MOD(ROW(),2)=0</formula>
    </cfRule>
    <cfRule type="expression" dxfId="646" priority="34" stopIfTrue="1">
      <formula>MOD(ROW(),2)&lt;&gt;0</formula>
    </cfRule>
  </conditionalFormatting>
  <conditionalFormatting sqref="B6:D21">
    <cfRule type="expression" dxfId="645" priority="23" stopIfTrue="1">
      <formula>MOD(ROW(),2)=0</formula>
    </cfRule>
    <cfRule type="expression" dxfId="644" priority="24" stopIfTrue="1">
      <formula>MOD(ROW(),2)&lt;&gt;0</formula>
    </cfRule>
  </conditionalFormatting>
  <conditionalFormatting sqref="B8:D16">
    <cfRule type="expression" dxfId="643" priority="25" stopIfTrue="1">
      <formula>MOD(ROW(),2)=0</formula>
    </cfRule>
    <cfRule type="expression" dxfId="642" priority="26" stopIfTrue="1">
      <formula>MOD(ROW(),2)&lt;&gt;0</formula>
    </cfRule>
  </conditionalFormatting>
  <conditionalFormatting sqref="B17:D17">
    <cfRule type="expression" dxfId="641" priority="4" stopIfTrue="1">
      <formula>MOD(ROW(),2)&lt;&gt;0</formula>
    </cfRule>
  </conditionalFormatting>
  <conditionalFormatting sqref="B26:D92">
    <cfRule type="expression" dxfId="640" priority="9" stopIfTrue="1">
      <formula>MOD(ROW(),2)=0</formula>
    </cfRule>
    <cfRule type="expression" dxfId="639" priority="10" stopIfTrue="1">
      <formula>MOD(ROW(),2)&lt;&gt;0</formula>
    </cfRule>
  </conditionalFormatting>
  <conditionalFormatting sqref="C17:D17">
    <cfRule type="expression" dxfId="638"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2"/>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Pensioner Cash Equivalent - x-312</v>
      </c>
      <c r="B3" s="43"/>
      <c r="C3" s="43"/>
      <c r="D3" s="43"/>
      <c r="E3" s="43"/>
      <c r="F3" s="43"/>
      <c r="G3" s="43"/>
      <c r="H3" s="43"/>
      <c r="I3" s="43"/>
    </row>
    <row r="4" spans="1:9" x14ac:dyDescent="0.25">
      <c r="A4" s="45"/>
    </row>
    <row r="6" spans="1:9" x14ac:dyDescent="0.25">
      <c r="A6" s="149" t="s">
        <v>558</v>
      </c>
      <c r="B6" s="110" t="s">
        <v>559</v>
      </c>
      <c r="C6" s="110"/>
      <c r="D6" s="110"/>
    </row>
    <row r="7" spans="1:9" x14ac:dyDescent="0.25">
      <c r="A7" s="73" t="s">
        <v>305</v>
      </c>
      <c r="B7" s="110" t="s">
        <v>319</v>
      </c>
      <c r="C7" s="110"/>
      <c r="D7" s="110"/>
    </row>
    <row r="8" spans="1:9" x14ac:dyDescent="0.25">
      <c r="A8" s="73" t="s">
        <v>306</v>
      </c>
      <c r="B8" s="110">
        <v>2015</v>
      </c>
      <c r="C8" s="110"/>
      <c r="D8" s="110"/>
    </row>
    <row r="9" spans="1:9" x14ac:dyDescent="0.25">
      <c r="A9" s="73" t="s">
        <v>307</v>
      </c>
      <c r="B9" s="110" t="s">
        <v>368</v>
      </c>
      <c r="C9" s="110"/>
      <c r="D9" s="110"/>
    </row>
    <row r="10" spans="1:9" ht="25.2" customHeight="1" x14ac:dyDescent="0.25">
      <c r="A10" s="73" t="s">
        <v>233</v>
      </c>
      <c r="B10" s="110" t="s">
        <v>374</v>
      </c>
      <c r="C10" s="110"/>
      <c r="D10" s="110"/>
    </row>
    <row r="11" spans="1:9" x14ac:dyDescent="0.25">
      <c r="A11" s="73" t="s">
        <v>308</v>
      </c>
      <c r="B11" s="110" t="s">
        <v>328</v>
      </c>
      <c r="C11" s="110"/>
      <c r="D11" s="110"/>
    </row>
    <row r="12" spans="1:9" ht="12.6" customHeight="1" x14ac:dyDescent="0.25">
      <c r="A12" s="73" t="s">
        <v>309</v>
      </c>
      <c r="B12" s="110" t="s">
        <v>323</v>
      </c>
      <c r="C12" s="110"/>
      <c r="D12" s="110"/>
    </row>
    <row r="13" spans="1:9" ht="12.6" customHeight="1" x14ac:dyDescent="0.25">
      <c r="A13" s="73" t="s">
        <v>566</v>
      </c>
      <c r="B13" s="110">
        <v>0</v>
      </c>
      <c r="C13" s="110"/>
      <c r="D13" s="110"/>
    </row>
    <row r="14" spans="1:9" ht="12.6" customHeight="1" x14ac:dyDescent="0.25">
      <c r="A14" s="73" t="s">
        <v>311</v>
      </c>
      <c r="B14" s="110">
        <v>312</v>
      </c>
      <c r="C14" s="110"/>
      <c r="D14" s="110"/>
    </row>
    <row r="15" spans="1:9" x14ac:dyDescent="0.25">
      <c r="A15" s="73" t="s">
        <v>569</v>
      </c>
      <c r="B15" s="110" t="s">
        <v>386</v>
      </c>
      <c r="C15" s="110"/>
      <c r="D15" s="110"/>
    </row>
    <row r="16" spans="1:9" x14ac:dyDescent="0.25">
      <c r="A16" s="73" t="s">
        <v>313</v>
      </c>
      <c r="B16" s="110" t="s">
        <v>341</v>
      </c>
      <c r="C16" s="110"/>
      <c r="D16" s="110"/>
    </row>
    <row r="17" spans="1:4" ht="45" customHeight="1" x14ac:dyDescent="0.25">
      <c r="A17" s="75"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8.1" customHeight="1" x14ac:dyDescent="0.25">
      <c r="A26" s="92" t="s">
        <v>640</v>
      </c>
      <c r="B26" s="92" t="s">
        <v>649</v>
      </c>
      <c r="C26" s="92" t="s">
        <v>657</v>
      </c>
      <c r="D26" s="92" t="s">
        <v>652</v>
      </c>
    </row>
    <row r="27" spans="1:4" x14ac:dyDescent="0.25">
      <c r="A27" s="93">
        <v>20</v>
      </c>
      <c r="B27" s="94">
        <v>39.64</v>
      </c>
      <c r="C27" s="94">
        <v>2.59</v>
      </c>
      <c r="D27" s="94"/>
    </row>
    <row r="28" spans="1:4" x14ac:dyDescent="0.25">
      <c r="A28" s="93">
        <v>21</v>
      </c>
      <c r="B28" s="94">
        <v>39.28</v>
      </c>
      <c r="C28" s="94">
        <v>2.64</v>
      </c>
      <c r="D28" s="94"/>
    </row>
    <row r="29" spans="1:4" x14ac:dyDescent="0.25">
      <c r="A29" s="93">
        <v>22</v>
      </c>
      <c r="B29" s="94">
        <v>38.92</v>
      </c>
      <c r="C29" s="94">
        <v>2.68</v>
      </c>
      <c r="D29" s="94"/>
    </row>
    <row r="30" spans="1:4" x14ac:dyDescent="0.25">
      <c r="A30" s="93">
        <v>23</v>
      </c>
      <c r="B30" s="94">
        <v>38.549999999999997</v>
      </c>
      <c r="C30" s="94">
        <v>2.72</v>
      </c>
      <c r="D30" s="94"/>
    </row>
    <row r="31" spans="1:4" x14ac:dyDescent="0.25">
      <c r="A31" s="93">
        <v>24</v>
      </c>
      <c r="B31" s="94">
        <v>38.17</v>
      </c>
      <c r="C31" s="94">
        <v>2.77</v>
      </c>
      <c r="D31" s="94"/>
    </row>
    <row r="32" spans="1:4" x14ac:dyDescent="0.25">
      <c r="A32" s="93">
        <v>25</v>
      </c>
      <c r="B32" s="94">
        <v>37.79</v>
      </c>
      <c r="C32" s="94">
        <v>2.81</v>
      </c>
      <c r="D32" s="94"/>
    </row>
    <row r="33" spans="1:4" x14ac:dyDescent="0.25">
      <c r="A33" s="93">
        <v>26</v>
      </c>
      <c r="B33" s="94">
        <v>37.4</v>
      </c>
      <c r="C33" s="94">
        <v>2.85</v>
      </c>
      <c r="D33" s="94"/>
    </row>
    <row r="34" spans="1:4" x14ac:dyDescent="0.25">
      <c r="A34" s="93">
        <v>27</v>
      </c>
      <c r="B34" s="94">
        <v>37.01</v>
      </c>
      <c r="C34" s="94">
        <v>2.9</v>
      </c>
      <c r="D34" s="94"/>
    </row>
    <row r="35" spans="1:4" x14ac:dyDescent="0.25">
      <c r="A35" s="93">
        <v>28</v>
      </c>
      <c r="B35" s="94">
        <v>36.61</v>
      </c>
      <c r="C35" s="94">
        <v>2.94</v>
      </c>
      <c r="D35" s="94"/>
    </row>
    <row r="36" spans="1:4" x14ac:dyDescent="0.25">
      <c r="A36" s="93">
        <v>29</v>
      </c>
      <c r="B36" s="94">
        <v>36.200000000000003</v>
      </c>
      <c r="C36" s="94">
        <v>2.99</v>
      </c>
      <c r="D36" s="94"/>
    </row>
    <row r="37" spans="1:4" x14ac:dyDescent="0.25">
      <c r="A37" s="93">
        <v>30</v>
      </c>
      <c r="B37" s="94">
        <v>35.79</v>
      </c>
      <c r="C37" s="94">
        <v>3.03</v>
      </c>
      <c r="D37" s="94"/>
    </row>
    <row r="38" spans="1:4" x14ac:dyDescent="0.25">
      <c r="A38" s="93">
        <v>31</v>
      </c>
      <c r="B38" s="94">
        <v>35.369999999999997</v>
      </c>
      <c r="C38" s="94">
        <v>3.07</v>
      </c>
      <c r="D38" s="94"/>
    </row>
    <row r="39" spans="1:4" x14ac:dyDescent="0.25">
      <c r="A39" s="93">
        <v>32</v>
      </c>
      <c r="B39" s="94">
        <v>34.950000000000003</v>
      </c>
      <c r="C39" s="94">
        <v>3.12</v>
      </c>
      <c r="D39" s="94"/>
    </row>
    <row r="40" spans="1:4" x14ac:dyDescent="0.25">
      <c r="A40" s="93">
        <v>33</v>
      </c>
      <c r="B40" s="94">
        <v>34.51</v>
      </c>
      <c r="C40" s="94">
        <v>3.16</v>
      </c>
      <c r="D40" s="94"/>
    </row>
    <row r="41" spans="1:4" x14ac:dyDescent="0.25">
      <c r="A41" s="93">
        <v>34</v>
      </c>
      <c r="B41" s="94">
        <v>34.08</v>
      </c>
      <c r="C41" s="94">
        <v>3.2</v>
      </c>
      <c r="D41" s="94"/>
    </row>
    <row r="42" spans="1:4" x14ac:dyDescent="0.25">
      <c r="A42" s="93">
        <v>35</v>
      </c>
      <c r="B42" s="94">
        <v>33.630000000000003</v>
      </c>
      <c r="C42" s="94">
        <v>3.24</v>
      </c>
      <c r="D42" s="94"/>
    </row>
    <row r="43" spans="1:4" x14ac:dyDescent="0.25">
      <c r="A43" s="93">
        <v>36</v>
      </c>
      <c r="B43" s="94">
        <v>33.18</v>
      </c>
      <c r="C43" s="94">
        <v>3.29</v>
      </c>
      <c r="D43" s="94"/>
    </row>
    <row r="44" spans="1:4" x14ac:dyDescent="0.25">
      <c r="A44" s="93">
        <v>37</v>
      </c>
      <c r="B44" s="94">
        <v>32.72</v>
      </c>
      <c r="C44" s="94">
        <v>3.33</v>
      </c>
      <c r="D44" s="94"/>
    </row>
    <row r="45" spans="1:4" x14ac:dyDescent="0.25">
      <c r="A45" s="93">
        <v>38</v>
      </c>
      <c r="B45" s="94">
        <v>32.26</v>
      </c>
      <c r="C45" s="94">
        <v>3.37</v>
      </c>
      <c r="D45" s="94"/>
    </row>
    <row r="46" spans="1:4" x14ac:dyDescent="0.25">
      <c r="A46" s="93">
        <v>39</v>
      </c>
      <c r="B46" s="94">
        <v>31.79</v>
      </c>
      <c r="C46" s="94">
        <v>3.41</v>
      </c>
      <c r="D46" s="94"/>
    </row>
    <row r="47" spans="1:4" x14ac:dyDescent="0.25">
      <c r="A47" s="93">
        <v>40</v>
      </c>
      <c r="B47" s="94">
        <v>31.31</v>
      </c>
      <c r="C47" s="94">
        <v>3.45</v>
      </c>
      <c r="D47" s="94"/>
    </row>
    <row r="48" spans="1:4" x14ac:dyDescent="0.25">
      <c r="A48" s="93">
        <v>41</v>
      </c>
      <c r="B48" s="94">
        <v>30.82</v>
      </c>
      <c r="C48" s="94">
        <v>3.49</v>
      </c>
      <c r="D48" s="94"/>
    </row>
    <row r="49" spans="1:4" x14ac:dyDescent="0.25">
      <c r="A49" s="93">
        <v>42</v>
      </c>
      <c r="B49" s="94">
        <v>30.33</v>
      </c>
      <c r="C49" s="94">
        <v>3.53</v>
      </c>
      <c r="D49" s="94"/>
    </row>
    <row r="50" spans="1:4" x14ac:dyDescent="0.25">
      <c r="A50" s="93">
        <v>43</v>
      </c>
      <c r="B50" s="94">
        <v>29.83</v>
      </c>
      <c r="C50" s="94">
        <v>3.57</v>
      </c>
      <c r="D50" s="94"/>
    </row>
    <row r="51" spans="1:4" x14ac:dyDescent="0.25">
      <c r="A51" s="93">
        <v>44</v>
      </c>
      <c r="B51" s="94">
        <v>29.33</v>
      </c>
      <c r="C51" s="94">
        <v>3.61</v>
      </c>
      <c r="D51" s="94"/>
    </row>
    <row r="52" spans="1:4" x14ac:dyDescent="0.25">
      <c r="A52" s="93">
        <v>45</v>
      </c>
      <c r="B52" s="94">
        <v>28.82</v>
      </c>
      <c r="C52" s="94">
        <v>3.64</v>
      </c>
      <c r="D52" s="94"/>
    </row>
    <row r="53" spans="1:4" x14ac:dyDescent="0.25">
      <c r="A53" s="93">
        <v>46</v>
      </c>
      <c r="B53" s="94">
        <v>28.3</v>
      </c>
      <c r="C53" s="94">
        <v>3.68</v>
      </c>
      <c r="D53" s="94"/>
    </row>
    <row r="54" spans="1:4" x14ac:dyDescent="0.25">
      <c r="A54" s="93">
        <v>47</v>
      </c>
      <c r="B54" s="94">
        <v>27.78</v>
      </c>
      <c r="C54" s="94">
        <v>3.71</v>
      </c>
      <c r="D54" s="94"/>
    </row>
    <row r="55" spans="1:4" x14ac:dyDescent="0.25">
      <c r="A55" s="93">
        <v>48</v>
      </c>
      <c r="B55" s="94">
        <v>27.25</v>
      </c>
      <c r="C55" s="94">
        <v>3.75</v>
      </c>
      <c r="D55" s="94"/>
    </row>
    <row r="56" spans="1:4" x14ac:dyDescent="0.25">
      <c r="A56" s="93">
        <v>49</v>
      </c>
      <c r="B56" s="94">
        <v>26.71</v>
      </c>
      <c r="C56" s="94">
        <v>3.78</v>
      </c>
      <c r="D56" s="94"/>
    </row>
    <row r="57" spans="1:4" x14ac:dyDescent="0.25">
      <c r="A57" s="93">
        <v>50</v>
      </c>
      <c r="B57" s="94">
        <v>26.16</v>
      </c>
      <c r="C57" s="94">
        <v>3.82</v>
      </c>
      <c r="D57" s="94"/>
    </row>
    <row r="58" spans="1:4" x14ac:dyDescent="0.25">
      <c r="A58" s="93">
        <v>51</v>
      </c>
      <c r="B58" s="94">
        <v>25.61</v>
      </c>
      <c r="C58" s="94">
        <v>3.85</v>
      </c>
      <c r="D58" s="94"/>
    </row>
    <row r="59" spans="1:4" x14ac:dyDescent="0.25">
      <c r="A59" s="93">
        <v>52</v>
      </c>
      <c r="B59" s="94">
        <v>25.05</v>
      </c>
      <c r="C59" s="94">
        <v>3.88</v>
      </c>
      <c r="D59" s="94"/>
    </row>
    <row r="60" spans="1:4" x14ac:dyDescent="0.25">
      <c r="A60" s="93">
        <v>53</v>
      </c>
      <c r="B60" s="94">
        <v>24.48</v>
      </c>
      <c r="C60" s="94">
        <v>3.91</v>
      </c>
      <c r="D60" s="94"/>
    </row>
    <row r="61" spans="1:4" x14ac:dyDescent="0.25">
      <c r="A61" s="93">
        <v>54</v>
      </c>
      <c r="B61" s="94">
        <v>23.91</v>
      </c>
      <c r="C61" s="94">
        <v>3.94</v>
      </c>
      <c r="D61" s="94"/>
    </row>
    <row r="62" spans="1:4" x14ac:dyDescent="0.25">
      <c r="A62" s="93">
        <v>55</v>
      </c>
      <c r="B62" s="94">
        <v>23.33</v>
      </c>
      <c r="C62" s="94">
        <v>3.97</v>
      </c>
      <c r="D62" s="94"/>
    </row>
    <row r="63" spans="1:4" x14ac:dyDescent="0.25">
      <c r="A63" s="93">
        <v>56</v>
      </c>
      <c r="B63" s="94">
        <v>22.74</v>
      </c>
      <c r="C63" s="94">
        <v>4</v>
      </c>
      <c r="D63" s="94"/>
    </row>
    <row r="64" spans="1:4" x14ac:dyDescent="0.25">
      <c r="A64" s="93">
        <v>57</v>
      </c>
      <c r="B64" s="94">
        <v>22.14</v>
      </c>
      <c r="C64" s="94">
        <v>4.0199999999999996</v>
      </c>
      <c r="D64" s="94"/>
    </row>
    <row r="65" spans="1:4" x14ac:dyDescent="0.25">
      <c r="A65" s="93">
        <v>58</v>
      </c>
      <c r="B65" s="94">
        <v>21.54</v>
      </c>
      <c r="C65" s="94">
        <v>4.05</v>
      </c>
      <c r="D65" s="94"/>
    </row>
    <row r="66" spans="1:4" x14ac:dyDescent="0.25">
      <c r="A66" s="93">
        <v>59</v>
      </c>
      <c r="B66" s="94">
        <v>20.93</v>
      </c>
      <c r="C66" s="94">
        <v>4.07</v>
      </c>
      <c r="D66" s="94"/>
    </row>
    <row r="67" spans="1:4" x14ac:dyDescent="0.25">
      <c r="A67" s="93">
        <v>60</v>
      </c>
      <c r="B67" s="94">
        <v>20.32</v>
      </c>
      <c r="C67" s="94">
        <v>4.09</v>
      </c>
      <c r="D67" s="94"/>
    </row>
    <row r="68" spans="1:4" x14ac:dyDescent="0.25">
      <c r="A68" s="93">
        <v>61</v>
      </c>
      <c r="B68" s="94">
        <v>19.7</v>
      </c>
      <c r="C68" s="94">
        <v>4.1100000000000003</v>
      </c>
      <c r="D68" s="94"/>
    </row>
    <row r="69" spans="1:4" x14ac:dyDescent="0.25">
      <c r="A69" s="93">
        <v>62</v>
      </c>
      <c r="B69" s="94">
        <v>19.079999999999998</v>
      </c>
      <c r="C69" s="94">
        <v>4.13</v>
      </c>
      <c r="D69" s="94"/>
    </row>
    <row r="70" spans="1:4" x14ac:dyDescent="0.25">
      <c r="A70" s="93">
        <v>63</v>
      </c>
      <c r="B70" s="94">
        <v>18.46</v>
      </c>
      <c r="C70" s="94">
        <v>4.1399999999999997</v>
      </c>
      <c r="D70" s="94"/>
    </row>
    <row r="71" spans="1:4" x14ac:dyDescent="0.25">
      <c r="A71" s="93">
        <v>64</v>
      </c>
      <c r="B71" s="94">
        <v>17.829999999999998</v>
      </c>
      <c r="C71" s="94">
        <v>4.1500000000000004</v>
      </c>
      <c r="D71" s="94"/>
    </row>
    <row r="72" spans="1:4" x14ac:dyDescent="0.25">
      <c r="A72" s="93">
        <v>65</v>
      </c>
      <c r="B72" s="94">
        <v>17.2</v>
      </c>
      <c r="C72" s="94">
        <v>4.1500000000000004</v>
      </c>
      <c r="D72" s="94"/>
    </row>
    <row r="73" spans="1:4" x14ac:dyDescent="0.25">
      <c r="A73" s="93">
        <v>66</v>
      </c>
      <c r="B73" s="94">
        <v>16.57</v>
      </c>
      <c r="C73" s="94">
        <v>4.1500000000000004</v>
      </c>
      <c r="D73" s="94"/>
    </row>
    <row r="74" spans="1:4" x14ac:dyDescent="0.25">
      <c r="A74" s="93">
        <v>67</v>
      </c>
      <c r="B74" s="94">
        <v>15.94</v>
      </c>
      <c r="C74" s="94">
        <v>4.1500000000000004</v>
      </c>
      <c r="D74" s="94"/>
    </row>
    <row r="75" spans="1:4" x14ac:dyDescent="0.25">
      <c r="A75" s="93">
        <v>68</v>
      </c>
      <c r="B75" s="94">
        <v>15.31</v>
      </c>
      <c r="C75" s="94">
        <v>4.1399999999999997</v>
      </c>
      <c r="D75" s="94"/>
    </row>
    <row r="76" spans="1:4" x14ac:dyDescent="0.25">
      <c r="A76" s="93">
        <v>69</v>
      </c>
      <c r="B76" s="94">
        <v>14.67</v>
      </c>
      <c r="C76" s="94">
        <v>4.07</v>
      </c>
      <c r="D76" s="94">
        <v>2.82</v>
      </c>
    </row>
    <row r="77" spans="1:4" x14ac:dyDescent="0.25">
      <c r="A77" s="93">
        <v>70</v>
      </c>
      <c r="B77" s="94">
        <v>14.04</v>
      </c>
      <c r="C77" s="94">
        <v>4</v>
      </c>
      <c r="D77" s="94">
        <v>2.62</v>
      </c>
    </row>
    <row r="78" spans="1:4" x14ac:dyDescent="0.25">
      <c r="A78" s="93">
        <v>71</v>
      </c>
      <c r="B78" s="94">
        <v>13.42</v>
      </c>
      <c r="C78" s="94">
        <v>3.97</v>
      </c>
      <c r="D78" s="94">
        <v>2.42</v>
      </c>
    </row>
    <row r="79" spans="1:4" x14ac:dyDescent="0.25">
      <c r="A79" s="93">
        <v>72</v>
      </c>
      <c r="B79" s="94">
        <v>12.79</v>
      </c>
      <c r="C79" s="94">
        <v>3.94</v>
      </c>
      <c r="D79" s="94">
        <v>2.23</v>
      </c>
    </row>
    <row r="80" spans="1:4" x14ac:dyDescent="0.25">
      <c r="A80" s="93">
        <v>73</v>
      </c>
      <c r="B80" s="94">
        <v>12.17</v>
      </c>
      <c r="C80" s="94">
        <v>3.9</v>
      </c>
      <c r="D80" s="94">
        <v>2.0499999999999998</v>
      </c>
    </row>
    <row r="81" spans="1:4" x14ac:dyDescent="0.25">
      <c r="A81" s="93">
        <v>74</v>
      </c>
      <c r="B81" s="94">
        <v>11.56</v>
      </c>
      <c r="C81" s="94">
        <v>3.74</v>
      </c>
      <c r="D81" s="94">
        <v>1.88</v>
      </c>
    </row>
    <row r="82" spans="1:4" x14ac:dyDescent="0.25">
      <c r="A82" s="93">
        <v>75</v>
      </c>
      <c r="B82" s="94">
        <v>10.95</v>
      </c>
      <c r="C82" s="94">
        <v>3.56</v>
      </c>
      <c r="D82" s="94">
        <v>1.71</v>
      </c>
    </row>
    <row r="83" spans="1:4" x14ac:dyDescent="0.25">
      <c r="A83" s="93">
        <v>76</v>
      </c>
      <c r="B83" s="94">
        <v>10.36</v>
      </c>
      <c r="C83" s="94">
        <v>3.51</v>
      </c>
      <c r="D83" s="94">
        <v>1.56</v>
      </c>
    </row>
    <row r="84" spans="1:4" x14ac:dyDescent="0.25">
      <c r="A84" s="93">
        <v>77</v>
      </c>
      <c r="B84" s="94">
        <v>9.77</v>
      </c>
      <c r="C84" s="94">
        <v>3.45</v>
      </c>
      <c r="D84" s="94">
        <v>1.41</v>
      </c>
    </row>
    <row r="85" spans="1:4" x14ac:dyDescent="0.25">
      <c r="A85" s="93">
        <v>78</v>
      </c>
      <c r="B85" s="94">
        <v>9.19</v>
      </c>
      <c r="C85" s="94">
        <v>3.38</v>
      </c>
      <c r="D85" s="94">
        <v>1.27</v>
      </c>
    </row>
    <row r="86" spans="1:4" x14ac:dyDescent="0.25">
      <c r="A86" s="93">
        <v>79</v>
      </c>
      <c r="B86" s="94">
        <v>8.6300000000000008</v>
      </c>
      <c r="C86" s="94">
        <v>3.1</v>
      </c>
      <c r="D86" s="94">
        <v>1.1299999999999999</v>
      </c>
    </row>
    <row r="87" spans="1:4" x14ac:dyDescent="0.25">
      <c r="A87" s="93">
        <v>80</v>
      </c>
      <c r="B87" s="94">
        <v>8.09</v>
      </c>
      <c r="C87" s="94">
        <v>2.82</v>
      </c>
      <c r="D87" s="94">
        <v>1.01</v>
      </c>
    </row>
    <row r="88" spans="1:4" x14ac:dyDescent="0.25">
      <c r="A88" s="93">
        <v>81</v>
      </c>
      <c r="B88" s="94">
        <v>7.56</v>
      </c>
      <c r="C88" s="94">
        <v>2.74</v>
      </c>
      <c r="D88" s="94">
        <v>0.9</v>
      </c>
    </row>
    <row r="89" spans="1:4" x14ac:dyDescent="0.25">
      <c r="A89" s="93">
        <v>82</v>
      </c>
      <c r="B89" s="94">
        <v>7.05</v>
      </c>
      <c r="C89" s="94">
        <v>2.66</v>
      </c>
      <c r="D89" s="94">
        <v>0.8</v>
      </c>
    </row>
    <row r="90" spans="1:4" x14ac:dyDescent="0.25">
      <c r="A90" s="93">
        <v>83</v>
      </c>
      <c r="B90" s="94">
        <v>6.56</v>
      </c>
      <c r="C90" s="94">
        <v>2.56</v>
      </c>
      <c r="D90" s="94">
        <v>0.7</v>
      </c>
    </row>
    <row r="91" spans="1:4" x14ac:dyDescent="0.25">
      <c r="A91" s="93">
        <v>84</v>
      </c>
      <c r="B91" s="94">
        <v>6.1</v>
      </c>
      <c r="C91" s="94">
        <v>2.2400000000000002</v>
      </c>
      <c r="D91" s="94">
        <v>0.61</v>
      </c>
    </row>
    <row r="92" spans="1:4" x14ac:dyDescent="0.25">
      <c r="A92" s="93">
        <v>85</v>
      </c>
      <c r="B92" s="94">
        <v>5.65</v>
      </c>
      <c r="C92" s="94">
        <v>1.92</v>
      </c>
      <c r="D92" s="94">
        <v>0.54</v>
      </c>
    </row>
  </sheetData>
  <sheetProtection algorithmName="SHA-512" hashValue="aqPQ99ME6sZ2Ws/VCi/RNgB7bDPKpVb2sbQDbAtUbtdAbjPh0eGSJZBxbhQ6uXSDe74szkgekBbnC0cXEdIhZQ==" saltValue="UnX9oOS/arqXJtaW3y/63w==" spinCount="100000" sheet="1" objects="1" scenarios="1"/>
  <conditionalFormatting sqref="A6:A21">
    <cfRule type="expression" dxfId="637" priority="19" stopIfTrue="1">
      <formula>MOD(ROW(),2)=0</formula>
    </cfRule>
    <cfRule type="expression" dxfId="636" priority="20" stopIfTrue="1">
      <formula>MOD(ROW(),2)&lt;&gt;0</formula>
    </cfRule>
  </conditionalFormatting>
  <conditionalFormatting sqref="A26:A92">
    <cfRule type="expression" dxfId="635" priority="7" stopIfTrue="1">
      <formula>MOD(ROW(),2)=0</formula>
    </cfRule>
    <cfRule type="expression" dxfId="634" priority="8" stopIfTrue="1">
      <formula>MOD(ROW(),2)&lt;&gt;0</formula>
    </cfRule>
  </conditionalFormatting>
  <conditionalFormatting sqref="B17:B19">
    <cfRule type="expression" dxfId="633" priority="1" stopIfTrue="1">
      <formula>MOD(ROW(),2)=0</formula>
    </cfRule>
  </conditionalFormatting>
  <conditionalFormatting sqref="B18:B19">
    <cfRule type="expression" dxfId="632" priority="2" stopIfTrue="1">
      <formula>MOD(ROW(),2)&lt;&gt;0</formula>
    </cfRule>
  </conditionalFormatting>
  <conditionalFormatting sqref="B6:D6 C7:D7 C18:D19 B20:D21">
    <cfRule type="expression" dxfId="631" priority="33" stopIfTrue="1">
      <formula>MOD(ROW(),2)=0</formula>
    </cfRule>
    <cfRule type="expression" dxfId="630" priority="34" stopIfTrue="1">
      <formula>MOD(ROW(),2)&lt;&gt;0</formula>
    </cfRule>
  </conditionalFormatting>
  <conditionalFormatting sqref="B6:D21">
    <cfRule type="expression" dxfId="629" priority="23" stopIfTrue="1">
      <formula>MOD(ROW(),2)=0</formula>
    </cfRule>
    <cfRule type="expression" dxfId="628" priority="24" stopIfTrue="1">
      <formula>MOD(ROW(),2)&lt;&gt;0</formula>
    </cfRule>
  </conditionalFormatting>
  <conditionalFormatting sqref="B8:D16">
    <cfRule type="expression" dxfId="627" priority="25" stopIfTrue="1">
      <formula>MOD(ROW(),2)=0</formula>
    </cfRule>
    <cfRule type="expression" dxfId="626" priority="26" stopIfTrue="1">
      <formula>MOD(ROW(),2)&lt;&gt;0</formula>
    </cfRule>
  </conditionalFormatting>
  <conditionalFormatting sqref="B17:D17">
    <cfRule type="expression" dxfId="625" priority="4" stopIfTrue="1">
      <formula>MOD(ROW(),2)&lt;&gt;0</formula>
    </cfRule>
  </conditionalFormatting>
  <conditionalFormatting sqref="B26:D92">
    <cfRule type="expression" dxfId="624" priority="9" stopIfTrue="1">
      <formula>MOD(ROW(),2)=0</formula>
    </cfRule>
    <cfRule type="expression" dxfId="623" priority="10" stopIfTrue="1">
      <formula>MOD(ROW(),2)&lt;&gt;0</formula>
    </cfRule>
  </conditionalFormatting>
  <conditionalFormatting sqref="C17:D17">
    <cfRule type="expression" dxfId="622"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8"/>
  <dimension ref="A1:I96"/>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Credit - x-313</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1992</v>
      </c>
      <c r="C8" s="152"/>
    </row>
    <row r="9" spans="1:9" x14ac:dyDescent="0.25">
      <c r="A9" s="79" t="s">
        <v>307</v>
      </c>
      <c r="B9" s="152" t="s">
        <v>387</v>
      </c>
      <c r="C9" s="152"/>
    </row>
    <row r="10" spans="1:9" ht="12.6" customHeight="1" x14ac:dyDescent="0.25">
      <c r="A10" s="79" t="s">
        <v>233</v>
      </c>
      <c r="B10" s="152" t="s">
        <v>388</v>
      </c>
      <c r="C10" s="152"/>
    </row>
    <row r="11" spans="1:9" x14ac:dyDescent="0.25">
      <c r="A11" s="79" t="s">
        <v>308</v>
      </c>
      <c r="B11" s="152" t="s">
        <v>389</v>
      </c>
      <c r="C11" s="152"/>
    </row>
    <row r="12" spans="1:9" ht="12.6" customHeight="1" x14ac:dyDescent="0.25">
      <c r="A12" s="79" t="s">
        <v>309</v>
      </c>
      <c r="B12" s="152" t="s">
        <v>323</v>
      </c>
      <c r="C12" s="152"/>
    </row>
    <row r="13" spans="1:9" ht="12.6" customHeight="1" x14ac:dyDescent="0.25">
      <c r="A13" s="79" t="s">
        <v>566</v>
      </c>
      <c r="B13" s="152">
        <v>2</v>
      </c>
      <c r="C13" s="152"/>
    </row>
    <row r="14" spans="1:9" ht="12.6" customHeight="1" x14ac:dyDescent="0.25">
      <c r="A14" s="79" t="s">
        <v>311</v>
      </c>
      <c r="B14" s="152">
        <v>313</v>
      </c>
      <c r="C14" s="152"/>
    </row>
    <row r="15" spans="1:9" x14ac:dyDescent="0.25">
      <c r="A15" s="79" t="s">
        <v>569</v>
      </c>
      <c r="B15" s="152" t="s">
        <v>390</v>
      </c>
      <c r="C15" s="152"/>
    </row>
    <row r="16" spans="1:9" x14ac:dyDescent="0.25">
      <c r="A16" s="79" t="s">
        <v>313</v>
      </c>
      <c r="B16" s="152" t="s">
        <v>391</v>
      </c>
      <c r="C16" s="152"/>
    </row>
    <row r="17" spans="1:3" ht="79.5" customHeight="1" x14ac:dyDescent="0.25">
      <c r="A17" s="79" t="s">
        <v>639</v>
      </c>
      <c r="B17" s="152"/>
      <c r="C17" s="152"/>
    </row>
    <row r="18" spans="1:3" x14ac:dyDescent="0.25">
      <c r="A18" s="79" t="s">
        <v>315</v>
      </c>
      <c r="B18" s="154">
        <v>45070</v>
      </c>
      <c r="C18" s="152"/>
    </row>
    <row r="19" spans="1:3" x14ac:dyDescent="0.25">
      <c r="A19" s="79" t="s">
        <v>316</v>
      </c>
      <c r="B19" s="154">
        <v>45014</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658</v>
      </c>
      <c r="C26" s="92" t="s">
        <v>659</v>
      </c>
    </row>
    <row r="27" spans="1:3" x14ac:dyDescent="0.25">
      <c r="A27" s="93">
        <v>16</v>
      </c>
      <c r="B27" s="94">
        <v>11.09</v>
      </c>
      <c r="C27" s="94">
        <v>11.09</v>
      </c>
    </row>
    <row r="28" spans="1:3" x14ac:dyDescent="0.25">
      <c r="A28" s="93">
        <v>17</v>
      </c>
      <c r="B28" s="94">
        <v>11.25</v>
      </c>
      <c r="C28" s="94">
        <v>11.25</v>
      </c>
    </row>
    <row r="29" spans="1:3" x14ac:dyDescent="0.25">
      <c r="A29" s="93">
        <v>18</v>
      </c>
      <c r="B29" s="94">
        <v>11.41</v>
      </c>
      <c r="C29" s="94">
        <v>11.41</v>
      </c>
    </row>
    <row r="30" spans="1:3" x14ac:dyDescent="0.25">
      <c r="A30" s="93">
        <v>19</v>
      </c>
      <c r="B30" s="94">
        <v>11.58</v>
      </c>
      <c r="C30" s="94">
        <v>11.58</v>
      </c>
    </row>
    <row r="31" spans="1:3" x14ac:dyDescent="0.25">
      <c r="A31" s="93">
        <v>20</v>
      </c>
      <c r="B31" s="94">
        <v>11.75</v>
      </c>
      <c r="C31" s="94">
        <v>11.75</v>
      </c>
    </row>
    <row r="32" spans="1:3" x14ac:dyDescent="0.25">
      <c r="A32" s="93">
        <v>21</v>
      </c>
      <c r="B32" s="94">
        <v>11.92</v>
      </c>
      <c r="C32" s="94">
        <v>11.92</v>
      </c>
    </row>
    <row r="33" spans="1:3" x14ac:dyDescent="0.25">
      <c r="A33" s="93">
        <v>22</v>
      </c>
      <c r="B33" s="94">
        <v>12.09</v>
      </c>
      <c r="C33" s="94">
        <v>12.09</v>
      </c>
    </row>
    <row r="34" spans="1:3" x14ac:dyDescent="0.25">
      <c r="A34" s="93">
        <v>23</v>
      </c>
      <c r="B34" s="94">
        <v>12.26</v>
      </c>
      <c r="C34" s="94">
        <v>12.26</v>
      </c>
    </row>
    <row r="35" spans="1:3" x14ac:dyDescent="0.25">
      <c r="A35" s="93">
        <v>24</v>
      </c>
      <c r="B35" s="94">
        <v>12.44</v>
      </c>
      <c r="C35" s="94">
        <v>12.44</v>
      </c>
    </row>
    <row r="36" spans="1:3" x14ac:dyDescent="0.25">
      <c r="A36" s="93">
        <v>25</v>
      </c>
      <c r="B36" s="94">
        <v>12.62</v>
      </c>
      <c r="C36" s="94">
        <v>12.62</v>
      </c>
    </row>
    <row r="37" spans="1:3" x14ac:dyDescent="0.25">
      <c r="A37" s="93">
        <v>26</v>
      </c>
      <c r="B37" s="94">
        <v>12.81</v>
      </c>
      <c r="C37" s="94">
        <v>12.81</v>
      </c>
    </row>
    <row r="38" spans="1:3" x14ac:dyDescent="0.25">
      <c r="A38" s="93">
        <v>27</v>
      </c>
      <c r="B38" s="94">
        <v>12.99</v>
      </c>
      <c r="C38" s="94">
        <v>12.99</v>
      </c>
    </row>
    <row r="39" spans="1:3" x14ac:dyDescent="0.25">
      <c r="A39" s="93">
        <v>28</v>
      </c>
      <c r="B39" s="94">
        <v>13.18</v>
      </c>
      <c r="C39" s="94">
        <v>13.18</v>
      </c>
    </row>
    <row r="40" spans="1:3" x14ac:dyDescent="0.25">
      <c r="A40" s="93">
        <v>29</v>
      </c>
      <c r="B40" s="94">
        <v>13.37</v>
      </c>
      <c r="C40" s="94">
        <v>13.37</v>
      </c>
    </row>
    <row r="41" spans="1:3" x14ac:dyDescent="0.25">
      <c r="A41" s="93">
        <v>30</v>
      </c>
      <c r="B41" s="94">
        <v>13.57</v>
      </c>
      <c r="C41" s="94">
        <v>13.57</v>
      </c>
    </row>
    <row r="42" spans="1:3" x14ac:dyDescent="0.25">
      <c r="A42" s="93">
        <v>31</v>
      </c>
      <c r="B42" s="94">
        <v>13.77</v>
      </c>
      <c r="C42" s="94">
        <v>13.77</v>
      </c>
    </row>
    <row r="43" spans="1:3" x14ac:dyDescent="0.25">
      <c r="A43" s="93">
        <v>32</v>
      </c>
      <c r="B43" s="94">
        <v>13.97</v>
      </c>
      <c r="C43" s="94">
        <v>13.97</v>
      </c>
    </row>
    <row r="44" spans="1:3" x14ac:dyDescent="0.25">
      <c r="A44" s="93">
        <v>33</v>
      </c>
      <c r="B44" s="94">
        <v>14.17</v>
      </c>
      <c r="C44" s="94">
        <v>14.17</v>
      </c>
    </row>
    <row r="45" spans="1:3" x14ac:dyDescent="0.25">
      <c r="A45" s="93">
        <v>34</v>
      </c>
      <c r="B45" s="94">
        <v>14.38</v>
      </c>
      <c r="C45" s="94">
        <v>14.38</v>
      </c>
    </row>
    <row r="46" spans="1:3" x14ac:dyDescent="0.25">
      <c r="A46" s="93">
        <v>35</v>
      </c>
      <c r="B46" s="94">
        <v>14.59</v>
      </c>
      <c r="C46" s="94">
        <v>14.59</v>
      </c>
    </row>
    <row r="47" spans="1:3" x14ac:dyDescent="0.25">
      <c r="A47" s="93">
        <v>36</v>
      </c>
      <c r="B47" s="94">
        <v>14.81</v>
      </c>
      <c r="C47" s="94">
        <v>14.81</v>
      </c>
    </row>
    <row r="48" spans="1:3" x14ac:dyDescent="0.25">
      <c r="A48" s="93">
        <v>37</v>
      </c>
      <c r="B48" s="94">
        <v>15.03</v>
      </c>
      <c r="C48" s="94">
        <v>15.03</v>
      </c>
    </row>
    <row r="49" spans="1:3" x14ac:dyDescent="0.25">
      <c r="A49" s="93">
        <v>38</v>
      </c>
      <c r="B49" s="94">
        <v>15.25</v>
      </c>
      <c r="C49" s="94">
        <v>15.25</v>
      </c>
    </row>
    <row r="50" spans="1:3" x14ac:dyDescent="0.25">
      <c r="A50" s="93">
        <v>39</v>
      </c>
      <c r="B50" s="94">
        <v>15.48</v>
      </c>
      <c r="C50" s="94">
        <v>15.48</v>
      </c>
    </row>
    <row r="51" spans="1:3" x14ac:dyDescent="0.25">
      <c r="A51" s="93">
        <v>40</v>
      </c>
      <c r="B51" s="94">
        <v>15.71</v>
      </c>
      <c r="C51" s="94">
        <v>15.71</v>
      </c>
    </row>
    <row r="52" spans="1:3" x14ac:dyDescent="0.25">
      <c r="A52" s="93">
        <v>41</v>
      </c>
      <c r="B52" s="94">
        <v>15.95</v>
      </c>
      <c r="C52" s="94">
        <v>15.95</v>
      </c>
    </row>
    <row r="53" spans="1:3" x14ac:dyDescent="0.25">
      <c r="A53" s="93">
        <v>42</v>
      </c>
      <c r="B53" s="94">
        <v>16.190000000000001</v>
      </c>
      <c r="C53" s="94">
        <v>16.190000000000001</v>
      </c>
    </row>
    <row r="54" spans="1:3" x14ac:dyDescent="0.25">
      <c r="A54" s="93">
        <v>43</v>
      </c>
      <c r="B54" s="94">
        <v>16.440000000000001</v>
      </c>
      <c r="C54" s="94">
        <v>16.440000000000001</v>
      </c>
    </row>
    <row r="55" spans="1:3" x14ac:dyDescent="0.25">
      <c r="A55" s="93">
        <v>44</v>
      </c>
      <c r="B55" s="94">
        <v>16.7</v>
      </c>
      <c r="C55" s="94">
        <v>16.7</v>
      </c>
    </row>
    <row r="56" spans="1:3" x14ac:dyDescent="0.25">
      <c r="A56" s="93">
        <v>45</v>
      </c>
      <c r="B56" s="94">
        <v>16.96</v>
      </c>
      <c r="C56" s="94">
        <v>16.96</v>
      </c>
    </row>
    <row r="57" spans="1:3" x14ac:dyDescent="0.25">
      <c r="A57" s="93">
        <v>46</v>
      </c>
      <c r="B57" s="94">
        <v>17.23</v>
      </c>
      <c r="C57" s="94">
        <v>17.23</v>
      </c>
    </row>
    <row r="58" spans="1:3" x14ac:dyDescent="0.25">
      <c r="A58" s="93">
        <v>47</v>
      </c>
      <c r="B58" s="94">
        <v>17.5</v>
      </c>
      <c r="C58" s="94">
        <v>17.5</v>
      </c>
    </row>
    <row r="59" spans="1:3" x14ac:dyDescent="0.25">
      <c r="A59" s="93">
        <v>48</v>
      </c>
      <c r="B59" s="94">
        <v>17.79</v>
      </c>
      <c r="C59" s="94">
        <v>17.79</v>
      </c>
    </row>
    <row r="60" spans="1:3" x14ac:dyDescent="0.25">
      <c r="A60" s="93">
        <v>49</v>
      </c>
      <c r="B60" s="94">
        <v>18.079999999999998</v>
      </c>
      <c r="C60" s="94">
        <v>18.079999999999998</v>
      </c>
    </row>
    <row r="61" spans="1:3" x14ac:dyDescent="0.25">
      <c r="A61" s="93">
        <v>50</v>
      </c>
      <c r="B61" s="94">
        <v>18.38</v>
      </c>
      <c r="C61" s="94">
        <v>18.38</v>
      </c>
    </row>
    <row r="62" spans="1:3" x14ac:dyDescent="0.25">
      <c r="A62" s="93">
        <v>51</v>
      </c>
      <c r="B62" s="94">
        <v>18.690000000000001</v>
      </c>
      <c r="C62" s="94">
        <v>18.690000000000001</v>
      </c>
    </row>
    <row r="63" spans="1:3" x14ac:dyDescent="0.25">
      <c r="A63" s="93">
        <v>52</v>
      </c>
      <c r="B63" s="94">
        <v>19</v>
      </c>
      <c r="C63" s="94">
        <v>19</v>
      </c>
    </row>
    <row r="64" spans="1:3" x14ac:dyDescent="0.25">
      <c r="A64" s="93">
        <v>53</v>
      </c>
      <c r="B64" s="94">
        <v>19.329999999999998</v>
      </c>
      <c r="C64" s="94">
        <v>19.329999999999998</v>
      </c>
    </row>
    <row r="65" spans="1:3" x14ac:dyDescent="0.25">
      <c r="A65" s="93">
        <v>54</v>
      </c>
      <c r="B65" s="94">
        <v>19.670000000000002</v>
      </c>
      <c r="C65" s="94">
        <v>19.670000000000002</v>
      </c>
    </row>
    <row r="66" spans="1:3" x14ac:dyDescent="0.25">
      <c r="A66" s="93">
        <v>55</v>
      </c>
      <c r="B66" s="94">
        <v>20.02</v>
      </c>
      <c r="C66" s="94">
        <v>20.02</v>
      </c>
    </row>
    <row r="67" spans="1:3" x14ac:dyDescent="0.25">
      <c r="A67" s="93">
        <v>56</v>
      </c>
      <c r="B67" s="94">
        <v>20.38</v>
      </c>
      <c r="C67" s="94">
        <v>20.38</v>
      </c>
    </row>
    <row r="68" spans="1:3" x14ac:dyDescent="0.25">
      <c r="A68" s="93">
        <v>57</v>
      </c>
      <c r="B68" s="94">
        <v>20.75</v>
      </c>
      <c r="C68" s="94">
        <v>20.75</v>
      </c>
    </row>
    <row r="69" spans="1:3" x14ac:dyDescent="0.25">
      <c r="A69" s="93">
        <v>58</v>
      </c>
      <c r="B69" s="94">
        <v>21.13</v>
      </c>
      <c r="C69" s="94">
        <v>21.13</v>
      </c>
    </row>
    <row r="70" spans="1:3" x14ac:dyDescent="0.25">
      <c r="A70" s="93">
        <v>59</v>
      </c>
      <c r="B70" s="94">
        <v>21.53</v>
      </c>
      <c r="C70" s="94">
        <v>21.53</v>
      </c>
    </row>
    <row r="71" spans="1:3" x14ac:dyDescent="0.25">
      <c r="A71" s="93">
        <v>60</v>
      </c>
      <c r="B71" s="94">
        <v>21.44</v>
      </c>
      <c r="C71" s="94">
        <v>21.44</v>
      </c>
    </row>
    <row r="72" spans="1:3" x14ac:dyDescent="0.25">
      <c r="A72" s="93">
        <v>61</v>
      </c>
      <c r="B72" s="94">
        <v>20.85</v>
      </c>
      <c r="C72" s="94">
        <v>20.85</v>
      </c>
    </row>
    <row r="73" spans="1:3" x14ac:dyDescent="0.25">
      <c r="A73" s="93">
        <v>62</v>
      </c>
      <c r="B73" s="94">
        <v>20.25</v>
      </c>
      <c r="C73" s="94">
        <v>20.25</v>
      </c>
    </row>
    <row r="74" spans="1:3" x14ac:dyDescent="0.25">
      <c r="A74" s="93">
        <v>63</v>
      </c>
      <c r="B74" s="94">
        <v>19.649999999999999</v>
      </c>
      <c r="C74" s="94">
        <v>19.649999999999999</v>
      </c>
    </row>
    <row r="75" spans="1:3" x14ac:dyDescent="0.25">
      <c r="A75" s="93">
        <v>64</v>
      </c>
      <c r="B75" s="94">
        <v>19.05</v>
      </c>
      <c r="C75" s="94">
        <v>19.05</v>
      </c>
    </row>
    <row r="76" spans="1:3" x14ac:dyDescent="0.25">
      <c r="A76" s="93">
        <v>65</v>
      </c>
      <c r="B76" s="94">
        <v>18.440000000000001</v>
      </c>
      <c r="C76" s="94">
        <v>18.440000000000001</v>
      </c>
    </row>
    <row r="77" spans="1:3" x14ac:dyDescent="0.25">
      <c r="A77" s="93">
        <v>66</v>
      </c>
      <c r="B77" s="94">
        <v>17.829999999999998</v>
      </c>
      <c r="C77" s="94">
        <v>17.829999999999998</v>
      </c>
    </row>
    <row r="78" spans="1:3" x14ac:dyDescent="0.25">
      <c r="A78" s="93">
        <v>67</v>
      </c>
      <c r="B78" s="94">
        <v>17.21</v>
      </c>
      <c r="C78" s="94">
        <v>17.21</v>
      </c>
    </row>
    <row r="79" spans="1:3" x14ac:dyDescent="0.25">
      <c r="A79" s="93">
        <v>68</v>
      </c>
      <c r="B79" s="94">
        <v>16.600000000000001</v>
      </c>
      <c r="C79" s="94">
        <v>16.600000000000001</v>
      </c>
    </row>
    <row r="80" spans="1:3" x14ac:dyDescent="0.25">
      <c r="A80" s="93">
        <v>69</v>
      </c>
      <c r="B80" s="94">
        <v>15.97</v>
      </c>
      <c r="C80" s="94">
        <v>15.97</v>
      </c>
    </row>
    <row r="81" spans="1:3" x14ac:dyDescent="0.25">
      <c r="A81" s="93">
        <v>70</v>
      </c>
      <c r="B81" s="94">
        <v>15.35</v>
      </c>
      <c r="C81" s="94">
        <v>15.35</v>
      </c>
    </row>
    <row r="82" spans="1:3" x14ac:dyDescent="0.25">
      <c r="A82" s="93">
        <v>71</v>
      </c>
      <c r="B82" s="94">
        <v>14.72</v>
      </c>
      <c r="C82" s="94">
        <v>14.72</v>
      </c>
    </row>
    <row r="83" spans="1:3" x14ac:dyDescent="0.25">
      <c r="A83" s="93">
        <v>72</v>
      </c>
      <c r="B83" s="94">
        <v>14.1</v>
      </c>
      <c r="C83" s="94">
        <v>14.1</v>
      </c>
    </row>
    <row r="84" spans="1:3" x14ac:dyDescent="0.25">
      <c r="A84" s="93">
        <v>73</v>
      </c>
      <c r="B84" s="94">
        <v>13.48</v>
      </c>
      <c r="C84" s="94">
        <v>13.48</v>
      </c>
    </row>
    <row r="85" spans="1:3" x14ac:dyDescent="0.25">
      <c r="A85" s="93">
        <v>74</v>
      </c>
      <c r="B85" s="94">
        <v>12.86</v>
      </c>
      <c r="C85" s="94">
        <v>12.86</v>
      </c>
    </row>
    <row r="86" spans="1:3" x14ac:dyDescent="0.25">
      <c r="A86" s="93">
        <v>75</v>
      </c>
      <c r="B86" s="94">
        <v>12.24</v>
      </c>
      <c r="C86" s="94">
        <v>12.24</v>
      </c>
    </row>
    <row r="87" spans="1:3" x14ac:dyDescent="0.25">
      <c r="A87" s="93">
        <v>76</v>
      </c>
      <c r="B87" s="94">
        <v>11.63</v>
      </c>
      <c r="C87" s="94">
        <v>11.63</v>
      </c>
    </row>
    <row r="88" spans="1:3" x14ac:dyDescent="0.25">
      <c r="A88" s="93">
        <v>77</v>
      </c>
      <c r="B88" s="94">
        <v>11.02</v>
      </c>
      <c r="C88" s="94">
        <v>11.02</v>
      </c>
    </row>
    <row r="89" spans="1:3" x14ac:dyDescent="0.25">
      <c r="A89" s="93">
        <v>78</v>
      </c>
      <c r="B89" s="94">
        <v>10.42</v>
      </c>
      <c r="C89" s="94">
        <v>10.42</v>
      </c>
    </row>
    <row r="90" spans="1:3" x14ac:dyDescent="0.25">
      <c r="A90" s="93">
        <v>79</v>
      </c>
      <c r="B90" s="94">
        <v>9.83</v>
      </c>
      <c r="C90" s="94">
        <v>9.83</v>
      </c>
    </row>
    <row r="91" spans="1:3" x14ac:dyDescent="0.25">
      <c r="A91" s="93">
        <v>80</v>
      </c>
      <c r="B91" s="94">
        <v>9.26</v>
      </c>
      <c r="C91" s="94">
        <v>9.26</v>
      </c>
    </row>
    <row r="92" spans="1:3" x14ac:dyDescent="0.25">
      <c r="A92" s="93">
        <v>81</v>
      </c>
      <c r="B92" s="94">
        <v>8.69</v>
      </c>
      <c r="C92" s="94">
        <v>8.69</v>
      </c>
    </row>
    <row r="93" spans="1:3" x14ac:dyDescent="0.25">
      <c r="A93" s="93">
        <v>82</v>
      </c>
      <c r="B93" s="94">
        <v>8.14</v>
      </c>
      <c r="C93" s="94">
        <v>8.14</v>
      </c>
    </row>
    <row r="94" spans="1:3" x14ac:dyDescent="0.25">
      <c r="A94" s="93">
        <v>83</v>
      </c>
      <c r="B94" s="94">
        <v>7.6</v>
      </c>
      <c r="C94" s="94">
        <v>7.6</v>
      </c>
    </row>
    <row r="95" spans="1:3" x14ac:dyDescent="0.25">
      <c r="A95" s="93">
        <v>84</v>
      </c>
      <c r="B95" s="94">
        <v>7.08</v>
      </c>
      <c r="C95" s="94">
        <v>7.08</v>
      </c>
    </row>
    <row r="96" spans="1:3" x14ac:dyDescent="0.25">
      <c r="A96" s="93">
        <v>85</v>
      </c>
      <c r="B96" s="94">
        <v>6.58</v>
      </c>
      <c r="C96" s="94">
        <v>6.58</v>
      </c>
    </row>
  </sheetData>
  <sheetProtection algorithmName="SHA-512" hashValue="8/WLRjH3MpyfJJY3FInpYfuSoTB5b9TTA+J5HMmRckCsv4HfOCUa2az8jWIYRgu3VXPZwfJIXU7GdGFjYrESpg==" saltValue="fOF3BMO3kqhyYBir8Kd2YA==" spinCount="100000" sheet="1" objects="1" scenarios="1"/>
  <conditionalFormatting sqref="A6:A21">
    <cfRule type="expression" dxfId="621" priority="11" stopIfTrue="1">
      <formula>MOD(ROW(),2)=0</formula>
    </cfRule>
    <cfRule type="expression" dxfId="620" priority="12" stopIfTrue="1">
      <formula>MOD(ROW(),2)&lt;&gt;0</formula>
    </cfRule>
  </conditionalFormatting>
  <conditionalFormatting sqref="A26:A96">
    <cfRule type="expression" dxfId="619" priority="5" stopIfTrue="1">
      <formula>MOD(ROW(),2)=0</formula>
    </cfRule>
    <cfRule type="expression" dxfId="618" priority="6" stopIfTrue="1">
      <formula>MOD(ROW(),2)&lt;&gt;0</formula>
    </cfRule>
  </conditionalFormatting>
  <conditionalFormatting sqref="B17:B21">
    <cfRule type="expression" dxfId="617" priority="1" stopIfTrue="1">
      <formula>MOD(ROW(),2)=0</formula>
    </cfRule>
    <cfRule type="expression" dxfId="616" priority="2" stopIfTrue="1">
      <formula>MOD(ROW(),2)&lt;&gt;0</formula>
    </cfRule>
  </conditionalFormatting>
  <conditionalFormatting sqref="B6:C21">
    <cfRule type="expression" dxfId="615" priority="21" stopIfTrue="1">
      <formula>MOD(ROW(),2)=0</formula>
    </cfRule>
    <cfRule type="expression" dxfId="614" priority="22" stopIfTrue="1">
      <formula>MOD(ROW(),2)&lt;&gt;0</formula>
    </cfRule>
  </conditionalFormatting>
  <conditionalFormatting sqref="B26:C96">
    <cfRule type="expression" dxfId="613" priority="7" stopIfTrue="1">
      <formula>MOD(ROW(),2)=0</formula>
    </cfRule>
    <cfRule type="expression" dxfId="612" priority="8" stopIfTrue="1">
      <formula>MOD(ROW(),2)&lt;&gt;0</formula>
    </cfRule>
  </conditionalFormatting>
  <conditionalFormatting sqref="C17">
    <cfRule type="expression" dxfId="611" priority="3" stopIfTrue="1">
      <formula>MOD(ROW(),2)=0</formula>
    </cfRule>
    <cfRule type="expression" dxfId="6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9"/>
  <dimension ref="A1:I96"/>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26.4414062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Credit - x-314</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2007</v>
      </c>
      <c r="C8" s="152"/>
    </row>
    <row r="9" spans="1:9" x14ac:dyDescent="0.25">
      <c r="A9" s="79" t="s">
        <v>307</v>
      </c>
      <c r="B9" s="152" t="s">
        <v>387</v>
      </c>
      <c r="C9" s="152"/>
    </row>
    <row r="10" spans="1:9" x14ac:dyDescent="0.25">
      <c r="A10" s="79" t="s">
        <v>233</v>
      </c>
      <c r="B10" s="152" t="s">
        <v>388</v>
      </c>
      <c r="C10" s="152"/>
    </row>
    <row r="11" spans="1:9" x14ac:dyDescent="0.25">
      <c r="A11" s="79" t="s">
        <v>308</v>
      </c>
      <c r="B11" s="152" t="s">
        <v>389</v>
      </c>
      <c r="C11" s="152"/>
    </row>
    <row r="12" spans="1:9" x14ac:dyDescent="0.25">
      <c r="A12" s="79" t="s">
        <v>309</v>
      </c>
      <c r="B12" s="152" t="s">
        <v>323</v>
      </c>
      <c r="C12" s="152"/>
    </row>
    <row r="13" spans="1:9" x14ac:dyDescent="0.25">
      <c r="A13" s="79" t="s">
        <v>566</v>
      </c>
      <c r="B13" s="152">
        <v>1</v>
      </c>
      <c r="C13" s="152"/>
    </row>
    <row r="14" spans="1:9" x14ac:dyDescent="0.25">
      <c r="A14" s="79" t="s">
        <v>311</v>
      </c>
      <c r="B14" s="152">
        <v>314</v>
      </c>
      <c r="C14" s="152"/>
    </row>
    <row r="15" spans="1:9" x14ac:dyDescent="0.25">
      <c r="A15" s="79" t="s">
        <v>569</v>
      </c>
      <c r="B15" s="152" t="s">
        <v>392</v>
      </c>
      <c r="C15" s="152"/>
    </row>
    <row r="16" spans="1:9" x14ac:dyDescent="0.25">
      <c r="A16" s="79" t="s">
        <v>313</v>
      </c>
      <c r="B16" s="152" t="s">
        <v>391</v>
      </c>
      <c r="C16" s="152"/>
    </row>
    <row r="17" spans="1:3" ht="99.6" customHeight="1" x14ac:dyDescent="0.25">
      <c r="A17" s="79" t="s">
        <v>639</v>
      </c>
      <c r="B17" s="152"/>
      <c r="C17" s="152"/>
    </row>
    <row r="18" spans="1:3" x14ac:dyDescent="0.25">
      <c r="A18" s="79" t="s">
        <v>315</v>
      </c>
      <c r="B18" s="154">
        <v>45070</v>
      </c>
      <c r="C18" s="152"/>
    </row>
    <row r="19" spans="1:3" x14ac:dyDescent="0.25">
      <c r="A19" s="79" t="s">
        <v>316</v>
      </c>
      <c r="B19" s="154">
        <v>45014</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658</v>
      </c>
      <c r="C26" s="92" t="s">
        <v>659</v>
      </c>
    </row>
    <row r="27" spans="1:3" x14ac:dyDescent="0.25">
      <c r="A27" s="93">
        <v>16</v>
      </c>
      <c r="B27" s="94">
        <v>8.92</v>
      </c>
      <c r="C27" s="94">
        <v>8.92</v>
      </c>
    </row>
    <row r="28" spans="1:3" x14ac:dyDescent="0.25">
      <c r="A28" s="93">
        <v>17</v>
      </c>
      <c r="B28" s="94">
        <v>9.0399999999999991</v>
      </c>
      <c r="C28" s="94">
        <v>9.0399999999999991</v>
      </c>
    </row>
    <row r="29" spans="1:3" x14ac:dyDescent="0.25">
      <c r="A29" s="93">
        <v>18</v>
      </c>
      <c r="B29" s="94">
        <v>9.17</v>
      </c>
      <c r="C29" s="94">
        <v>9.17</v>
      </c>
    </row>
    <row r="30" spans="1:3" x14ac:dyDescent="0.25">
      <c r="A30" s="93">
        <v>19</v>
      </c>
      <c r="B30" s="94">
        <v>9.3000000000000007</v>
      </c>
      <c r="C30" s="94">
        <v>9.3000000000000007</v>
      </c>
    </row>
    <row r="31" spans="1:3" x14ac:dyDescent="0.25">
      <c r="A31" s="93">
        <v>20</v>
      </c>
      <c r="B31" s="94">
        <v>9.43</v>
      </c>
      <c r="C31" s="94">
        <v>9.43</v>
      </c>
    </row>
    <row r="32" spans="1:3" x14ac:dyDescent="0.25">
      <c r="A32" s="93">
        <v>21</v>
      </c>
      <c r="B32" s="94">
        <v>9.56</v>
      </c>
      <c r="C32" s="94">
        <v>9.56</v>
      </c>
    </row>
    <row r="33" spans="1:3" x14ac:dyDescent="0.25">
      <c r="A33" s="93">
        <v>22</v>
      </c>
      <c r="B33" s="94">
        <v>9.69</v>
      </c>
      <c r="C33" s="94">
        <v>9.69</v>
      </c>
    </row>
    <row r="34" spans="1:3" x14ac:dyDescent="0.25">
      <c r="A34" s="93">
        <v>23</v>
      </c>
      <c r="B34" s="94">
        <v>9.83</v>
      </c>
      <c r="C34" s="94">
        <v>9.83</v>
      </c>
    </row>
    <row r="35" spans="1:3" x14ac:dyDescent="0.25">
      <c r="A35" s="93">
        <v>24</v>
      </c>
      <c r="B35" s="94">
        <v>9.9700000000000006</v>
      </c>
      <c r="C35" s="94">
        <v>9.9700000000000006</v>
      </c>
    </row>
    <row r="36" spans="1:3" x14ac:dyDescent="0.25">
      <c r="A36" s="93">
        <v>25</v>
      </c>
      <c r="B36" s="94">
        <v>10.11</v>
      </c>
      <c r="C36" s="94">
        <v>10.11</v>
      </c>
    </row>
    <row r="37" spans="1:3" x14ac:dyDescent="0.25">
      <c r="A37" s="93">
        <v>26</v>
      </c>
      <c r="B37" s="94">
        <v>10.25</v>
      </c>
      <c r="C37" s="94">
        <v>10.25</v>
      </c>
    </row>
    <row r="38" spans="1:3" x14ac:dyDescent="0.25">
      <c r="A38" s="93">
        <v>27</v>
      </c>
      <c r="B38" s="94">
        <v>10.39</v>
      </c>
      <c r="C38" s="94">
        <v>10.39</v>
      </c>
    </row>
    <row r="39" spans="1:3" x14ac:dyDescent="0.25">
      <c r="A39" s="93">
        <v>28</v>
      </c>
      <c r="B39" s="94">
        <v>10.54</v>
      </c>
      <c r="C39" s="94">
        <v>10.54</v>
      </c>
    </row>
    <row r="40" spans="1:3" x14ac:dyDescent="0.25">
      <c r="A40" s="93">
        <v>29</v>
      </c>
      <c r="B40" s="94">
        <v>10.69</v>
      </c>
      <c r="C40" s="94">
        <v>10.69</v>
      </c>
    </row>
    <row r="41" spans="1:3" x14ac:dyDescent="0.25">
      <c r="A41" s="93">
        <v>30</v>
      </c>
      <c r="B41" s="94">
        <v>10.84</v>
      </c>
      <c r="C41" s="94">
        <v>10.84</v>
      </c>
    </row>
    <row r="42" spans="1:3" x14ac:dyDescent="0.25">
      <c r="A42" s="93">
        <v>31</v>
      </c>
      <c r="B42" s="94">
        <v>10.99</v>
      </c>
      <c r="C42" s="94">
        <v>10.99</v>
      </c>
    </row>
    <row r="43" spans="1:3" x14ac:dyDescent="0.25">
      <c r="A43" s="93">
        <v>32</v>
      </c>
      <c r="B43" s="94">
        <v>11.15</v>
      </c>
      <c r="C43" s="94">
        <v>11.15</v>
      </c>
    </row>
    <row r="44" spans="1:3" x14ac:dyDescent="0.25">
      <c r="A44" s="93">
        <v>33</v>
      </c>
      <c r="B44" s="94">
        <v>11.3</v>
      </c>
      <c r="C44" s="94">
        <v>11.3</v>
      </c>
    </row>
    <row r="45" spans="1:3" x14ac:dyDescent="0.25">
      <c r="A45" s="93">
        <v>34</v>
      </c>
      <c r="B45" s="94">
        <v>11.46</v>
      </c>
      <c r="C45" s="94">
        <v>11.46</v>
      </c>
    </row>
    <row r="46" spans="1:3" x14ac:dyDescent="0.25">
      <c r="A46" s="93">
        <v>35</v>
      </c>
      <c r="B46" s="94">
        <v>11.63</v>
      </c>
      <c r="C46" s="94">
        <v>11.63</v>
      </c>
    </row>
    <row r="47" spans="1:3" x14ac:dyDescent="0.25">
      <c r="A47" s="93">
        <v>36</v>
      </c>
      <c r="B47" s="94">
        <v>11.79</v>
      </c>
      <c r="C47" s="94">
        <v>11.79</v>
      </c>
    </row>
    <row r="48" spans="1:3" x14ac:dyDescent="0.25">
      <c r="A48" s="93">
        <v>37</v>
      </c>
      <c r="B48" s="94">
        <v>11.96</v>
      </c>
      <c r="C48" s="94">
        <v>11.96</v>
      </c>
    </row>
    <row r="49" spans="1:3" x14ac:dyDescent="0.25">
      <c r="A49" s="93">
        <v>38</v>
      </c>
      <c r="B49" s="94">
        <v>12.13</v>
      </c>
      <c r="C49" s="94">
        <v>12.13</v>
      </c>
    </row>
    <row r="50" spans="1:3" x14ac:dyDescent="0.25">
      <c r="A50" s="93">
        <v>39</v>
      </c>
      <c r="B50" s="94">
        <v>12.31</v>
      </c>
      <c r="C50" s="94">
        <v>12.31</v>
      </c>
    </row>
    <row r="51" spans="1:3" x14ac:dyDescent="0.25">
      <c r="A51" s="93">
        <v>40</v>
      </c>
      <c r="B51" s="94">
        <v>12.48</v>
      </c>
      <c r="C51" s="94">
        <v>12.48</v>
      </c>
    </row>
    <row r="52" spans="1:3" x14ac:dyDescent="0.25">
      <c r="A52" s="93">
        <v>41</v>
      </c>
      <c r="B52" s="94">
        <v>12.67</v>
      </c>
      <c r="C52" s="94">
        <v>12.67</v>
      </c>
    </row>
    <row r="53" spans="1:3" x14ac:dyDescent="0.25">
      <c r="A53" s="93">
        <v>42</v>
      </c>
      <c r="B53" s="94">
        <v>12.85</v>
      </c>
      <c r="C53" s="94">
        <v>12.85</v>
      </c>
    </row>
    <row r="54" spans="1:3" x14ac:dyDescent="0.25">
      <c r="A54" s="93">
        <v>43</v>
      </c>
      <c r="B54" s="94">
        <v>13.04</v>
      </c>
      <c r="C54" s="94">
        <v>13.04</v>
      </c>
    </row>
    <row r="55" spans="1:3" x14ac:dyDescent="0.25">
      <c r="A55" s="93">
        <v>44</v>
      </c>
      <c r="B55" s="94">
        <v>13.24</v>
      </c>
      <c r="C55" s="94">
        <v>13.24</v>
      </c>
    </row>
    <row r="56" spans="1:3" x14ac:dyDescent="0.25">
      <c r="A56" s="93">
        <v>45</v>
      </c>
      <c r="B56" s="94">
        <v>13.44</v>
      </c>
      <c r="C56" s="94">
        <v>13.44</v>
      </c>
    </row>
    <row r="57" spans="1:3" x14ac:dyDescent="0.25">
      <c r="A57" s="93">
        <v>46</v>
      </c>
      <c r="B57" s="94">
        <v>13.64</v>
      </c>
      <c r="C57" s="94">
        <v>13.64</v>
      </c>
    </row>
    <row r="58" spans="1:3" x14ac:dyDescent="0.25">
      <c r="A58" s="93">
        <v>47</v>
      </c>
      <c r="B58" s="94">
        <v>13.85</v>
      </c>
      <c r="C58" s="94">
        <v>13.85</v>
      </c>
    </row>
    <row r="59" spans="1:3" x14ac:dyDescent="0.25">
      <c r="A59" s="93">
        <v>48</v>
      </c>
      <c r="B59" s="94">
        <v>14.07</v>
      </c>
      <c r="C59" s="94">
        <v>14.07</v>
      </c>
    </row>
    <row r="60" spans="1:3" x14ac:dyDescent="0.25">
      <c r="A60" s="93">
        <v>49</v>
      </c>
      <c r="B60" s="94">
        <v>14.29</v>
      </c>
      <c r="C60" s="94">
        <v>14.29</v>
      </c>
    </row>
    <row r="61" spans="1:3" x14ac:dyDescent="0.25">
      <c r="A61" s="93">
        <v>50</v>
      </c>
      <c r="B61" s="94">
        <v>14.52</v>
      </c>
      <c r="C61" s="94">
        <v>14.52</v>
      </c>
    </row>
    <row r="62" spans="1:3" x14ac:dyDescent="0.25">
      <c r="A62" s="93">
        <v>51</v>
      </c>
      <c r="B62" s="94">
        <v>14.76</v>
      </c>
      <c r="C62" s="94">
        <v>14.76</v>
      </c>
    </row>
    <row r="63" spans="1:3" x14ac:dyDescent="0.25">
      <c r="A63" s="93">
        <v>52</v>
      </c>
      <c r="B63" s="94">
        <v>15</v>
      </c>
      <c r="C63" s="94">
        <v>15</v>
      </c>
    </row>
    <row r="64" spans="1:3" x14ac:dyDescent="0.25">
      <c r="A64" s="93">
        <v>53</v>
      </c>
      <c r="B64" s="94">
        <v>15.25</v>
      </c>
      <c r="C64" s="94">
        <v>15.25</v>
      </c>
    </row>
    <row r="65" spans="1:3" x14ac:dyDescent="0.25">
      <c r="A65" s="93">
        <v>54</v>
      </c>
      <c r="B65" s="94">
        <v>15.51</v>
      </c>
      <c r="C65" s="94">
        <v>15.51</v>
      </c>
    </row>
    <row r="66" spans="1:3" x14ac:dyDescent="0.25">
      <c r="A66" s="93">
        <v>55</v>
      </c>
      <c r="B66" s="94">
        <v>15.77</v>
      </c>
      <c r="C66" s="94">
        <v>15.77</v>
      </c>
    </row>
    <row r="67" spans="1:3" x14ac:dyDescent="0.25">
      <c r="A67" s="93">
        <v>56</v>
      </c>
      <c r="B67" s="94">
        <v>16.04</v>
      </c>
      <c r="C67" s="94">
        <v>16.04</v>
      </c>
    </row>
    <row r="68" spans="1:3" x14ac:dyDescent="0.25">
      <c r="A68" s="93">
        <v>57</v>
      </c>
      <c r="B68" s="94">
        <v>16.329999999999998</v>
      </c>
      <c r="C68" s="94">
        <v>16.329999999999998</v>
      </c>
    </row>
    <row r="69" spans="1:3" x14ac:dyDescent="0.25">
      <c r="A69" s="93">
        <v>58</v>
      </c>
      <c r="B69" s="94">
        <v>16.62</v>
      </c>
      <c r="C69" s="94">
        <v>16.62</v>
      </c>
    </row>
    <row r="70" spans="1:3" x14ac:dyDescent="0.25">
      <c r="A70" s="93">
        <v>59</v>
      </c>
      <c r="B70" s="94">
        <v>16.920000000000002</v>
      </c>
      <c r="C70" s="94">
        <v>16.920000000000002</v>
      </c>
    </row>
    <row r="71" spans="1:3" x14ac:dyDescent="0.25">
      <c r="A71" s="93">
        <v>60</v>
      </c>
      <c r="B71" s="94">
        <v>17.239999999999998</v>
      </c>
      <c r="C71" s="94">
        <v>17.239999999999998</v>
      </c>
    </row>
    <row r="72" spans="1:3" x14ac:dyDescent="0.25">
      <c r="A72" s="93">
        <v>61</v>
      </c>
      <c r="B72" s="94">
        <v>17.57</v>
      </c>
      <c r="C72" s="94">
        <v>17.57</v>
      </c>
    </row>
    <row r="73" spans="1:3" x14ac:dyDescent="0.25">
      <c r="A73" s="93">
        <v>62</v>
      </c>
      <c r="B73" s="94">
        <v>17.91</v>
      </c>
      <c r="C73" s="94">
        <v>17.91</v>
      </c>
    </row>
    <row r="74" spans="1:3" x14ac:dyDescent="0.25">
      <c r="A74" s="93">
        <v>63</v>
      </c>
      <c r="B74" s="94">
        <v>18.27</v>
      </c>
      <c r="C74" s="94">
        <v>18.27</v>
      </c>
    </row>
    <row r="75" spans="1:3" x14ac:dyDescent="0.25">
      <c r="A75" s="93">
        <v>64</v>
      </c>
      <c r="B75" s="94">
        <v>18.64</v>
      </c>
      <c r="C75" s="94">
        <v>18.64</v>
      </c>
    </row>
    <row r="76" spans="1:3" x14ac:dyDescent="0.25">
      <c r="A76" s="93">
        <v>65</v>
      </c>
      <c r="B76" s="94">
        <v>18.52</v>
      </c>
      <c r="C76" s="94">
        <v>18.52</v>
      </c>
    </row>
    <row r="77" spans="1:3" x14ac:dyDescent="0.25">
      <c r="A77" s="93">
        <v>66</v>
      </c>
      <c r="B77" s="94">
        <v>17.88</v>
      </c>
      <c r="C77" s="94">
        <v>17.88</v>
      </c>
    </row>
    <row r="78" spans="1:3" x14ac:dyDescent="0.25">
      <c r="A78" s="93">
        <v>67</v>
      </c>
      <c r="B78" s="94">
        <v>17.239999999999998</v>
      </c>
      <c r="C78" s="94">
        <v>17.239999999999998</v>
      </c>
    </row>
    <row r="79" spans="1:3" x14ac:dyDescent="0.25">
      <c r="A79" s="93">
        <v>68</v>
      </c>
      <c r="B79" s="94">
        <v>16.61</v>
      </c>
      <c r="C79" s="94">
        <v>16.61</v>
      </c>
    </row>
    <row r="80" spans="1:3" x14ac:dyDescent="0.25">
      <c r="A80" s="93">
        <v>69</v>
      </c>
      <c r="B80" s="94">
        <v>15.98</v>
      </c>
      <c r="C80" s="94">
        <v>15.98</v>
      </c>
    </row>
    <row r="81" spans="1:3" x14ac:dyDescent="0.25">
      <c r="A81" s="93">
        <v>70</v>
      </c>
      <c r="B81" s="94">
        <v>15.35</v>
      </c>
      <c r="C81" s="94">
        <v>15.35</v>
      </c>
    </row>
    <row r="82" spans="1:3" x14ac:dyDescent="0.25">
      <c r="A82" s="93">
        <v>71</v>
      </c>
      <c r="B82" s="94">
        <v>14.72</v>
      </c>
      <c r="C82" s="94">
        <v>14.72</v>
      </c>
    </row>
    <row r="83" spans="1:3" x14ac:dyDescent="0.25">
      <c r="A83" s="93">
        <v>72</v>
      </c>
      <c r="B83" s="94">
        <v>14.1</v>
      </c>
      <c r="C83" s="94">
        <v>14.1</v>
      </c>
    </row>
    <row r="84" spans="1:3" x14ac:dyDescent="0.25">
      <c r="A84" s="93">
        <v>73</v>
      </c>
      <c r="B84" s="94">
        <v>13.48</v>
      </c>
      <c r="C84" s="94">
        <v>13.48</v>
      </c>
    </row>
    <row r="85" spans="1:3" x14ac:dyDescent="0.25">
      <c r="A85" s="93">
        <v>74</v>
      </c>
      <c r="B85" s="94">
        <v>12.86</v>
      </c>
      <c r="C85" s="94">
        <v>12.86</v>
      </c>
    </row>
    <row r="86" spans="1:3" x14ac:dyDescent="0.25">
      <c r="A86" s="93">
        <v>75</v>
      </c>
      <c r="B86" s="94">
        <v>12.24</v>
      </c>
      <c r="C86" s="94">
        <v>12.24</v>
      </c>
    </row>
    <row r="87" spans="1:3" x14ac:dyDescent="0.25">
      <c r="A87" s="93">
        <v>76</v>
      </c>
      <c r="B87" s="94">
        <v>11.63</v>
      </c>
      <c r="C87" s="94">
        <v>11.63</v>
      </c>
    </row>
    <row r="88" spans="1:3" x14ac:dyDescent="0.25">
      <c r="A88" s="93">
        <v>77</v>
      </c>
      <c r="B88" s="94">
        <v>11.02</v>
      </c>
      <c r="C88" s="94">
        <v>11.02</v>
      </c>
    </row>
    <row r="89" spans="1:3" x14ac:dyDescent="0.25">
      <c r="A89" s="93">
        <v>78</v>
      </c>
      <c r="B89" s="94">
        <v>10.42</v>
      </c>
      <c r="C89" s="94">
        <v>10.42</v>
      </c>
    </row>
    <row r="90" spans="1:3" x14ac:dyDescent="0.25">
      <c r="A90" s="93">
        <v>79</v>
      </c>
      <c r="B90" s="94">
        <v>9.83</v>
      </c>
      <c r="C90" s="94">
        <v>9.83</v>
      </c>
    </row>
    <row r="91" spans="1:3" x14ac:dyDescent="0.25">
      <c r="A91" s="93">
        <v>80</v>
      </c>
      <c r="B91" s="94">
        <v>9.26</v>
      </c>
      <c r="C91" s="94">
        <v>9.26</v>
      </c>
    </row>
    <row r="92" spans="1:3" x14ac:dyDescent="0.25">
      <c r="A92" s="93">
        <v>81</v>
      </c>
      <c r="B92" s="94">
        <v>8.69</v>
      </c>
      <c r="C92" s="94">
        <v>8.69</v>
      </c>
    </row>
    <row r="93" spans="1:3" x14ac:dyDescent="0.25">
      <c r="A93" s="93">
        <v>82</v>
      </c>
      <c r="B93" s="94">
        <v>8.14</v>
      </c>
      <c r="C93" s="94">
        <v>8.14</v>
      </c>
    </row>
    <row r="94" spans="1:3" x14ac:dyDescent="0.25">
      <c r="A94" s="93">
        <v>83</v>
      </c>
      <c r="B94" s="94">
        <v>7.6</v>
      </c>
      <c r="C94" s="94">
        <v>7.6</v>
      </c>
    </row>
    <row r="95" spans="1:3" x14ac:dyDescent="0.25">
      <c r="A95" s="93">
        <v>84</v>
      </c>
      <c r="B95" s="94">
        <v>7.08</v>
      </c>
      <c r="C95" s="94">
        <v>7.08</v>
      </c>
    </row>
    <row r="96" spans="1:3" x14ac:dyDescent="0.25">
      <c r="A96" s="93">
        <v>85</v>
      </c>
      <c r="B96" s="94">
        <v>6.58</v>
      </c>
      <c r="C96" s="94">
        <v>6.58</v>
      </c>
    </row>
  </sheetData>
  <sheetProtection algorithmName="SHA-512" hashValue="3t3QvE9gp6veZXfXpl7EJj4WOJV0yCtGciB4b59DOb7+/UEWKKLp7LVzXzULT+/i38vQMh4HhMiYZCDFC8Tomg==" saltValue="viV5SPJrC22s438f0om8zw==" spinCount="100000" sheet="1" objects="1" scenarios="1"/>
  <conditionalFormatting sqref="A6:A21">
    <cfRule type="expression" dxfId="609" priority="15" stopIfTrue="1">
      <formula>MOD(ROW(),2)=0</formula>
    </cfRule>
    <cfRule type="expression" dxfId="608" priority="16" stopIfTrue="1">
      <formula>MOD(ROW(),2)&lt;&gt;0</formula>
    </cfRule>
  </conditionalFormatting>
  <conditionalFormatting sqref="A26:A96">
    <cfRule type="expression" dxfId="607" priority="5" stopIfTrue="1">
      <formula>MOD(ROW(),2)=0</formula>
    </cfRule>
    <cfRule type="expression" dxfId="606" priority="6" stopIfTrue="1">
      <formula>MOD(ROW(),2)&lt;&gt;0</formula>
    </cfRule>
  </conditionalFormatting>
  <conditionalFormatting sqref="B17:B21">
    <cfRule type="expression" dxfId="605" priority="1" stopIfTrue="1">
      <formula>MOD(ROW(),2)=0</formula>
    </cfRule>
    <cfRule type="expression" dxfId="604" priority="2" stopIfTrue="1">
      <formula>MOD(ROW(),2)&lt;&gt;0</formula>
    </cfRule>
  </conditionalFormatting>
  <conditionalFormatting sqref="B6:C21">
    <cfRule type="expression" dxfId="603" priority="25" stopIfTrue="1">
      <formula>MOD(ROW(),2)=0</formula>
    </cfRule>
    <cfRule type="expression" dxfId="602" priority="26" stopIfTrue="1">
      <formula>MOD(ROW(),2)&lt;&gt;0</formula>
    </cfRule>
  </conditionalFormatting>
  <conditionalFormatting sqref="B26:C96">
    <cfRule type="expression" dxfId="601" priority="7" stopIfTrue="1">
      <formula>MOD(ROW(),2)=0</formula>
    </cfRule>
    <cfRule type="expression" dxfId="600" priority="8" stopIfTrue="1">
      <formula>MOD(ROW(),2)&lt;&gt;0</formula>
    </cfRule>
  </conditionalFormatting>
  <conditionalFormatting sqref="C17">
    <cfRule type="expression" dxfId="599" priority="9" stopIfTrue="1">
      <formula>MOD(ROW(),2)=0</formula>
    </cfRule>
    <cfRule type="expression" dxfId="59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54"/>
  <sheetViews>
    <sheetView showGridLines="0" zoomScale="85" zoomScaleNormal="85" workbookViewId="0">
      <pane ySplit="9" topLeftCell="A32" activePane="bottomLeft" state="frozen"/>
      <selection activeCell="B6" sqref="B6:D21"/>
      <selection pane="bottomLeft" activeCell="B6" sqref="B6:D21"/>
    </sheetView>
  </sheetViews>
  <sheetFormatPr defaultRowHeight="13.2" x14ac:dyDescent="0.25"/>
  <cols>
    <col min="1" max="1" width="66.77734375" customWidth="1"/>
    <col min="2" max="2" width="3.21875" customWidth="1"/>
    <col min="3" max="3" width="62.5546875" customWidth="1"/>
    <col min="257" max="257" width="66.77734375" customWidth="1"/>
    <col min="258" max="258" width="3.21875" customWidth="1"/>
    <col min="259" max="259" width="62.5546875" customWidth="1"/>
    <col min="513" max="513" width="66.77734375" customWidth="1"/>
    <col min="514" max="514" width="3.21875" customWidth="1"/>
    <col min="515" max="515" width="62.5546875" customWidth="1"/>
    <col min="769" max="769" width="66.77734375" customWidth="1"/>
    <col min="770" max="770" width="3.21875" customWidth="1"/>
    <col min="771" max="771" width="62.5546875" customWidth="1"/>
    <col min="1025" max="1025" width="66.77734375" customWidth="1"/>
    <col min="1026" max="1026" width="3.21875" customWidth="1"/>
    <col min="1027" max="1027" width="62.5546875" customWidth="1"/>
    <col min="1281" max="1281" width="66.77734375" customWidth="1"/>
    <col min="1282" max="1282" width="3.21875" customWidth="1"/>
    <col min="1283" max="1283" width="62.5546875" customWidth="1"/>
    <col min="1537" max="1537" width="66.77734375" customWidth="1"/>
    <col min="1538" max="1538" width="3.21875" customWidth="1"/>
    <col min="1539" max="1539" width="62.5546875" customWidth="1"/>
    <col min="1793" max="1793" width="66.77734375" customWidth="1"/>
    <col min="1794" max="1794" width="3.21875" customWidth="1"/>
    <col min="1795" max="1795" width="62.5546875" customWidth="1"/>
    <col min="2049" max="2049" width="66.77734375" customWidth="1"/>
    <col min="2050" max="2050" width="3.21875" customWidth="1"/>
    <col min="2051" max="2051" width="62.5546875" customWidth="1"/>
    <col min="2305" max="2305" width="66.77734375" customWidth="1"/>
    <col min="2306" max="2306" width="3.21875" customWidth="1"/>
    <col min="2307" max="2307" width="62.5546875" customWidth="1"/>
    <col min="2561" max="2561" width="66.77734375" customWidth="1"/>
    <col min="2562" max="2562" width="3.21875" customWidth="1"/>
    <col min="2563" max="2563" width="62.5546875" customWidth="1"/>
    <col min="2817" max="2817" width="66.77734375" customWidth="1"/>
    <col min="2818" max="2818" width="3.21875" customWidth="1"/>
    <col min="2819" max="2819" width="62.5546875" customWidth="1"/>
    <col min="3073" max="3073" width="66.77734375" customWidth="1"/>
    <col min="3074" max="3074" width="3.21875" customWidth="1"/>
    <col min="3075" max="3075" width="62.5546875" customWidth="1"/>
    <col min="3329" max="3329" width="66.77734375" customWidth="1"/>
    <col min="3330" max="3330" width="3.21875" customWidth="1"/>
    <col min="3331" max="3331" width="62.5546875" customWidth="1"/>
    <col min="3585" max="3585" width="66.77734375" customWidth="1"/>
    <col min="3586" max="3586" width="3.21875" customWidth="1"/>
    <col min="3587" max="3587" width="62.5546875" customWidth="1"/>
    <col min="3841" max="3841" width="66.77734375" customWidth="1"/>
    <col min="3842" max="3842" width="3.21875" customWidth="1"/>
    <col min="3843" max="3843" width="62.5546875" customWidth="1"/>
    <col min="4097" max="4097" width="66.77734375" customWidth="1"/>
    <col min="4098" max="4098" width="3.21875" customWidth="1"/>
    <col min="4099" max="4099" width="62.5546875" customWidth="1"/>
    <col min="4353" max="4353" width="66.77734375" customWidth="1"/>
    <col min="4354" max="4354" width="3.21875" customWidth="1"/>
    <col min="4355" max="4355" width="62.5546875" customWidth="1"/>
    <col min="4609" max="4609" width="66.77734375" customWidth="1"/>
    <col min="4610" max="4610" width="3.21875" customWidth="1"/>
    <col min="4611" max="4611" width="62.5546875" customWidth="1"/>
    <col min="4865" max="4865" width="66.77734375" customWidth="1"/>
    <col min="4866" max="4866" width="3.21875" customWidth="1"/>
    <col min="4867" max="4867" width="62.5546875" customWidth="1"/>
    <col min="5121" max="5121" width="66.77734375" customWidth="1"/>
    <col min="5122" max="5122" width="3.21875" customWidth="1"/>
    <col min="5123" max="5123" width="62.5546875" customWidth="1"/>
    <col min="5377" max="5377" width="66.77734375" customWidth="1"/>
    <col min="5378" max="5378" width="3.21875" customWidth="1"/>
    <col min="5379" max="5379" width="62.5546875" customWidth="1"/>
    <col min="5633" max="5633" width="66.77734375" customWidth="1"/>
    <col min="5634" max="5634" width="3.21875" customWidth="1"/>
    <col min="5635" max="5635" width="62.5546875" customWidth="1"/>
    <col min="5889" max="5889" width="66.77734375" customWidth="1"/>
    <col min="5890" max="5890" width="3.21875" customWidth="1"/>
    <col min="5891" max="5891" width="62.5546875" customWidth="1"/>
    <col min="6145" max="6145" width="66.77734375" customWidth="1"/>
    <col min="6146" max="6146" width="3.21875" customWidth="1"/>
    <col min="6147" max="6147" width="62.5546875" customWidth="1"/>
    <col min="6401" max="6401" width="66.77734375" customWidth="1"/>
    <col min="6402" max="6402" width="3.21875" customWidth="1"/>
    <col min="6403" max="6403" width="62.5546875" customWidth="1"/>
    <col min="6657" max="6657" width="66.77734375" customWidth="1"/>
    <col min="6658" max="6658" width="3.21875" customWidth="1"/>
    <col min="6659" max="6659" width="62.5546875" customWidth="1"/>
    <col min="6913" max="6913" width="66.77734375" customWidth="1"/>
    <col min="6914" max="6914" width="3.21875" customWidth="1"/>
    <col min="6915" max="6915" width="62.5546875" customWidth="1"/>
    <col min="7169" max="7169" width="66.77734375" customWidth="1"/>
    <col min="7170" max="7170" width="3.21875" customWidth="1"/>
    <col min="7171" max="7171" width="62.5546875" customWidth="1"/>
    <col min="7425" max="7425" width="66.77734375" customWidth="1"/>
    <col min="7426" max="7426" width="3.21875" customWidth="1"/>
    <col min="7427" max="7427" width="62.5546875" customWidth="1"/>
    <col min="7681" max="7681" width="66.77734375" customWidth="1"/>
    <col min="7682" max="7682" width="3.21875" customWidth="1"/>
    <col min="7683" max="7683" width="62.5546875" customWidth="1"/>
    <col min="7937" max="7937" width="66.77734375" customWidth="1"/>
    <col min="7938" max="7938" width="3.21875" customWidth="1"/>
    <col min="7939" max="7939" width="62.5546875" customWidth="1"/>
    <col min="8193" max="8193" width="66.77734375" customWidth="1"/>
    <col min="8194" max="8194" width="3.21875" customWidth="1"/>
    <col min="8195" max="8195" width="62.5546875" customWidth="1"/>
    <col min="8449" max="8449" width="66.77734375" customWidth="1"/>
    <col min="8450" max="8450" width="3.21875" customWidth="1"/>
    <col min="8451" max="8451" width="62.5546875" customWidth="1"/>
    <col min="8705" max="8705" width="66.77734375" customWidth="1"/>
    <col min="8706" max="8706" width="3.21875" customWidth="1"/>
    <col min="8707" max="8707" width="62.5546875" customWidth="1"/>
    <col min="8961" max="8961" width="66.77734375" customWidth="1"/>
    <col min="8962" max="8962" width="3.21875" customWidth="1"/>
    <col min="8963" max="8963" width="62.5546875" customWidth="1"/>
    <col min="9217" max="9217" width="66.77734375" customWidth="1"/>
    <col min="9218" max="9218" width="3.21875" customWidth="1"/>
    <col min="9219" max="9219" width="62.5546875" customWidth="1"/>
    <col min="9473" max="9473" width="66.77734375" customWidth="1"/>
    <col min="9474" max="9474" width="3.21875" customWidth="1"/>
    <col min="9475" max="9475" width="62.5546875" customWidth="1"/>
    <col min="9729" max="9729" width="66.77734375" customWidth="1"/>
    <col min="9730" max="9730" width="3.21875" customWidth="1"/>
    <col min="9731" max="9731" width="62.5546875" customWidth="1"/>
    <col min="9985" max="9985" width="66.77734375" customWidth="1"/>
    <col min="9986" max="9986" width="3.21875" customWidth="1"/>
    <col min="9987" max="9987" width="62.5546875" customWidth="1"/>
    <col min="10241" max="10241" width="66.77734375" customWidth="1"/>
    <col min="10242" max="10242" width="3.21875" customWidth="1"/>
    <col min="10243" max="10243" width="62.5546875" customWidth="1"/>
    <col min="10497" max="10497" width="66.77734375" customWidth="1"/>
    <col min="10498" max="10498" width="3.21875" customWidth="1"/>
    <col min="10499" max="10499" width="62.5546875" customWidth="1"/>
    <col min="10753" max="10753" width="66.77734375" customWidth="1"/>
    <col min="10754" max="10754" width="3.21875" customWidth="1"/>
    <col min="10755" max="10755" width="62.5546875" customWidth="1"/>
    <col min="11009" max="11009" width="66.77734375" customWidth="1"/>
    <col min="11010" max="11010" width="3.21875" customWidth="1"/>
    <col min="11011" max="11011" width="62.5546875" customWidth="1"/>
    <col min="11265" max="11265" width="66.77734375" customWidth="1"/>
    <col min="11266" max="11266" width="3.21875" customWidth="1"/>
    <col min="11267" max="11267" width="62.5546875" customWidth="1"/>
    <col min="11521" max="11521" width="66.77734375" customWidth="1"/>
    <col min="11522" max="11522" width="3.21875" customWidth="1"/>
    <col min="11523" max="11523" width="62.5546875" customWidth="1"/>
    <col min="11777" max="11777" width="66.77734375" customWidth="1"/>
    <col min="11778" max="11778" width="3.21875" customWidth="1"/>
    <col min="11779" max="11779" width="62.5546875" customWidth="1"/>
    <col min="12033" max="12033" width="66.77734375" customWidth="1"/>
    <col min="12034" max="12034" width="3.21875" customWidth="1"/>
    <col min="12035" max="12035" width="62.5546875" customWidth="1"/>
    <col min="12289" max="12289" width="66.77734375" customWidth="1"/>
    <col min="12290" max="12290" width="3.21875" customWidth="1"/>
    <col min="12291" max="12291" width="62.5546875" customWidth="1"/>
    <col min="12545" max="12545" width="66.77734375" customWidth="1"/>
    <col min="12546" max="12546" width="3.21875" customWidth="1"/>
    <col min="12547" max="12547" width="62.5546875" customWidth="1"/>
    <col min="12801" max="12801" width="66.77734375" customWidth="1"/>
    <col min="12802" max="12802" width="3.21875" customWidth="1"/>
    <col min="12803" max="12803" width="62.5546875" customWidth="1"/>
    <col min="13057" max="13057" width="66.77734375" customWidth="1"/>
    <col min="13058" max="13058" width="3.21875" customWidth="1"/>
    <col min="13059" max="13059" width="62.5546875" customWidth="1"/>
    <col min="13313" max="13313" width="66.77734375" customWidth="1"/>
    <col min="13314" max="13314" width="3.21875" customWidth="1"/>
    <col min="13315" max="13315" width="62.5546875" customWidth="1"/>
    <col min="13569" max="13569" width="66.77734375" customWidth="1"/>
    <col min="13570" max="13570" width="3.21875" customWidth="1"/>
    <col min="13571" max="13571" width="62.5546875" customWidth="1"/>
    <col min="13825" max="13825" width="66.77734375" customWidth="1"/>
    <col min="13826" max="13826" width="3.21875" customWidth="1"/>
    <col min="13827" max="13827" width="62.5546875" customWidth="1"/>
    <col min="14081" max="14081" width="66.77734375" customWidth="1"/>
    <col min="14082" max="14082" width="3.21875" customWidth="1"/>
    <col min="14083" max="14083" width="62.5546875" customWidth="1"/>
    <col min="14337" max="14337" width="66.77734375" customWidth="1"/>
    <col min="14338" max="14338" width="3.21875" customWidth="1"/>
    <col min="14339" max="14339" width="62.5546875" customWidth="1"/>
    <col min="14593" max="14593" width="66.77734375" customWidth="1"/>
    <col min="14594" max="14594" width="3.21875" customWidth="1"/>
    <col min="14595" max="14595" width="62.5546875" customWidth="1"/>
    <col min="14849" max="14849" width="66.77734375" customWidth="1"/>
    <col min="14850" max="14850" width="3.21875" customWidth="1"/>
    <col min="14851" max="14851" width="62.5546875" customWidth="1"/>
    <col min="15105" max="15105" width="66.77734375" customWidth="1"/>
    <col min="15106" max="15106" width="3.21875" customWidth="1"/>
    <col min="15107" max="15107" width="62.5546875" customWidth="1"/>
    <col min="15361" max="15361" width="66.77734375" customWidth="1"/>
    <col min="15362" max="15362" width="3.21875" customWidth="1"/>
    <col min="15363" max="15363" width="62.5546875" customWidth="1"/>
    <col min="15617" max="15617" width="66.77734375" customWidth="1"/>
    <col min="15618" max="15618" width="3.21875" customWidth="1"/>
    <col min="15619" max="15619" width="62.5546875" customWidth="1"/>
    <col min="15873" max="15873" width="66.77734375" customWidth="1"/>
    <col min="15874" max="15874" width="3.21875" customWidth="1"/>
    <col min="15875" max="15875" width="62.5546875" customWidth="1"/>
    <col min="16129" max="16129" width="66.77734375" customWidth="1"/>
    <col min="16130" max="16130" width="3.21875" customWidth="1"/>
    <col min="16131" max="16131" width="62.5546875" customWidth="1"/>
  </cols>
  <sheetData>
    <row r="1" spans="1:12" ht="21" x14ac:dyDescent="0.4">
      <c r="A1" s="4" t="s">
        <v>227</v>
      </c>
      <c r="B1" s="4"/>
      <c r="C1" s="4"/>
      <c r="D1" s="4"/>
      <c r="E1" s="4"/>
      <c r="F1" s="4"/>
      <c r="G1" s="4"/>
      <c r="H1" s="4"/>
      <c r="I1" s="4"/>
      <c r="J1" s="4"/>
      <c r="K1" s="4"/>
      <c r="L1" s="4"/>
    </row>
    <row r="2" spans="1:12"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2" ht="15.6" x14ac:dyDescent="0.3">
      <c r="A3" s="6" t="s">
        <v>261</v>
      </c>
      <c r="B3" s="6"/>
      <c r="C3" s="6"/>
      <c r="D3" s="6"/>
      <c r="E3" s="6"/>
      <c r="F3" s="6"/>
      <c r="G3" s="6"/>
      <c r="H3" s="6"/>
      <c r="I3" s="6"/>
      <c r="J3" s="6"/>
      <c r="K3" s="6"/>
      <c r="L3" s="6"/>
    </row>
    <row r="4" spans="1:12" x14ac:dyDescent="0.25">
      <c r="A4" s="7"/>
      <c r="B4" s="7"/>
    </row>
    <row r="5" spans="1:12" x14ac:dyDescent="0.25">
      <c r="E5" s="8"/>
      <c r="F5" s="8"/>
      <c r="G5" s="8"/>
    </row>
    <row r="6" spans="1:12" ht="15.6" x14ac:dyDescent="0.25">
      <c r="A6" s="97" t="s">
        <v>262</v>
      </c>
      <c r="B6" s="73"/>
      <c r="C6" s="73"/>
    </row>
    <row r="7" spans="1:12" x14ac:dyDescent="0.25">
      <c r="A7" s="75"/>
      <c r="B7" s="75"/>
      <c r="C7" s="75"/>
    </row>
    <row r="8" spans="1:12" x14ac:dyDescent="0.25">
      <c r="A8" s="105" t="s">
        <v>263</v>
      </c>
      <c r="B8" s="75"/>
      <c r="C8" s="75"/>
    </row>
    <row r="9" spans="1:12" x14ac:dyDescent="0.25">
      <c r="A9" s="105" t="s">
        <v>264</v>
      </c>
      <c r="B9" s="75"/>
      <c r="C9" s="75"/>
    </row>
    <row r="11" spans="1:12" x14ac:dyDescent="0.25">
      <c r="A11" s="111" t="s">
        <v>265</v>
      </c>
      <c r="B11" s="112"/>
      <c r="C11" s="113"/>
    </row>
    <row r="12" spans="1:12" x14ac:dyDescent="0.25">
      <c r="A12" s="113" t="s">
        <v>266</v>
      </c>
      <c r="B12" s="112"/>
      <c r="C12" s="114"/>
    </row>
    <row r="13" spans="1:12" x14ac:dyDescent="0.25">
      <c r="A13" s="113" t="s">
        <v>267</v>
      </c>
      <c r="B13" s="112"/>
      <c r="C13" s="114"/>
    </row>
    <row r="14" spans="1:12" ht="26.4" x14ac:dyDescent="0.25">
      <c r="A14" s="113" t="s">
        <v>268</v>
      </c>
      <c r="B14" s="112"/>
      <c r="C14" s="114"/>
    </row>
    <row r="15" spans="1:12" x14ac:dyDescent="0.25">
      <c r="A15" s="113" t="s">
        <v>269</v>
      </c>
      <c r="B15" s="112"/>
      <c r="C15" s="114"/>
    </row>
    <row r="16" spans="1:12" ht="16.5" customHeight="1" x14ac:dyDescent="0.25">
      <c r="A16" s="113" t="s">
        <v>270</v>
      </c>
      <c r="B16" s="112"/>
      <c r="C16" s="114"/>
    </row>
    <row r="17" spans="1:3" x14ac:dyDescent="0.25">
      <c r="A17" s="113" t="s">
        <v>271</v>
      </c>
      <c r="B17" s="112"/>
      <c r="C17" s="115"/>
    </row>
    <row r="19" spans="1:3" x14ac:dyDescent="0.25">
      <c r="A19" s="111" t="s">
        <v>272</v>
      </c>
      <c r="B19" s="112"/>
      <c r="C19" s="113"/>
    </row>
    <row r="20" spans="1:3" x14ac:dyDescent="0.25">
      <c r="A20" s="113" t="s">
        <v>266</v>
      </c>
      <c r="B20" s="112"/>
      <c r="C20" s="114"/>
    </row>
    <row r="21" spans="1:3" x14ac:dyDescent="0.25">
      <c r="A21" s="113" t="s">
        <v>273</v>
      </c>
      <c r="B21" s="112"/>
      <c r="C21" s="114" t="s">
        <v>274</v>
      </c>
    </row>
    <row r="22" spans="1:3" x14ac:dyDescent="0.25">
      <c r="A22" s="113" t="s">
        <v>269</v>
      </c>
      <c r="B22" s="112"/>
      <c r="C22" s="114"/>
    </row>
    <row r="23" spans="1:3" x14ac:dyDescent="0.25">
      <c r="A23" s="113" t="s">
        <v>270</v>
      </c>
      <c r="B23" s="112"/>
      <c r="C23" s="114"/>
    </row>
    <row r="24" spans="1:3" x14ac:dyDescent="0.25">
      <c r="A24" s="113" t="s">
        <v>275</v>
      </c>
      <c r="B24" s="112"/>
      <c r="C24" s="121">
        <v>45070</v>
      </c>
    </row>
    <row r="26" spans="1:3" x14ac:dyDescent="0.25">
      <c r="A26" s="116" t="s">
        <v>276</v>
      </c>
      <c r="B26" s="117"/>
      <c r="C26" s="118"/>
    </row>
    <row r="27" spans="1:3" x14ac:dyDescent="0.25">
      <c r="A27" s="118" t="s">
        <v>266</v>
      </c>
      <c r="B27" s="118"/>
      <c r="C27" s="119"/>
    </row>
    <row r="28" spans="1:3" ht="26.4" x14ac:dyDescent="0.25">
      <c r="A28" s="118" t="s">
        <v>273</v>
      </c>
      <c r="B28" s="118"/>
      <c r="C28" s="120" t="s">
        <v>277</v>
      </c>
    </row>
    <row r="29" spans="1:3" x14ac:dyDescent="0.25">
      <c r="A29" s="118" t="s">
        <v>278</v>
      </c>
      <c r="B29" s="118"/>
      <c r="C29" s="120" t="s">
        <v>279</v>
      </c>
    </row>
    <row r="30" spans="1:3" x14ac:dyDescent="0.25">
      <c r="A30" s="118" t="s">
        <v>270</v>
      </c>
      <c r="B30" s="118"/>
      <c r="C30" s="118"/>
    </row>
    <row r="31" spans="1:3" x14ac:dyDescent="0.25">
      <c r="A31" s="118" t="s">
        <v>275</v>
      </c>
      <c r="B31" s="118"/>
      <c r="C31" s="117">
        <v>45106</v>
      </c>
    </row>
    <row r="33" spans="1:3" x14ac:dyDescent="0.25">
      <c r="A33" s="116" t="s">
        <v>280</v>
      </c>
      <c r="B33" s="117"/>
      <c r="C33" s="118"/>
    </row>
    <row r="34" spans="1:3" x14ac:dyDescent="0.25">
      <c r="A34" s="118" t="s">
        <v>266</v>
      </c>
      <c r="B34" s="118"/>
      <c r="C34" s="119"/>
    </row>
    <row r="35" spans="1:3" ht="26.4" x14ac:dyDescent="0.25">
      <c r="A35" s="118" t="s">
        <v>273</v>
      </c>
      <c r="B35" s="118"/>
      <c r="C35" s="120" t="s">
        <v>281</v>
      </c>
    </row>
    <row r="36" spans="1:3" x14ac:dyDescent="0.25">
      <c r="A36" s="118" t="s">
        <v>278</v>
      </c>
      <c r="B36" s="118"/>
      <c r="C36" s="120"/>
    </row>
    <row r="37" spans="1:3" x14ac:dyDescent="0.25">
      <c r="A37" s="118" t="s">
        <v>270</v>
      </c>
      <c r="B37" s="118"/>
      <c r="C37" s="118"/>
    </row>
    <row r="38" spans="1:3" x14ac:dyDescent="0.25">
      <c r="A38" s="118" t="s">
        <v>275</v>
      </c>
      <c r="B38" s="118"/>
      <c r="C38" s="117">
        <v>45135</v>
      </c>
    </row>
    <row r="39" spans="1:3" x14ac:dyDescent="0.25">
      <c r="A39" s="137"/>
      <c r="B39" s="138"/>
      <c r="C39" s="139"/>
    </row>
    <row r="40" spans="1:3" x14ac:dyDescent="0.25">
      <c r="A40" s="137" t="s">
        <v>282</v>
      </c>
      <c r="B40" s="139"/>
      <c r="C40" s="139"/>
    </row>
    <row r="41" spans="1:3" x14ac:dyDescent="0.25">
      <c r="A41" s="139" t="s">
        <v>266</v>
      </c>
      <c r="B41" s="139"/>
      <c r="C41" s="140"/>
    </row>
    <row r="42" spans="1:3" x14ac:dyDescent="0.25">
      <c r="A42" s="139" t="s">
        <v>273</v>
      </c>
      <c r="B42" s="139"/>
      <c r="C42" s="140" t="s">
        <v>283</v>
      </c>
    </row>
    <row r="43" spans="1:3" ht="26.4" x14ac:dyDescent="0.25">
      <c r="A43" s="139" t="s">
        <v>278</v>
      </c>
      <c r="B43" s="139"/>
      <c r="C43" s="140" t="s">
        <v>284</v>
      </c>
    </row>
    <row r="44" spans="1:3" x14ac:dyDescent="0.25">
      <c r="A44" s="139" t="s">
        <v>270</v>
      </c>
      <c r="B44" s="139"/>
      <c r="C44" s="139"/>
    </row>
    <row r="45" spans="1:3" x14ac:dyDescent="0.25">
      <c r="A45" s="139" t="s">
        <v>275</v>
      </c>
      <c r="B45" s="139"/>
      <c r="C45" s="138">
        <v>45196</v>
      </c>
    </row>
    <row r="48" spans="1:3" x14ac:dyDescent="0.25">
      <c r="A48" s="1" t="s">
        <v>285</v>
      </c>
    </row>
    <row r="49" spans="1:3" x14ac:dyDescent="0.25">
      <c r="A49" t="s">
        <v>266</v>
      </c>
      <c r="B49" s="143" t="s">
        <v>286</v>
      </c>
      <c r="C49" s="26"/>
    </row>
    <row r="50" spans="1:3" x14ac:dyDescent="0.25">
      <c r="A50" t="s">
        <v>273</v>
      </c>
      <c r="C50" s="26"/>
    </row>
    <row r="51" spans="1:3" x14ac:dyDescent="0.25">
      <c r="A51" t="s">
        <v>278</v>
      </c>
      <c r="B51" s="143" t="s">
        <v>287</v>
      </c>
    </row>
    <row r="52" spans="1:3" x14ac:dyDescent="0.25">
      <c r="A52" t="s">
        <v>270</v>
      </c>
    </row>
    <row r="53" spans="1:3" ht="26.4" x14ac:dyDescent="0.25">
      <c r="A53" t="s">
        <v>288</v>
      </c>
      <c r="C53" s="26" t="s">
        <v>289</v>
      </c>
    </row>
    <row r="54" spans="1:3" x14ac:dyDescent="0.25">
      <c r="A54" t="s">
        <v>275</v>
      </c>
      <c r="C54" s="8">
        <v>45688</v>
      </c>
    </row>
  </sheetData>
  <sheetProtection algorithmName="SHA-512" hashValue="CUGlOwJgsu3FcztvkPi7VeFsB+LOBr901nH9tlx9NVBD2dz8JRmW1cnjuYB48JlmGnaiLEnUQT84hPMsZ5M2ew==" saltValue="1I4zpHj/7p+EIFDpWsMBGg==" spinCount="100000" sheet="1" objects="1" scenarios="1"/>
  <conditionalFormatting sqref="A11:A17">
    <cfRule type="expression" dxfId="1027" priority="40" stopIfTrue="1">
      <formula>MOD(ROW(),2)&lt;&gt;0</formula>
    </cfRule>
    <cfRule type="expression" dxfId="1026" priority="39" stopIfTrue="1">
      <formula>MOD(ROW(),2)=0</formula>
    </cfRule>
  </conditionalFormatting>
  <conditionalFormatting sqref="A19:A24">
    <cfRule type="expression" dxfId="1025" priority="23" stopIfTrue="1">
      <formula>MOD(ROW(),2)=0</formula>
    </cfRule>
    <cfRule type="expression" dxfId="1024" priority="24" stopIfTrue="1">
      <formula>MOD(ROW(),2)&lt;&gt;0</formula>
    </cfRule>
  </conditionalFormatting>
  <conditionalFormatting sqref="A33:A45">
    <cfRule type="expression" dxfId="1023" priority="8" stopIfTrue="1">
      <formula>MOD(ROW(),2)&lt;&gt;0</formula>
    </cfRule>
    <cfRule type="expression" dxfId="1022" priority="7" stopIfTrue="1">
      <formula>MOD(ROW(),2)=0</formula>
    </cfRule>
  </conditionalFormatting>
  <conditionalFormatting sqref="A48:A54">
    <cfRule type="expression" dxfId="1021" priority="2" stopIfTrue="1">
      <formula>MOD(ROW(),2)&lt;&gt;0</formula>
    </cfRule>
    <cfRule type="expression" dxfId="1020" priority="1" stopIfTrue="1">
      <formula>MOD(ROW(),2)=0</formula>
    </cfRule>
  </conditionalFormatting>
  <conditionalFormatting sqref="A6:C9 A26:A31">
    <cfRule type="expression" dxfId="1019" priority="46" stopIfTrue="1">
      <formula>MOD(ROW(),2)&lt;&gt;0</formula>
    </cfRule>
    <cfRule type="expression" dxfId="1018" priority="45" stopIfTrue="1">
      <formula>MOD(ROW(),2)=0</formula>
    </cfRule>
  </conditionalFormatting>
  <conditionalFormatting sqref="A11:C17">
    <cfRule type="expression" priority="50" stopIfTrue="1">
      <formula>MOD(ROW(),2)&lt;&gt;0</formula>
    </cfRule>
    <cfRule type="expression" priority="49" stopIfTrue="1">
      <formula>MOD(ROW(),2)=0</formula>
    </cfRule>
  </conditionalFormatting>
  <conditionalFormatting sqref="A19:C24">
    <cfRule type="expression" priority="53" stopIfTrue="1">
      <formula>MOD(ROW(),2)=0</formula>
    </cfRule>
    <cfRule type="expression" priority="54" stopIfTrue="1">
      <formula>MOD(ROW(),2)&lt;&gt;0</formula>
    </cfRule>
  </conditionalFormatting>
  <conditionalFormatting sqref="A26:C31">
    <cfRule type="expression" priority="57" stopIfTrue="1">
      <formula>MOD(ROW(),2)=0</formula>
    </cfRule>
    <cfRule type="expression" priority="58" stopIfTrue="1">
      <formula>MOD(ROW(),2)&lt;&gt;0</formula>
    </cfRule>
  </conditionalFormatting>
  <conditionalFormatting sqref="A33:C39">
    <cfRule type="expression" priority="10" stopIfTrue="1">
      <formula>MOD(ROW(),2)&lt;&gt;0</formula>
    </cfRule>
    <cfRule type="expression" priority="9" stopIfTrue="1">
      <formula>MOD(ROW(),2)=0</formula>
    </cfRule>
  </conditionalFormatting>
  <conditionalFormatting sqref="B11:C17">
    <cfRule type="expression" dxfId="1017" priority="33" stopIfTrue="1">
      <formula>MOD(ROW(),2)=0</formula>
    </cfRule>
    <cfRule type="expression" dxfId="1016" priority="34" stopIfTrue="1">
      <formula>MOD(ROW(),2)&lt;&gt;0</formula>
    </cfRule>
  </conditionalFormatting>
  <conditionalFormatting sqref="B19:C24">
    <cfRule type="expression" dxfId="1015" priority="17" stopIfTrue="1">
      <formula>MOD(ROW(),2)=0</formula>
    </cfRule>
    <cfRule type="expression" dxfId="1014" priority="18" stopIfTrue="1">
      <formula>MOD(ROW(),2)&lt;&gt;0</formula>
    </cfRule>
  </conditionalFormatting>
  <conditionalFormatting sqref="B26:C31">
    <cfRule type="expression" dxfId="1013" priority="43" stopIfTrue="1">
      <formula>MOD(ROW(),2)=0</formula>
    </cfRule>
    <cfRule type="expression" dxfId="1012" priority="44" stopIfTrue="1">
      <formula>MOD(ROW(),2)&lt;&gt;0</formula>
    </cfRule>
  </conditionalFormatting>
  <conditionalFormatting sqref="B33:C45">
    <cfRule type="expression" dxfId="1011" priority="5" stopIfTrue="1">
      <formula>MOD(ROW(),2)=0</formula>
    </cfRule>
    <cfRule type="expression" dxfId="1010" priority="6" stopIfTrue="1">
      <formula>MOD(ROW(),2)&lt;&gt;0</formula>
    </cfRule>
  </conditionalFormatting>
  <conditionalFormatting sqref="B48:C54">
    <cfRule type="expression" dxfId="1009" priority="4" stopIfTrue="1">
      <formula>MOD(ROW(),2)&lt;&gt;0</formula>
    </cfRule>
    <cfRule type="expression" dxfId="1008" priority="3" stopIfTrue="1">
      <formula>MOD(ROW(),2)=0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0"/>
  <dimension ref="A1:I96"/>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28.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Credit - x-315</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2007</v>
      </c>
      <c r="C8" s="152"/>
    </row>
    <row r="9" spans="1:9" x14ac:dyDescent="0.25">
      <c r="A9" s="79" t="s">
        <v>307</v>
      </c>
      <c r="B9" s="152" t="s">
        <v>387</v>
      </c>
      <c r="C9" s="152"/>
    </row>
    <row r="10" spans="1:9" x14ac:dyDescent="0.25">
      <c r="A10" s="79" t="s">
        <v>233</v>
      </c>
      <c r="B10" s="152" t="s">
        <v>393</v>
      </c>
      <c r="C10" s="152"/>
    </row>
    <row r="11" spans="1:9" x14ac:dyDescent="0.25">
      <c r="A11" s="79" t="s">
        <v>308</v>
      </c>
      <c r="B11" s="152" t="s">
        <v>389</v>
      </c>
      <c r="C11" s="152"/>
    </row>
    <row r="12" spans="1:9" x14ac:dyDescent="0.25">
      <c r="A12" s="79" t="s">
        <v>309</v>
      </c>
      <c r="B12" s="152" t="s">
        <v>323</v>
      </c>
      <c r="C12" s="152"/>
    </row>
    <row r="13" spans="1:9" x14ac:dyDescent="0.25">
      <c r="A13" s="79" t="s">
        <v>566</v>
      </c>
      <c r="B13" s="152">
        <v>1</v>
      </c>
      <c r="C13" s="152"/>
    </row>
    <row r="14" spans="1:9" x14ac:dyDescent="0.25">
      <c r="A14" s="79" t="s">
        <v>311</v>
      </c>
      <c r="B14" s="152">
        <v>315</v>
      </c>
      <c r="C14" s="152"/>
    </row>
    <row r="15" spans="1:9" x14ac:dyDescent="0.25">
      <c r="A15" s="79" t="s">
        <v>569</v>
      </c>
      <c r="B15" s="152" t="s">
        <v>394</v>
      </c>
      <c r="C15" s="152"/>
    </row>
    <row r="16" spans="1:9" x14ac:dyDescent="0.25">
      <c r="A16" s="79" t="s">
        <v>313</v>
      </c>
      <c r="B16" s="152" t="s">
        <v>395</v>
      </c>
      <c r="C16" s="152"/>
    </row>
    <row r="17" spans="1:3" x14ac:dyDescent="0.25">
      <c r="A17" s="79" t="s">
        <v>639</v>
      </c>
      <c r="B17" s="152"/>
      <c r="C17" s="152"/>
    </row>
    <row r="18" spans="1:3" x14ac:dyDescent="0.25">
      <c r="A18" s="79" t="s">
        <v>315</v>
      </c>
      <c r="B18" s="154">
        <v>45070</v>
      </c>
      <c r="C18" s="152"/>
    </row>
    <row r="19" spans="1:3" x14ac:dyDescent="0.25">
      <c r="A19" s="79" t="s">
        <v>316</v>
      </c>
      <c r="B19" s="154">
        <v>45014</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2" t="s">
        <v>640</v>
      </c>
      <c r="B26" s="92" t="s">
        <v>658</v>
      </c>
      <c r="C26" s="92" t="s">
        <v>659</v>
      </c>
    </row>
    <row r="27" spans="1:3" x14ac:dyDescent="0.25">
      <c r="A27" s="93">
        <v>16</v>
      </c>
      <c r="B27" s="94">
        <v>11.11</v>
      </c>
      <c r="C27" s="94">
        <v>11.11</v>
      </c>
    </row>
    <row r="28" spans="1:3" x14ac:dyDescent="0.25">
      <c r="A28" s="93">
        <v>17</v>
      </c>
      <c r="B28" s="94">
        <v>11.27</v>
      </c>
      <c r="C28" s="94">
        <v>11.27</v>
      </c>
    </row>
    <row r="29" spans="1:3" x14ac:dyDescent="0.25">
      <c r="A29" s="93">
        <v>18</v>
      </c>
      <c r="B29" s="94">
        <v>11.43</v>
      </c>
      <c r="C29" s="94">
        <v>11.43</v>
      </c>
    </row>
    <row r="30" spans="1:3" x14ac:dyDescent="0.25">
      <c r="A30" s="93">
        <v>19</v>
      </c>
      <c r="B30" s="94">
        <v>11.6</v>
      </c>
      <c r="C30" s="94">
        <v>11.6</v>
      </c>
    </row>
    <row r="31" spans="1:3" x14ac:dyDescent="0.25">
      <c r="A31" s="93">
        <v>20</v>
      </c>
      <c r="B31" s="94">
        <v>11.77</v>
      </c>
      <c r="C31" s="94">
        <v>11.77</v>
      </c>
    </row>
    <row r="32" spans="1:3" x14ac:dyDescent="0.25">
      <c r="A32" s="93">
        <v>21</v>
      </c>
      <c r="B32" s="94">
        <v>11.94</v>
      </c>
      <c r="C32" s="94">
        <v>11.94</v>
      </c>
    </row>
    <row r="33" spans="1:3" x14ac:dyDescent="0.25">
      <c r="A33" s="93">
        <v>22</v>
      </c>
      <c r="B33" s="94">
        <v>12.11</v>
      </c>
      <c r="C33" s="94">
        <v>12.11</v>
      </c>
    </row>
    <row r="34" spans="1:3" x14ac:dyDescent="0.25">
      <c r="A34" s="93">
        <v>23</v>
      </c>
      <c r="B34" s="94">
        <v>12.29</v>
      </c>
      <c r="C34" s="94">
        <v>12.29</v>
      </c>
    </row>
    <row r="35" spans="1:3" x14ac:dyDescent="0.25">
      <c r="A35" s="93">
        <v>24</v>
      </c>
      <c r="B35" s="94">
        <v>12.46</v>
      </c>
      <c r="C35" s="94">
        <v>12.46</v>
      </c>
    </row>
    <row r="36" spans="1:3" x14ac:dyDescent="0.25">
      <c r="A36" s="93">
        <v>25</v>
      </c>
      <c r="B36" s="94">
        <v>12.65</v>
      </c>
      <c r="C36" s="94">
        <v>12.65</v>
      </c>
    </row>
    <row r="37" spans="1:3" x14ac:dyDescent="0.25">
      <c r="A37" s="93">
        <v>26</v>
      </c>
      <c r="B37" s="94">
        <v>12.83</v>
      </c>
      <c r="C37" s="94">
        <v>12.83</v>
      </c>
    </row>
    <row r="38" spans="1:3" x14ac:dyDescent="0.25">
      <c r="A38" s="93">
        <v>27</v>
      </c>
      <c r="B38" s="94">
        <v>13.02</v>
      </c>
      <c r="C38" s="94">
        <v>13.02</v>
      </c>
    </row>
    <row r="39" spans="1:3" x14ac:dyDescent="0.25">
      <c r="A39" s="93">
        <v>28</v>
      </c>
      <c r="B39" s="94">
        <v>13.21</v>
      </c>
      <c r="C39" s="94">
        <v>13.21</v>
      </c>
    </row>
    <row r="40" spans="1:3" x14ac:dyDescent="0.25">
      <c r="A40" s="93">
        <v>29</v>
      </c>
      <c r="B40" s="94">
        <v>13.4</v>
      </c>
      <c r="C40" s="94">
        <v>13.4</v>
      </c>
    </row>
    <row r="41" spans="1:3" x14ac:dyDescent="0.25">
      <c r="A41" s="93">
        <v>30</v>
      </c>
      <c r="B41" s="94">
        <v>13.59</v>
      </c>
      <c r="C41" s="94">
        <v>13.59</v>
      </c>
    </row>
    <row r="42" spans="1:3" x14ac:dyDescent="0.25">
      <c r="A42" s="93">
        <v>31</v>
      </c>
      <c r="B42" s="94">
        <v>13.79</v>
      </c>
      <c r="C42" s="94">
        <v>13.79</v>
      </c>
    </row>
    <row r="43" spans="1:3" x14ac:dyDescent="0.25">
      <c r="A43" s="93">
        <v>32</v>
      </c>
      <c r="B43" s="94">
        <v>13.99</v>
      </c>
      <c r="C43" s="94">
        <v>13.99</v>
      </c>
    </row>
    <row r="44" spans="1:3" x14ac:dyDescent="0.25">
      <c r="A44" s="93">
        <v>33</v>
      </c>
      <c r="B44" s="94">
        <v>14.2</v>
      </c>
      <c r="C44" s="94">
        <v>14.2</v>
      </c>
    </row>
    <row r="45" spans="1:3" x14ac:dyDescent="0.25">
      <c r="A45" s="93">
        <v>34</v>
      </c>
      <c r="B45" s="94">
        <v>14.41</v>
      </c>
      <c r="C45" s="94">
        <v>14.41</v>
      </c>
    </row>
    <row r="46" spans="1:3" x14ac:dyDescent="0.25">
      <c r="A46" s="93">
        <v>35</v>
      </c>
      <c r="B46" s="94">
        <v>14.62</v>
      </c>
      <c r="C46" s="94">
        <v>14.62</v>
      </c>
    </row>
    <row r="47" spans="1:3" x14ac:dyDescent="0.25">
      <c r="A47" s="93">
        <v>36</v>
      </c>
      <c r="B47" s="94">
        <v>14.84</v>
      </c>
      <c r="C47" s="94">
        <v>14.84</v>
      </c>
    </row>
    <row r="48" spans="1:3" x14ac:dyDescent="0.25">
      <c r="A48" s="93">
        <v>37</v>
      </c>
      <c r="B48" s="94">
        <v>15.06</v>
      </c>
      <c r="C48" s="94">
        <v>15.06</v>
      </c>
    </row>
    <row r="49" spans="1:3" x14ac:dyDescent="0.25">
      <c r="A49" s="93">
        <v>38</v>
      </c>
      <c r="B49" s="94">
        <v>15.28</v>
      </c>
      <c r="C49" s="94">
        <v>15.28</v>
      </c>
    </row>
    <row r="50" spans="1:3" x14ac:dyDescent="0.25">
      <c r="A50" s="93">
        <v>39</v>
      </c>
      <c r="B50" s="94">
        <v>15.51</v>
      </c>
      <c r="C50" s="94">
        <v>15.51</v>
      </c>
    </row>
    <row r="51" spans="1:3" x14ac:dyDescent="0.25">
      <c r="A51" s="93">
        <v>40</v>
      </c>
      <c r="B51" s="94">
        <v>15.75</v>
      </c>
      <c r="C51" s="94">
        <v>15.75</v>
      </c>
    </row>
    <row r="52" spans="1:3" x14ac:dyDescent="0.25">
      <c r="A52" s="93">
        <v>41</v>
      </c>
      <c r="B52" s="94">
        <v>15.98</v>
      </c>
      <c r="C52" s="94">
        <v>15.98</v>
      </c>
    </row>
    <row r="53" spans="1:3" x14ac:dyDescent="0.25">
      <c r="A53" s="93">
        <v>42</v>
      </c>
      <c r="B53" s="94">
        <v>16.23</v>
      </c>
      <c r="C53" s="94">
        <v>16.23</v>
      </c>
    </row>
    <row r="54" spans="1:3" x14ac:dyDescent="0.25">
      <c r="A54" s="93">
        <v>43</v>
      </c>
      <c r="B54" s="94">
        <v>16.48</v>
      </c>
      <c r="C54" s="94">
        <v>16.48</v>
      </c>
    </row>
    <row r="55" spans="1:3" x14ac:dyDescent="0.25">
      <c r="A55" s="93">
        <v>44</v>
      </c>
      <c r="B55" s="94">
        <v>16.73</v>
      </c>
      <c r="C55" s="94">
        <v>16.73</v>
      </c>
    </row>
    <row r="56" spans="1:3" x14ac:dyDescent="0.25">
      <c r="A56" s="93">
        <v>45</v>
      </c>
      <c r="B56" s="94">
        <v>17</v>
      </c>
      <c r="C56" s="94">
        <v>17</v>
      </c>
    </row>
    <row r="57" spans="1:3" x14ac:dyDescent="0.25">
      <c r="A57" s="93">
        <v>46</v>
      </c>
      <c r="B57" s="94">
        <v>17.27</v>
      </c>
      <c r="C57" s="94">
        <v>17.27</v>
      </c>
    </row>
    <row r="58" spans="1:3" x14ac:dyDescent="0.25">
      <c r="A58" s="93">
        <v>47</v>
      </c>
      <c r="B58" s="94">
        <v>17.54</v>
      </c>
      <c r="C58" s="94">
        <v>17.54</v>
      </c>
    </row>
    <row r="59" spans="1:3" x14ac:dyDescent="0.25">
      <c r="A59" s="93">
        <v>48</v>
      </c>
      <c r="B59" s="94">
        <v>17.829999999999998</v>
      </c>
      <c r="C59" s="94">
        <v>17.829999999999998</v>
      </c>
    </row>
    <row r="60" spans="1:3" x14ac:dyDescent="0.25">
      <c r="A60" s="93">
        <v>49</v>
      </c>
      <c r="B60" s="94">
        <v>18.12</v>
      </c>
      <c r="C60" s="94">
        <v>18.12</v>
      </c>
    </row>
    <row r="61" spans="1:3" x14ac:dyDescent="0.25">
      <c r="A61" s="93">
        <v>50</v>
      </c>
      <c r="B61" s="94">
        <v>18.420000000000002</v>
      </c>
      <c r="C61" s="94">
        <v>18.420000000000002</v>
      </c>
    </row>
    <row r="62" spans="1:3" x14ac:dyDescent="0.25">
      <c r="A62" s="93">
        <v>51</v>
      </c>
      <c r="B62" s="94">
        <v>18.73</v>
      </c>
      <c r="C62" s="94">
        <v>18.73</v>
      </c>
    </row>
    <row r="63" spans="1:3" x14ac:dyDescent="0.25">
      <c r="A63" s="93">
        <v>52</v>
      </c>
      <c r="B63" s="94">
        <v>19.05</v>
      </c>
      <c r="C63" s="94">
        <v>19.05</v>
      </c>
    </row>
    <row r="64" spans="1:3" x14ac:dyDescent="0.25">
      <c r="A64" s="93">
        <v>53</v>
      </c>
      <c r="B64" s="94">
        <v>19.38</v>
      </c>
      <c r="C64" s="94">
        <v>19.38</v>
      </c>
    </row>
    <row r="65" spans="1:3" x14ac:dyDescent="0.25">
      <c r="A65" s="93">
        <v>54</v>
      </c>
      <c r="B65" s="94">
        <v>19.72</v>
      </c>
      <c r="C65" s="94">
        <v>19.72</v>
      </c>
    </row>
    <row r="66" spans="1:3" x14ac:dyDescent="0.25">
      <c r="A66" s="93">
        <v>55</v>
      </c>
      <c r="B66" s="94">
        <v>20.07</v>
      </c>
      <c r="C66" s="94">
        <v>20.07</v>
      </c>
    </row>
    <row r="67" spans="1:3" x14ac:dyDescent="0.25">
      <c r="A67" s="93">
        <v>56</v>
      </c>
      <c r="B67" s="94">
        <v>20.43</v>
      </c>
      <c r="C67" s="94">
        <v>20.43</v>
      </c>
    </row>
    <row r="68" spans="1:3" x14ac:dyDescent="0.25">
      <c r="A68" s="93">
        <v>57</v>
      </c>
      <c r="B68" s="94">
        <v>20.8</v>
      </c>
      <c r="C68" s="94">
        <v>20.8</v>
      </c>
    </row>
    <row r="69" spans="1:3" x14ac:dyDescent="0.25">
      <c r="A69" s="93">
        <v>58</v>
      </c>
      <c r="B69" s="94">
        <v>21.19</v>
      </c>
      <c r="C69" s="94">
        <v>21.19</v>
      </c>
    </row>
    <row r="70" spans="1:3" x14ac:dyDescent="0.25">
      <c r="A70" s="93">
        <v>59</v>
      </c>
      <c r="B70" s="94">
        <v>21.59</v>
      </c>
      <c r="C70" s="94">
        <v>21.59</v>
      </c>
    </row>
    <row r="71" spans="1:3" x14ac:dyDescent="0.25">
      <c r="A71" s="93">
        <v>60</v>
      </c>
      <c r="B71" s="94">
        <v>21.49</v>
      </c>
      <c r="C71" s="94">
        <v>21.49</v>
      </c>
    </row>
    <row r="72" spans="1:3" x14ac:dyDescent="0.25">
      <c r="A72" s="93">
        <v>61</v>
      </c>
      <c r="B72" s="94">
        <v>20.88</v>
      </c>
      <c r="C72" s="94">
        <v>20.88</v>
      </c>
    </row>
    <row r="73" spans="1:3" x14ac:dyDescent="0.25">
      <c r="A73" s="93">
        <v>62</v>
      </c>
      <c r="B73" s="94">
        <v>20.27</v>
      </c>
      <c r="C73" s="94">
        <v>20.27</v>
      </c>
    </row>
    <row r="74" spans="1:3" x14ac:dyDescent="0.25">
      <c r="A74" s="93">
        <v>63</v>
      </c>
      <c r="B74" s="94">
        <v>19.66</v>
      </c>
      <c r="C74" s="94">
        <v>19.66</v>
      </c>
    </row>
    <row r="75" spans="1:3" x14ac:dyDescent="0.25">
      <c r="A75" s="93">
        <v>64</v>
      </c>
      <c r="B75" s="94">
        <v>19.05</v>
      </c>
      <c r="C75" s="94">
        <v>19.05</v>
      </c>
    </row>
    <row r="76" spans="1:3" x14ac:dyDescent="0.25">
      <c r="A76" s="93">
        <v>65</v>
      </c>
      <c r="B76" s="94">
        <v>18.440000000000001</v>
      </c>
      <c r="C76" s="94">
        <v>18.440000000000001</v>
      </c>
    </row>
    <row r="77" spans="1:3" x14ac:dyDescent="0.25">
      <c r="A77" s="93">
        <v>66</v>
      </c>
      <c r="B77" s="94">
        <v>17.829999999999998</v>
      </c>
      <c r="C77" s="94">
        <v>17.829999999999998</v>
      </c>
    </row>
    <row r="78" spans="1:3" x14ac:dyDescent="0.25">
      <c r="A78" s="93">
        <v>67</v>
      </c>
      <c r="B78" s="94">
        <v>17.21</v>
      </c>
      <c r="C78" s="94">
        <v>17.21</v>
      </c>
    </row>
    <row r="79" spans="1:3" x14ac:dyDescent="0.25">
      <c r="A79" s="93">
        <v>68</v>
      </c>
      <c r="B79" s="94">
        <v>16.600000000000001</v>
      </c>
      <c r="C79" s="94">
        <v>16.600000000000001</v>
      </c>
    </row>
    <row r="80" spans="1:3" x14ac:dyDescent="0.25">
      <c r="A80" s="93">
        <v>69</v>
      </c>
      <c r="B80" s="94">
        <v>15.97</v>
      </c>
      <c r="C80" s="94">
        <v>15.97</v>
      </c>
    </row>
    <row r="81" spans="1:3" x14ac:dyDescent="0.25">
      <c r="A81" s="93">
        <v>70</v>
      </c>
      <c r="B81" s="94">
        <v>15.35</v>
      </c>
      <c r="C81" s="94">
        <v>15.35</v>
      </c>
    </row>
    <row r="82" spans="1:3" x14ac:dyDescent="0.25">
      <c r="A82" s="93">
        <v>71</v>
      </c>
      <c r="B82" s="94">
        <v>14.72</v>
      </c>
      <c r="C82" s="94">
        <v>14.72</v>
      </c>
    </row>
    <row r="83" spans="1:3" x14ac:dyDescent="0.25">
      <c r="A83" s="93">
        <v>72</v>
      </c>
      <c r="B83" s="94">
        <v>14.1</v>
      </c>
      <c r="C83" s="94">
        <v>14.1</v>
      </c>
    </row>
    <row r="84" spans="1:3" x14ac:dyDescent="0.25">
      <c r="A84" s="93">
        <v>73</v>
      </c>
      <c r="B84" s="94">
        <v>13.48</v>
      </c>
      <c r="C84" s="94">
        <v>13.48</v>
      </c>
    </row>
    <row r="85" spans="1:3" x14ac:dyDescent="0.25">
      <c r="A85" s="93">
        <v>74</v>
      </c>
      <c r="B85" s="94">
        <v>12.86</v>
      </c>
      <c r="C85" s="94">
        <v>12.86</v>
      </c>
    </row>
    <row r="86" spans="1:3" x14ac:dyDescent="0.25">
      <c r="A86" s="93">
        <v>75</v>
      </c>
      <c r="B86" s="94">
        <v>12.24</v>
      </c>
      <c r="C86" s="94">
        <v>12.24</v>
      </c>
    </row>
    <row r="87" spans="1:3" x14ac:dyDescent="0.25">
      <c r="A87" s="93">
        <v>76</v>
      </c>
      <c r="B87" s="94">
        <v>11.63</v>
      </c>
      <c r="C87" s="94">
        <v>11.63</v>
      </c>
    </row>
    <row r="88" spans="1:3" x14ac:dyDescent="0.25">
      <c r="A88" s="93">
        <v>77</v>
      </c>
      <c r="B88" s="94">
        <v>11.02</v>
      </c>
      <c r="C88" s="94">
        <v>11.02</v>
      </c>
    </row>
    <row r="89" spans="1:3" x14ac:dyDescent="0.25">
      <c r="A89" s="93">
        <v>78</v>
      </c>
      <c r="B89" s="94">
        <v>10.42</v>
      </c>
      <c r="C89" s="94">
        <v>10.42</v>
      </c>
    </row>
    <row r="90" spans="1:3" x14ac:dyDescent="0.25">
      <c r="A90" s="93">
        <v>79</v>
      </c>
      <c r="B90" s="94">
        <v>9.83</v>
      </c>
      <c r="C90" s="94">
        <v>9.83</v>
      </c>
    </row>
    <row r="91" spans="1:3" x14ac:dyDescent="0.25">
      <c r="A91" s="93">
        <v>80</v>
      </c>
      <c r="B91" s="94">
        <v>9.26</v>
      </c>
      <c r="C91" s="94">
        <v>9.26</v>
      </c>
    </row>
    <row r="92" spans="1:3" x14ac:dyDescent="0.25">
      <c r="A92" s="93">
        <v>81</v>
      </c>
      <c r="B92" s="94">
        <v>8.69</v>
      </c>
      <c r="C92" s="94">
        <v>8.69</v>
      </c>
    </row>
    <row r="93" spans="1:3" x14ac:dyDescent="0.25">
      <c r="A93" s="93">
        <v>82</v>
      </c>
      <c r="B93" s="94">
        <v>8.14</v>
      </c>
      <c r="C93" s="94">
        <v>8.14</v>
      </c>
    </row>
    <row r="94" spans="1:3" x14ac:dyDescent="0.25">
      <c r="A94" s="93">
        <v>83</v>
      </c>
      <c r="B94" s="94">
        <v>7.6</v>
      </c>
      <c r="C94" s="94">
        <v>7.6</v>
      </c>
    </row>
    <row r="95" spans="1:3" x14ac:dyDescent="0.25">
      <c r="A95" s="93">
        <v>84</v>
      </c>
      <c r="B95" s="94">
        <v>7.08</v>
      </c>
      <c r="C95" s="94">
        <v>7.08</v>
      </c>
    </row>
    <row r="96" spans="1:3" x14ac:dyDescent="0.25">
      <c r="A96" s="93">
        <v>85</v>
      </c>
      <c r="B96" s="94">
        <v>6.58</v>
      </c>
      <c r="C96" s="94">
        <v>6.58</v>
      </c>
    </row>
  </sheetData>
  <sheetProtection algorithmName="SHA-512" hashValue="LUPnxskL0LtEKI7vNJJi9V8FoaAIZzYOcsQ7+HXohAyvTxiwJfQGpV4fpCSvu2DNGr8hCv6tkoLXLGchTlhQkg==" saltValue="v/nUIM65b2R+Vz5wQWK7Kg==" spinCount="100000" sheet="1" objects="1" scenarios="1"/>
  <conditionalFormatting sqref="A6:A21">
    <cfRule type="expression" dxfId="597" priority="13" stopIfTrue="1">
      <formula>MOD(ROW(),2)=0</formula>
    </cfRule>
    <cfRule type="expression" dxfId="596" priority="14" stopIfTrue="1">
      <formula>MOD(ROW(),2)&lt;&gt;0</formula>
    </cfRule>
  </conditionalFormatting>
  <conditionalFormatting sqref="A26:A96">
    <cfRule type="expression" dxfId="595" priority="5" stopIfTrue="1">
      <formula>MOD(ROW(),2)=0</formula>
    </cfRule>
    <cfRule type="expression" dxfId="594" priority="6" stopIfTrue="1">
      <formula>MOD(ROW(),2)&lt;&gt;0</formula>
    </cfRule>
  </conditionalFormatting>
  <conditionalFormatting sqref="B17:B21">
    <cfRule type="expression" dxfId="593" priority="1" stopIfTrue="1">
      <formula>MOD(ROW(),2)=0</formula>
    </cfRule>
    <cfRule type="expression" dxfId="592" priority="2" stopIfTrue="1">
      <formula>MOD(ROW(),2)&lt;&gt;0</formula>
    </cfRule>
  </conditionalFormatting>
  <conditionalFormatting sqref="B6:C21">
    <cfRule type="expression" dxfId="591" priority="23" stopIfTrue="1">
      <formula>MOD(ROW(),2)=0</formula>
    </cfRule>
    <cfRule type="expression" dxfId="590" priority="24" stopIfTrue="1">
      <formula>MOD(ROW(),2)&lt;&gt;0</formula>
    </cfRule>
  </conditionalFormatting>
  <conditionalFormatting sqref="B26:C96">
    <cfRule type="expression" dxfId="589" priority="7" stopIfTrue="1">
      <formula>MOD(ROW(),2)=0</formula>
    </cfRule>
    <cfRule type="expression" dxfId="588"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1"/>
  <dimension ref="A1:I94"/>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Credit - x-316</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2015</v>
      </c>
      <c r="C8" s="152"/>
      <c r="D8" s="152"/>
      <c r="E8" s="152"/>
    </row>
    <row r="9" spans="1:9" x14ac:dyDescent="0.25">
      <c r="A9" s="79" t="s">
        <v>307</v>
      </c>
      <c r="B9" s="152" t="s">
        <v>387</v>
      </c>
      <c r="C9" s="152"/>
      <c r="D9" s="152"/>
      <c r="E9" s="152"/>
    </row>
    <row r="10" spans="1:9" ht="12.6" customHeight="1" x14ac:dyDescent="0.25">
      <c r="A10" s="79" t="s">
        <v>233</v>
      </c>
      <c r="B10" s="152" t="s">
        <v>396</v>
      </c>
      <c r="C10" s="152"/>
      <c r="D10" s="152"/>
      <c r="E10" s="152"/>
    </row>
    <row r="11" spans="1:9" x14ac:dyDescent="0.25">
      <c r="A11" s="79" t="s">
        <v>308</v>
      </c>
      <c r="B11" s="152" t="s">
        <v>328</v>
      </c>
      <c r="C11" s="152"/>
      <c r="D11" s="152"/>
      <c r="E11" s="152"/>
    </row>
    <row r="12" spans="1:9" ht="12.6" customHeight="1" x14ac:dyDescent="0.25">
      <c r="A12" s="79" t="s">
        <v>309</v>
      </c>
      <c r="B12" s="152" t="s">
        <v>323</v>
      </c>
      <c r="C12" s="152"/>
      <c r="D12" s="152"/>
      <c r="E12" s="152"/>
    </row>
    <row r="13" spans="1:9" ht="12.6" customHeight="1" x14ac:dyDescent="0.25">
      <c r="A13" s="79" t="s">
        <v>566</v>
      </c>
      <c r="B13" s="152">
        <v>0</v>
      </c>
      <c r="C13" s="152"/>
      <c r="D13" s="152"/>
      <c r="E13" s="152"/>
    </row>
    <row r="14" spans="1:9" ht="12.6" customHeight="1" x14ac:dyDescent="0.25">
      <c r="A14" s="79" t="s">
        <v>311</v>
      </c>
      <c r="B14" s="152">
        <v>316</v>
      </c>
      <c r="C14" s="152"/>
      <c r="D14" s="152"/>
      <c r="E14" s="152"/>
    </row>
    <row r="15" spans="1:9" x14ac:dyDescent="0.25">
      <c r="A15" s="79" t="s">
        <v>569</v>
      </c>
      <c r="B15" s="152" t="s">
        <v>397</v>
      </c>
      <c r="C15" s="152"/>
      <c r="D15" s="152"/>
      <c r="E15" s="152"/>
    </row>
    <row r="16" spans="1:9" x14ac:dyDescent="0.25">
      <c r="A16" s="79" t="s">
        <v>313</v>
      </c>
      <c r="B16" s="152" t="s">
        <v>398</v>
      </c>
      <c r="C16" s="152"/>
      <c r="D16" s="152"/>
      <c r="E16" s="152"/>
    </row>
    <row r="17" spans="1:5" ht="53.7" customHeight="1" x14ac:dyDescent="0.25">
      <c r="A17" s="79" t="s">
        <v>639</v>
      </c>
      <c r="B17" s="152"/>
      <c r="C17" s="152"/>
      <c r="D17" s="152"/>
      <c r="E17" s="152"/>
    </row>
    <row r="18" spans="1:5" x14ac:dyDescent="0.25">
      <c r="A18" s="79" t="s">
        <v>315</v>
      </c>
      <c r="B18" s="154">
        <v>45070</v>
      </c>
      <c r="C18" s="152"/>
      <c r="D18" s="152"/>
      <c r="E18" s="152"/>
    </row>
    <row r="19" spans="1:5" x14ac:dyDescent="0.25">
      <c r="A19" s="79" t="s">
        <v>316</v>
      </c>
      <c r="B19" s="154">
        <v>45014</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x14ac:dyDescent="0.25">
      <c r="A26" s="92" t="s">
        <v>640</v>
      </c>
      <c r="B26" s="92" t="s">
        <v>660</v>
      </c>
      <c r="C26" s="92" t="s">
        <v>661</v>
      </c>
      <c r="D26" s="92" t="s">
        <v>662</v>
      </c>
      <c r="E26" s="92" t="s">
        <v>663</v>
      </c>
    </row>
    <row r="27" spans="1:5" x14ac:dyDescent="0.25">
      <c r="A27" s="93">
        <v>18</v>
      </c>
      <c r="B27" s="94">
        <v>9.17</v>
      </c>
      <c r="C27" s="94">
        <v>8.74</v>
      </c>
      <c r="D27" s="94">
        <v>8.33</v>
      </c>
      <c r="E27" s="94">
        <v>7.92</v>
      </c>
    </row>
    <row r="28" spans="1:5" x14ac:dyDescent="0.25">
      <c r="A28" s="93">
        <v>19</v>
      </c>
      <c r="B28" s="94">
        <v>9.3000000000000007</v>
      </c>
      <c r="C28" s="94">
        <v>8.8699999999999992</v>
      </c>
      <c r="D28" s="94">
        <v>8.44</v>
      </c>
      <c r="E28" s="94">
        <v>8.0299999999999994</v>
      </c>
    </row>
    <row r="29" spans="1:5" x14ac:dyDescent="0.25">
      <c r="A29" s="93">
        <v>20</v>
      </c>
      <c r="B29" s="94">
        <v>9.43</v>
      </c>
      <c r="C29" s="94">
        <v>8.99</v>
      </c>
      <c r="D29" s="94">
        <v>8.56</v>
      </c>
      <c r="E29" s="94">
        <v>8.14</v>
      </c>
    </row>
    <row r="30" spans="1:5" x14ac:dyDescent="0.25">
      <c r="A30" s="93">
        <v>21</v>
      </c>
      <c r="B30" s="94">
        <v>9.56</v>
      </c>
      <c r="C30" s="94">
        <v>9.11</v>
      </c>
      <c r="D30" s="94">
        <v>8.68</v>
      </c>
      <c r="E30" s="94">
        <v>8.25</v>
      </c>
    </row>
    <row r="31" spans="1:5" x14ac:dyDescent="0.25">
      <c r="A31" s="93">
        <v>22</v>
      </c>
      <c r="B31" s="94">
        <v>9.69</v>
      </c>
      <c r="C31" s="94">
        <v>9.24</v>
      </c>
      <c r="D31" s="94">
        <v>8.8000000000000007</v>
      </c>
      <c r="E31" s="94">
        <v>8.36</v>
      </c>
    </row>
    <row r="32" spans="1:5" x14ac:dyDescent="0.25">
      <c r="A32" s="93">
        <v>23</v>
      </c>
      <c r="B32" s="94">
        <v>9.83</v>
      </c>
      <c r="C32" s="94">
        <v>9.3699999999999992</v>
      </c>
      <c r="D32" s="94">
        <v>8.92</v>
      </c>
      <c r="E32" s="94">
        <v>8.48</v>
      </c>
    </row>
    <row r="33" spans="1:5" x14ac:dyDescent="0.25">
      <c r="A33" s="93">
        <v>24</v>
      </c>
      <c r="B33" s="94">
        <v>9.9700000000000006</v>
      </c>
      <c r="C33" s="94">
        <v>9.5</v>
      </c>
      <c r="D33" s="94">
        <v>9.0399999999999991</v>
      </c>
      <c r="E33" s="94">
        <v>8.59</v>
      </c>
    </row>
    <row r="34" spans="1:5" x14ac:dyDescent="0.25">
      <c r="A34" s="93">
        <v>25</v>
      </c>
      <c r="B34" s="94">
        <v>10.11</v>
      </c>
      <c r="C34" s="94">
        <v>9.6300000000000008</v>
      </c>
      <c r="D34" s="94">
        <v>9.17</v>
      </c>
      <c r="E34" s="94">
        <v>8.7100000000000009</v>
      </c>
    </row>
    <row r="35" spans="1:5" x14ac:dyDescent="0.25">
      <c r="A35" s="93">
        <v>26</v>
      </c>
      <c r="B35" s="94">
        <v>10.25</v>
      </c>
      <c r="C35" s="94">
        <v>9.77</v>
      </c>
      <c r="D35" s="94">
        <v>9.2899999999999991</v>
      </c>
      <c r="E35" s="94">
        <v>8.83</v>
      </c>
    </row>
    <row r="36" spans="1:5" x14ac:dyDescent="0.25">
      <c r="A36" s="93">
        <v>27</v>
      </c>
      <c r="B36" s="94">
        <v>10.39</v>
      </c>
      <c r="C36" s="94">
        <v>9.9</v>
      </c>
      <c r="D36" s="94">
        <v>9.42</v>
      </c>
      <c r="E36" s="94">
        <v>8.9499999999999993</v>
      </c>
    </row>
    <row r="37" spans="1:5" x14ac:dyDescent="0.25">
      <c r="A37" s="93">
        <v>28</v>
      </c>
      <c r="B37" s="94">
        <v>10.54</v>
      </c>
      <c r="C37" s="94">
        <v>10.039999999999999</v>
      </c>
      <c r="D37" s="94">
        <v>9.5500000000000007</v>
      </c>
      <c r="E37" s="94">
        <v>9.07</v>
      </c>
    </row>
    <row r="38" spans="1:5" x14ac:dyDescent="0.25">
      <c r="A38" s="93">
        <v>29</v>
      </c>
      <c r="B38" s="94">
        <v>10.69</v>
      </c>
      <c r="C38" s="94">
        <v>10.18</v>
      </c>
      <c r="D38" s="94">
        <v>9.68</v>
      </c>
      <c r="E38" s="94">
        <v>9.1999999999999993</v>
      </c>
    </row>
    <row r="39" spans="1:5" x14ac:dyDescent="0.25">
      <c r="A39" s="93">
        <v>30</v>
      </c>
      <c r="B39" s="94">
        <v>10.84</v>
      </c>
      <c r="C39" s="94">
        <v>10.32</v>
      </c>
      <c r="D39" s="94">
        <v>9.82</v>
      </c>
      <c r="E39" s="94">
        <v>9.32</v>
      </c>
    </row>
    <row r="40" spans="1:5" x14ac:dyDescent="0.25">
      <c r="A40" s="93">
        <v>31</v>
      </c>
      <c r="B40" s="94">
        <v>10.99</v>
      </c>
      <c r="C40" s="94">
        <v>10.46</v>
      </c>
      <c r="D40" s="94">
        <v>9.9499999999999993</v>
      </c>
      <c r="E40" s="94">
        <v>9.4499999999999993</v>
      </c>
    </row>
    <row r="41" spans="1:5" x14ac:dyDescent="0.25">
      <c r="A41" s="93">
        <v>32</v>
      </c>
      <c r="B41" s="94">
        <v>11.15</v>
      </c>
      <c r="C41" s="94">
        <v>10.61</v>
      </c>
      <c r="D41" s="94">
        <v>10.09</v>
      </c>
      <c r="E41" s="94">
        <v>9.58</v>
      </c>
    </row>
    <row r="42" spans="1:5" x14ac:dyDescent="0.25">
      <c r="A42" s="93">
        <v>33</v>
      </c>
      <c r="B42" s="94">
        <v>11.3</v>
      </c>
      <c r="C42" s="94">
        <v>10.76</v>
      </c>
      <c r="D42" s="94">
        <v>10.23</v>
      </c>
      <c r="E42" s="94">
        <v>9.7100000000000009</v>
      </c>
    </row>
    <row r="43" spans="1:5" x14ac:dyDescent="0.25">
      <c r="A43" s="93">
        <v>34</v>
      </c>
      <c r="B43" s="94">
        <v>11.46</v>
      </c>
      <c r="C43" s="94">
        <v>10.91</v>
      </c>
      <c r="D43" s="94">
        <v>10.37</v>
      </c>
      <c r="E43" s="94">
        <v>9.84</v>
      </c>
    </row>
    <row r="44" spans="1:5" x14ac:dyDescent="0.25">
      <c r="A44" s="93">
        <v>35</v>
      </c>
      <c r="B44" s="94">
        <v>11.63</v>
      </c>
      <c r="C44" s="94">
        <v>11.06</v>
      </c>
      <c r="D44" s="94">
        <v>10.52</v>
      </c>
      <c r="E44" s="94">
        <v>9.98</v>
      </c>
    </row>
    <row r="45" spans="1:5" x14ac:dyDescent="0.25">
      <c r="A45" s="93">
        <v>36</v>
      </c>
      <c r="B45" s="94">
        <v>11.79</v>
      </c>
      <c r="C45" s="94">
        <v>11.22</v>
      </c>
      <c r="D45" s="94">
        <v>10.66</v>
      </c>
      <c r="E45" s="94">
        <v>10.119999999999999</v>
      </c>
    </row>
    <row r="46" spans="1:5" x14ac:dyDescent="0.25">
      <c r="A46" s="93">
        <v>37</v>
      </c>
      <c r="B46" s="94">
        <v>11.96</v>
      </c>
      <c r="C46" s="94">
        <v>11.38</v>
      </c>
      <c r="D46" s="94">
        <v>10.81</v>
      </c>
      <c r="E46" s="94">
        <v>10.26</v>
      </c>
    </row>
    <row r="47" spans="1:5" x14ac:dyDescent="0.25">
      <c r="A47" s="93">
        <v>38</v>
      </c>
      <c r="B47" s="94">
        <v>12.13</v>
      </c>
      <c r="C47" s="94">
        <v>11.54</v>
      </c>
      <c r="D47" s="94">
        <v>10.96</v>
      </c>
      <c r="E47" s="94">
        <v>10.4</v>
      </c>
    </row>
    <row r="48" spans="1:5" x14ac:dyDescent="0.25">
      <c r="A48" s="93">
        <v>39</v>
      </c>
      <c r="B48" s="94">
        <v>12.31</v>
      </c>
      <c r="C48" s="94">
        <v>11.71</v>
      </c>
      <c r="D48" s="94">
        <v>11.12</v>
      </c>
      <c r="E48" s="94">
        <v>10.55</v>
      </c>
    </row>
    <row r="49" spans="1:5" x14ac:dyDescent="0.25">
      <c r="A49" s="93">
        <v>40</v>
      </c>
      <c r="B49" s="94">
        <v>12.48</v>
      </c>
      <c r="C49" s="94">
        <v>11.87</v>
      </c>
      <c r="D49" s="94">
        <v>11.28</v>
      </c>
      <c r="E49" s="94">
        <v>10.69</v>
      </c>
    </row>
    <row r="50" spans="1:5" x14ac:dyDescent="0.25">
      <c r="A50" s="93">
        <v>41</v>
      </c>
      <c r="B50" s="94">
        <v>12.67</v>
      </c>
      <c r="C50" s="94">
        <v>12.05</v>
      </c>
      <c r="D50" s="94">
        <v>11.44</v>
      </c>
      <c r="E50" s="94">
        <v>10.85</v>
      </c>
    </row>
    <row r="51" spans="1:5" x14ac:dyDescent="0.25">
      <c r="A51" s="93">
        <v>42</v>
      </c>
      <c r="B51" s="94">
        <v>12.85</v>
      </c>
      <c r="C51" s="94">
        <v>12.22</v>
      </c>
      <c r="D51" s="94">
        <v>11.6</v>
      </c>
      <c r="E51" s="94">
        <v>11</v>
      </c>
    </row>
    <row r="52" spans="1:5" x14ac:dyDescent="0.25">
      <c r="A52" s="93">
        <v>43</v>
      </c>
      <c r="B52" s="94">
        <v>13.04</v>
      </c>
      <c r="C52" s="94">
        <v>12.4</v>
      </c>
      <c r="D52" s="94">
        <v>11.77</v>
      </c>
      <c r="E52" s="94">
        <v>11.16</v>
      </c>
    </row>
    <row r="53" spans="1:5" x14ac:dyDescent="0.25">
      <c r="A53" s="93">
        <v>44</v>
      </c>
      <c r="B53" s="94">
        <v>13.24</v>
      </c>
      <c r="C53" s="94">
        <v>12.58</v>
      </c>
      <c r="D53" s="94">
        <v>11.94</v>
      </c>
      <c r="E53" s="94">
        <v>11.32</v>
      </c>
    </row>
    <row r="54" spans="1:5" x14ac:dyDescent="0.25">
      <c r="A54" s="93">
        <v>45</v>
      </c>
      <c r="B54" s="94">
        <v>13.44</v>
      </c>
      <c r="C54" s="94">
        <v>12.77</v>
      </c>
      <c r="D54" s="94">
        <v>12.12</v>
      </c>
      <c r="E54" s="94">
        <v>11.49</v>
      </c>
    </row>
    <row r="55" spans="1:5" x14ac:dyDescent="0.25">
      <c r="A55" s="93">
        <v>46</v>
      </c>
      <c r="B55" s="94">
        <v>13.64</v>
      </c>
      <c r="C55" s="94">
        <v>12.96</v>
      </c>
      <c r="D55" s="94">
        <v>12.3</v>
      </c>
      <c r="E55" s="94">
        <v>11.66</v>
      </c>
    </row>
    <row r="56" spans="1:5" x14ac:dyDescent="0.25">
      <c r="A56" s="93">
        <v>47</v>
      </c>
      <c r="B56" s="94">
        <v>13.85</v>
      </c>
      <c r="C56" s="94">
        <v>13.16</v>
      </c>
      <c r="D56" s="94">
        <v>12.49</v>
      </c>
      <c r="E56" s="94">
        <v>11.83</v>
      </c>
    </row>
    <row r="57" spans="1:5" x14ac:dyDescent="0.25">
      <c r="A57" s="93">
        <v>48</v>
      </c>
      <c r="B57" s="94">
        <v>14.07</v>
      </c>
      <c r="C57" s="94">
        <v>13.37</v>
      </c>
      <c r="D57" s="94">
        <v>12.68</v>
      </c>
      <c r="E57" s="94">
        <v>12.01</v>
      </c>
    </row>
    <row r="58" spans="1:5" x14ac:dyDescent="0.25">
      <c r="A58" s="93">
        <v>49</v>
      </c>
      <c r="B58" s="94">
        <v>14.29</v>
      </c>
      <c r="C58" s="94">
        <v>13.58</v>
      </c>
      <c r="D58" s="94">
        <v>12.88</v>
      </c>
      <c r="E58" s="94">
        <v>12.19</v>
      </c>
    </row>
    <row r="59" spans="1:5" x14ac:dyDescent="0.25">
      <c r="A59" s="93">
        <v>50</v>
      </c>
      <c r="B59" s="94">
        <v>14.52</v>
      </c>
      <c r="C59" s="94">
        <v>13.79</v>
      </c>
      <c r="D59" s="94">
        <v>13.08</v>
      </c>
      <c r="E59" s="94">
        <v>12.38</v>
      </c>
    </row>
    <row r="60" spans="1:5" x14ac:dyDescent="0.25">
      <c r="A60" s="93">
        <v>51</v>
      </c>
      <c r="B60" s="94">
        <v>14.76</v>
      </c>
      <c r="C60" s="94">
        <v>14.01</v>
      </c>
      <c r="D60" s="94">
        <v>13.29</v>
      </c>
      <c r="E60" s="94">
        <v>12.58</v>
      </c>
    </row>
    <row r="61" spans="1:5" x14ac:dyDescent="0.25">
      <c r="A61" s="93">
        <v>52</v>
      </c>
      <c r="B61" s="94">
        <v>15</v>
      </c>
      <c r="C61" s="94">
        <v>14.24</v>
      </c>
      <c r="D61" s="94">
        <v>13.5</v>
      </c>
      <c r="E61" s="94">
        <v>12.78</v>
      </c>
    </row>
    <row r="62" spans="1:5" x14ac:dyDescent="0.25">
      <c r="A62" s="93">
        <v>53</v>
      </c>
      <c r="B62" s="94">
        <v>15.25</v>
      </c>
      <c r="C62" s="94">
        <v>14.48</v>
      </c>
      <c r="D62" s="94">
        <v>13.72</v>
      </c>
      <c r="E62" s="94">
        <v>12.99</v>
      </c>
    </row>
    <row r="63" spans="1:5" x14ac:dyDescent="0.25">
      <c r="A63" s="93">
        <v>54</v>
      </c>
      <c r="B63" s="94">
        <v>15.51</v>
      </c>
      <c r="C63" s="94">
        <v>14.72</v>
      </c>
      <c r="D63" s="94">
        <v>13.95</v>
      </c>
      <c r="E63" s="94">
        <v>13.2</v>
      </c>
    </row>
    <row r="64" spans="1:5" x14ac:dyDescent="0.25">
      <c r="A64" s="93">
        <v>55</v>
      </c>
      <c r="B64" s="94">
        <v>15.77</v>
      </c>
      <c r="C64" s="94">
        <v>14.97</v>
      </c>
      <c r="D64" s="94">
        <v>14.18</v>
      </c>
      <c r="E64" s="94">
        <v>13.42</v>
      </c>
    </row>
    <row r="65" spans="1:5" x14ac:dyDescent="0.25">
      <c r="A65" s="93">
        <v>56</v>
      </c>
      <c r="B65" s="94">
        <v>16.04</v>
      </c>
      <c r="C65" s="94">
        <v>15.22</v>
      </c>
      <c r="D65" s="94">
        <v>14.42</v>
      </c>
      <c r="E65" s="94">
        <v>13.64</v>
      </c>
    </row>
    <row r="66" spans="1:5" x14ac:dyDescent="0.25">
      <c r="A66" s="93">
        <v>57</v>
      </c>
      <c r="B66" s="94">
        <v>16.329999999999998</v>
      </c>
      <c r="C66" s="94">
        <v>15.49</v>
      </c>
      <c r="D66" s="94">
        <v>14.67</v>
      </c>
      <c r="E66" s="94">
        <v>13.88</v>
      </c>
    </row>
    <row r="67" spans="1:5" x14ac:dyDescent="0.25">
      <c r="A67" s="93">
        <v>58</v>
      </c>
      <c r="B67" s="94">
        <v>16.62</v>
      </c>
      <c r="C67" s="94">
        <v>15.77</v>
      </c>
      <c r="D67" s="94">
        <v>14.93</v>
      </c>
      <c r="E67" s="94">
        <v>14.12</v>
      </c>
    </row>
    <row r="68" spans="1:5" x14ac:dyDescent="0.25">
      <c r="A68" s="93">
        <v>59</v>
      </c>
      <c r="B68" s="94">
        <v>16.920000000000002</v>
      </c>
      <c r="C68" s="94">
        <v>16.05</v>
      </c>
      <c r="D68" s="94">
        <v>15.2</v>
      </c>
      <c r="E68" s="94">
        <v>14.37</v>
      </c>
    </row>
    <row r="69" spans="1:5" x14ac:dyDescent="0.25">
      <c r="A69" s="93">
        <v>60</v>
      </c>
      <c r="B69" s="94">
        <v>17.239999999999998</v>
      </c>
      <c r="C69" s="94">
        <v>16.350000000000001</v>
      </c>
      <c r="D69" s="94">
        <v>15.48</v>
      </c>
      <c r="E69" s="94">
        <v>14.63</v>
      </c>
    </row>
    <row r="70" spans="1:5" x14ac:dyDescent="0.25">
      <c r="A70" s="93">
        <v>61</v>
      </c>
      <c r="B70" s="94">
        <v>17.57</v>
      </c>
      <c r="C70" s="94">
        <v>16.66</v>
      </c>
      <c r="D70" s="94">
        <v>15.77</v>
      </c>
      <c r="E70" s="94">
        <v>14.91</v>
      </c>
    </row>
    <row r="71" spans="1:5" x14ac:dyDescent="0.25">
      <c r="A71" s="93">
        <v>62</v>
      </c>
      <c r="B71" s="94">
        <v>17.91</v>
      </c>
      <c r="C71" s="94">
        <v>16.98</v>
      </c>
      <c r="D71" s="94">
        <v>16.07</v>
      </c>
      <c r="E71" s="94">
        <v>15.19</v>
      </c>
    </row>
    <row r="72" spans="1:5" x14ac:dyDescent="0.25">
      <c r="A72" s="93">
        <v>63</v>
      </c>
      <c r="B72" s="94">
        <v>18.27</v>
      </c>
      <c r="C72" s="94">
        <v>17.32</v>
      </c>
      <c r="D72" s="94">
        <v>16.39</v>
      </c>
      <c r="E72" s="94">
        <v>15.48</v>
      </c>
    </row>
    <row r="73" spans="1:5" x14ac:dyDescent="0.25">
      <c r="A73" s="93">
        <v>64</v>
      </c>
      <c r="B73" s="94">
        <v>18.64</v>
      </c>
      <c r="C73" s="94">
        <v>17.670000000000002</v>
      </c>
      <c r="D73" s="94">
        <v>16.72</v>
      </c>
      <c r="E73" s="94">
        <v>15.8</v>
      </c>
    </row>
    <row r="74" spans="1:5" x14ac:dyDescent="0.25">
      <c r="A74" s="93">
        <v>65</v>
      </c>
      <c r="B74" s="94">
        <v>18.52</v>
      </c>
      <c r="C74" s="94">
        <v>18.04</v>
      </c>
      <c r="D74" s="94">
        <v>17.07</v>
      </c>
      <c r="E74" s="94">
        <v>16.12</v>
      </c>
    </row>
    <row r="75" spans="1:5" x14ac:dyDescent="0.25">
      <c r="A75" s="93">
        <v>66</v>
      </c>
      <c r="B75" s="94">
        <v>17.88</v>
      </c>
      <c r="C75" s="94">
        <v>17.91</v>
      </c>
      <c r="D75" s="94">
        <v>17.440000000000001</v>
      </c>
      <c r="E75" s="94">
        <v>16.47</v>
      </c>
    </row>
    <row r="76" spans="1:5" x14ac:dyDescent="0.25">
      <c r="A76" s="93">
        <v>67</v>
      </c>
      <c r="B76" s="94">
        <v>17.239999999999998</v>
      </c>
      <c r="C76" s="94">
        <v>17.27</v>
      </c>
      <c r="D76" s="94">
        <v>17.3</v>
      </c>
      <c r="E76" s="94">
        <v>16.829999999999998</v>
      </c>
    </row>
    <row r="77" spans="1:5" x14ac:dyDescent="0.25">
      <c r="A77" s="93">
        <v>68</v>
      </c>
      <c r="B77" s="94">
        <v>16.61</v>
      </c>
      <c r="C77" s="94">
        <v>16.63</v>
      </c>
      <c r="D77" s="94">
        <v>16.649999999999999</v>
      </c>
      <c r="E77" s="94">
        <v>16.690000000000001</v>
      </c>
    </row>
    <row r="78" spans="1:5" x14ac:dyDescent="0.25">
      <c r="A78" s="93">
        <v>69</v>
      </c>
      <c r="B78" s="94">
        <v>15.98</v>
      </c>
      <c r="C78" s="94">
        <v>15.99</v>
      </c>
      <c r="D78" s="94">
        <v>16.010000000000002</v>
      </c>
      <c r="E78" s="94">
        <v>16.04</v>
      </c>
    </row>
    <row r="79" spans="1:5" x14ac:dyDescent="0.25">
      <c r="A79" s="93">
        <v>70</v>
      </c>
      <c r="B79" s="94">
        <v>15.35</v>
      </c>
      <c r="C79" s="94">
        <v>15.35</v>
      </c>
      <c r="D79" s="94">
        <v>15.36</v>
      </c>
      <c r="E79" s="94">
        <v>15.38</v>
      </c>
    </row>
    <row r="80" spans="1:5" x14ac:dyDescent="0.25">
      <c r="A80" s="93">
        <v>71</v>
      </c>
      <c r="B80" s="94">
        <v>14.72</v>
      </c>
      <c r="C80" s="94">
        <v>14.72</v>
      </c>
      <c r="D80" s="94">
        <v>14.73</v>
      </c>
      <c r="E80" s="94">
        <v>14.74</v>
      </c>
    </row>
    <row r="81" spans="1:5" x14ac:dyDescent="0.25">
      <c r="A81" s="93">
        <v>72</v>
      </c>
      <c r="B81" s="94">
        <v>14.1</v>
      </c>
      <c r="C81" s="94">
        <v>14.1</v>
      </c>
      <c r="D81" s="94">
        <v>14.1</v>
      </c>
      <c r="E81" s="94">
        <v>14.1</v>
      </c>
    </row>
    <row r="82" spans="1:5" x14ac:dyDescent="0.25">
      <c r="A82" s="93">
        <v>73</v>
      </c>
      <c r="B82" s="94">
        <v>13.48</v>
      </c>
      <c r="C82" s="94">
        <v>13.48</v>
      </c>
      <c r="D82" s="94">
        <v>13.48</v>
      </c>
      <c r="E82" s="94">
        <v>13.48</v>
      </c>
    </row>
    <row r="83" spans="1:5" x14ac:dyDescent="0.25">
      <c r="A83" s="93">
        <v>74</v>
      </c>
      <c r="B83" s="94">
        <v>12.86</v>
      </c>
      <c r="C83" s="94">
        <v>12.86</v>
      </c>
      <c r="D83" s="94">
        <v>12.86</v>
      </c>
      <c r="E83" s="94">
        <v>12.86</v>
      </c>
    </row>
    <row r="84" spans="1:5" x14ac:dyDescent="0.25">
      <c r="A84" s="93">
        <v>75</v>
      </c>
      <c r="B84" s="94">
        <v>12.24</v>
      </c>
      <c r="C84" s="94">
        <v>12.24</v>
      </c>
      <c r="D84" s="94">
        <v>12.24</v>
      </c>
      <c r="E84" s="94">
        <v>12.24</v>
      </c>
    </row>
    <row r="85" spans="1:5" x14ac:dyDescent="0.25">
      <c r="A85" s="93">
        <v>76</v>
      </c>
      <c r="B85" s="94">
        <v>11.63</v>
      </c>
      <c r="C85" s="94">
        <v>11.63</v>
      </c>
      <c r="D85" s="94">
        <v>11.63</v>
      </c>
      <c r="E85" s="94">
        <v>11.63</v>
      </c>
    </row>
    <row r="86" spans="1:5" x14ac:dyDescent="0.25">
      <c r="A86" s="93">
        <v>77</v>
      </c>
      <c r="B86" s="94">
        <v>11.02</v>
      </c>
      <c r="C86" s="94">
        <v>11.02</v>
      </c>
      <c r="D86" s="94">
        <v>11.02</v>
      </c>
      <c r="E86" s="94">
        <v>11.02</v>
      </c>
    </row>
    <row r="87" spans="1:5" x14ac:dyDescent="0.25">
      <c r="A87" s="93">
        <v>78</v>
      </c>
      <c r="B87" s="94">
        <v>10.42</v>
      </c>
      <c r="C87" s="94">
        <v>10.42</v>
      </c>
      <c r="D87" s="94">
        <v>10.42</v>
      </c>
      <c r="E87" s="94">
        <v>10.42</v>
      </c>
    </row>
    <row r="88" spans="1:5" x14ac:dyDescent="0.25">
      <c r="A88" s="93">
        <v>79</v>
      </c>
      <c r="B88" s="94">
        <v>9.83</v>
      </c>
      <c r="C88" s="94">
        <v>9.83</v>
      </c>
      <c r="D88" s="94">
        <v>9.83</v>
      </c>
      <c r="E88" s="94">
        <v>9.83</v>
      </c>
    </row>
    <row r="89" spans="1:5" x14ac:dyDescent="0.25">
      <c r="A89" s="93">
        <v>80</v>
      </c>
      <c r="B89" s="94">
        <v>9.26</v>
      </c>
      <c r="C89" s="94">
        <v>9.26</v>
      </c>
      <c r="D89" s="94">
        <v>9.26</v>
      </c>
      <c r="E89" s="94">
        <v>9.26</v>
      </c>
    </row>
    <row r="90" spans="1:5" x14ac:dyDescent="0.25">
      <c r="A90" s="93">
        <v>81</v>
      </c>
      <c r="B90" s="94">
        <v>8.69</v>
      </c>
      <c r="C90" s="94">
        <v>8.69</v>
      </c>
      <c r="D90" s="94">
        <v>8.69</v>
      </c>
      <c r="E90" s="94">
        <v>8.69</v>
      </c>
    </row>
    <row r="91" spans="1:5" x14ac:dyDescent="0.25">
      <c r="A91" s="93">
        <v>82</v>
      </c>
      <c r="B91" s="94">
        <v>8.14</v>
      </c>
      <c r="C91" s="94">
        <v>8.14</v>
      </c>
      <c r="D91" s="94">
        <v>8.14</v>
      </c>
      <c r="E91" s="94">
        <v>8.14</v>
      </c>
    </row>
    <row r="92" spans="1:5" x14ac:dyDescent="0.25">
      <c r="A92" s="93">
        <v>83</v>
      </c>
      <c r="B92" s="94">
        <v>7.6</v>
      </c>
      <c r="C92" s="94">
        <v>7.6</v>
      </c>
      <c r="D92" s="94">
        <v>7.6</v>
      </c>
      <c r="E92" s="94">
        <v>7.6</v>
      </c>
    </row>
    <row r="93" spans="1:5" x14ac:dyDescent="0.25">
      <c r="A93" s="93">
        <v>84</v>
      </c>
      <c r="B93" s="94">
        <v>7.08</v>
      </c>
      <c r="C93" s="94">
        <v>7.08</v>
      </c>
      <c r="D93" s="94">
        <v>7.08</v>
      </c>
      <c r="E93" s="94">
        <v>7.08</v>
      </c>
    </row>
    <row r="94" spans="1:5" x14ac:dyDescent="0.25">
      <c r="A94" s="93">
        <v>85</v>
      </c>
      <c r="B94" s="94">
        <v>6.58</v>
      </c>
      <c r="C94" s="94">
        <v>6.58</v>
      </c>
      <c r="D94" s="94">
        <v>6.58</v>
      </c>
      <c r="E94" s="94">
        <v>6.58</v>
      </c>
    </row>
  </sheetData>
  <sheetProtection algorithmName="SHA-512" hashValue="JU/SqdGws1x8e8ka0KtPPNph1Eud5u4HzeofsqEZYTc0WNASpkU1bNcC4m7FJar+vsRwhpT8Wq+xkwBupZnmnQ==" saltValue="4NVuWb2S6z56iRquPl8ERg==" spinCount="100000" sheet="1" objects="1" scenarios="1"/>
  <conditionalFormatting sqref="A6:A21">
    <cfRule type="expression" dxfId="587" priority="21" stopIfTrue="1">
      <formula>MOD(ROW(),2)=0</formula>
    </cfRule>
    <cfRule type="expression" dxfId="586" priority="22" stopIfTrue="1">
      <formula>MOD(ROW(),2)&lt;&gt;0</formula>
    </cfRule>
  </conditionalFormatting>
  <conditionalFormatting sqref="A26:A94">
    <cfRule type="expression" dxfId="585" priority="11" stopIfTrue="1">
      <formula>MOD(ROW(),2)=0</formula>
    </cfRule>
    <cfRule type="expression" dxfId="584" priority="12" stopIfTrue="1">
      <formula>MOD(ROW(),2)&lt;&gt;0</formula>
    </cfRule>
  </conditionalFormatting>
  <conditionalFormatting sqref="B6:E21">
    <cfRule type="expression" dxfId="583" priority="31" stopIfTrue="1">
      <formula>MOD(ROW(),2)=0</formula>
    </cfRule>
    <cfRule type="expression" dxfId="582" priority="32" stopIfTrue="1">
      <formula>MOD(ROW(),2)&lt;&gt;0</formula>
    </cfRule>
  </conditionalFormatting>
  <conditionalFormatting sqref="B17:E21">
    <cfRule type="expression" dxfId="581" priority="1" stopIfTrue="1">
      <formula>MOD(ROW(),2)=0</formula>
    </cfRule>
    <cfRule type="expression" dxfId="580" priority="2" stopIfTrue="1">
      <formula>MOD(ROW(),2)&lt;&gt;0</formula>
    </cfRule>
  </conditionalFormatting>
  <conditionalFormatting sqref="B26:E94">
    <cfRule type="expression" dxfId="579" priority="13" stopIfTrue="1">
      <formula>MOD(ROW(),2)=0</formula>
    </cfRule>
    <cfRule type="expression" dxfId="578"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4"/>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Credit - x-317</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2015</v>
      </c>
      <c r="C8" s="152"/>
      <c r="D8" s="152"/>
      <c r="E8" s="152"/>
    </row>
    <row r="9" spans="1:9" x14ac:dyDescent="0.25">
      <c r="A9" s="79" t="s">
        <v>307</v>
      </c>
      <c r="B9" s="152" t="s">
        <v>387</v>
      </c>
      <c r="C9" s="152"/>
      <c r="D9" s="152"/>
      <c r="E9" s="152"/>
    </row>
    <row r="10" spans="1:9" ht="12.6" customHeight="1" x14ac:dyDescent="0.25">
      <c r="A10" s="79" t="s">
        <v>233</v>
      </c>
      <c r="B10" s="152" t="s">
        <v>399</v>
      </c>
      <c r="C10" s="152"/>
      <c r="D10" s="152"/>
      <c r="E10" s="152"/>
    </row>
    <row r="11" spans="1:9" x14ac:dyDescent="0.25">
      <c r="A11" s="79" t="s">
        <v>308</v>
      </c>
      <c r="B11" s="152" t="s">
        <v>322</v>
      </c>
      <c r="C11" s="152"/>
      <c r="D11" s="152"/>
      <c r="E11" s="152"/>
    </row>
    <row r="12" spans="1:9" ht="12.6" customHeight="1" x14ac:dyDescent="0.25">
      <c r="A12" s="79" t="s">
        <v>309</v>
      </c>
      <c r="B12" s="152" t="s">
        <v>323</v>
      </c>
      <c r="C12" s="152"/>
      <c r="D12" s="152"/>
      <c r="E12" s="152"/>
    </row>
    <row r="13" spans="1:9" ht="12.6" customHeight="1" x14ac:dyDescent="0.25">
      <c r="A13" s="79" t="s">
        <v>566</v>
      </c>
      <c r="B13" s="152">
        <v>0</v>
      </c>
      <c r="C13" s="152"/>
      <c r="D13" s="152"/>
      <c r="E13" s="152"/>
    </row>
    <row r="14" spans="1:9" ht="12.6" customHeight="1" x14ac:dyDescent="0.25">
      <c r="A14" s="79" t="s">
        <v>311</v>
      </c>
      <c r="B14" s="152">
        <v>317</v>
      </c>
      <c r="C14" s="152"/>
      <c r="D14" s="152"/>
      <c r="E14" s="152"/>
    </row>
    <row r="15" spans="1:9" x14ac:dyDescent="0.25">
      <c r="A15" s="79" t="s">
        <v>569</v>
      </c>
      <c r="B15" s="152" t="s">
        <v>400</v>
      </c>
      <c r="C15" s="152"/>
      <c r="D15" s="152"/>
      <c r="E15" s="152"/>
    </row>
    <row r="16" spans="1:9" x14ac:dyDescent="0.25">
      <c r="A16" s="79" t="s">
        <v>313</v>
      </c>
      <c r="B16" s="152" t="s">
        <v>401</v>
      </c>
      <c r="C16" s="152"/>
      <c r="D16" s="152"/>
      <c r="E16" s="152"/>
    </row>
    <row r="17" spans="1:5" ht="53.7" customHeight="1" x14ac:dyDescent="0.25">
      <c r="A17" s="79" t="s">
        <v>639</v>
      </c>
      <c r="B17" s="152"/>
      <c r="C17" s="152"/>
      <c r="D17" s="152"/>
      <c r="E17" s="152"/>
    </row>
    <row r="18" spans="1:5" x14ac:dyDescent="0.25">
      <c r="A18" s="79" t="s">
        <v>315</v>
      </c>
      <c r="B18" s="154">
        <v>45070</v>
      </c>
      <c r="C18" s="152"/>
      <c r="D18" s="152"/>
      <c r="E18" s="152"/>
    </row>
    <row r="19" spans="1:5" x14ac:dyDescent="0.25">
      <c r="A19" s="79" t="s">
        <v>316</v>
      </c>
      <c r="B19" s="154">
        <v>45014</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x14ac:dyDescent="0.25">
      <c r="A26" s="92" t="s">
        <v>640</v>
      </c>
      <c r="B26" s="92" t="s">
        <v>660</v>
      </c>
      <c r="C26" s="92" t="s">
        <v>661</v>
      </c>
      <c r="D26" s="92" t="s">
        <v>662</v>
      </c>
      <c r="E26" s="92" t="s">
        <v>663</v>
      </c>
    </row>
    <row r="27" spans="1:5" x14ac:dyDescent="0.25">
      <c r="A27" s="93">
        <v>18</v>
      </c>
      <c r="B27" s="94">
        <v>9.17</v>
      </c>
      <c r="C27" s="94">
        <v>8.74</v>
      </c>
      <c r="D27" s="94">
        <v>8.33</v>
      </c>
      <c r="E27" s="94">
        <v>7.92</v>
      </c>
    </row>
    <row r="28" spans="1:5" x14ac:dyDescent="0.25">
      <c r="A28" s="93">
        <v>19</v>
      </c>
      <c r="B28" s="94">
        <v>9.3000000000000007</v>
      </c>
      <c r="C28" s="94">
        <v>8.8699999999999992</v>
      </c>
      <c r="D28" s="94">
        <v>8.44</v>
      </c>
      <c r="E28" s="94">
        <v>8.0299999999999994</v>
      </c>
    </row>
    <row r="29" spans="1:5" x14ac:dyDescent="0.25">
      <c r="A29" s="93">
        <v>20</v>
      </c>
      <c r="B29" s="94">
        <v>9.43</v>
      </c>
      <c r="C29" s="94">
        <v>8.99</v>
      </c>
      <c r="D29" s="94">
        <v>8.56</v>
      </c>
      <c r="E29" s="94">
        <v>8.14</v>
      </c>
    </row>
    <row r="30" spans="1:5" x14ac:dyDescent="0.25">
      <c r="A30" s="93">
        <v>21</v>
      </c>
      <c r="B30" s="94">
        <v>9.56</v>
      </c>
      <c r="C30" s="94">
        <v>9.11</v>
      </c>
      <c r="D30" s="94">
        <v>8.68</v>
      </c>
      <c r="E30" s="94">
        <v>8.25</v>
      </c>
    </row>
    <row r="31" spans="1:5" x14ac:dyDescent="0.25">
      <c r="A31" s="93">
        <v>22</v>
      </c>
      <c r="B31" s="94">
        <v>9.69</v>
      </c>
      <c r="C31" s="94">
        <v>9.24</v>
      </c>
      <c r="D31" s="94">
        <v>8.8000000000000007</v>
      </c>
      <c r="E31" s="94">
        <v>8.36</v>
      </c>
    </row>
    <row r="32" spans="1:5" x14ac:dyDescent="0.25">
      <c r="A32" s="93">
        <v>23</v>
      </c>
      <c r="B32" s="94">
        <v>9.83</v>
      </c>
      <c r="C32" s="94">
        <v>9.3699999999999992</v>
      </c>
      <c r="D32" s="94">
        <v>8.92</v>
      </c>
      <c r="E32" s="94">
        <v>8.48</v>
      </c>
    </row>
    <row r="33" spans="1:5" x14ac:dyDescent="0.25">
      <c r="A33" s="93">
        <v>24</v>
      </c>
      <c r="B33" s="94">
        <v>9.9700000000000006</v>
      </c>
      <c r="C33" s="94">
        <v>9.5</v>
      </c>
      <c r="D33" s="94">
        <v>9.0399999999999991</v>
      </c>
      <c r="E33" s="94">
        <v>8.59</v>
      </c>
    </row>
    <row r="34" spans="1:5" x14ac:dyDescent="0.25">
      <c r="A34" s="93">
        <v>25</v>
      </c>
      <c r="B34" s="94">
        <v>10.11</v>
      </c>
      <c r="C34" s="94">
        <v>9.6300000000000008</v>
      </c>
      <c r="D34" s="94">
        <v>9.17</v>
      </c>
      <c r="E34" s="94">
        <v>8.7100000000000009</v>
      </c>
    </row>
    <row r="35" spans="1:5" x14ac:dyDescent="0.25">
      <c r="A35" s="93">
        <v>26</v>
      </c>
      <c r="B35" s="94">
        <v>10.25</v>
      </c>
      <c r="C35" s="94">
        <v>9.77</v>
      </c>
      <c r="D35" s="94">
        <v>9.2899999999999991</v>
      </c>
      <c r="E35" s="94">
        <v>8.83</v>
      </c>
    </row>
    <row r="36" spans="1:5" x14ac:dyDescent="0.25">
      <c r="A36" s="93">
        <v>27</v>
      </c>
      <c r="B36" s="94">
        <v>10.39</v>
      </c>
      <c r="C36" s="94">
        <v>9.9</v>
      </c>
      <c r="D36" s="94">
        <v>9.42</v>
      </c>
      <c r="E36" s="94">
        <v>8.9499999999999993</v>
      </c>
    </row>
    <row r="37" spans="1:5" x14ac:dyDescent="0.25">
      <c r="A37" s="93">
        <v>28</v>
      </c>
      <c r="B37" s="94">
        <v>10.54</v>
      </c>
      <c r="C37" s="94">
        <v>10.039999999999999</v>
      </c>
      <c r="D37" s="94">
        <v>9.5500000000000007</v>
      </c>
      <c r="E37" s="94">
        <v>9.07</v>
      </c>
    </row>
    <row r="38" spans="1:5" x14ac:dyDescent="0.25">
      <c r="A38" s="93">
        <v>29</v>
      </c>
      <c r="B38" s="94">
        <v>10.69</v>
      </c>
      <c r="C38" s="94">
        <v>10.18</v>
      </c>
      <c r="D38" s="94">
        <v>9.68</v>
      </c>
      <c r="E38" s="94">
        <v>9.1999999999999993</v>
      </c>
    </row>
    <row r="39" spans="1:5" x14ac:dyDescent="0.25">
      <c r="A39" s="93">
        <v>30</v>
      </c>
      <c r="B39" s="94">
        <v>10.84</v>
      </c>
      <c r="C39" s="94">
        <v>10.32</v>
      </c>
      <c r="D39" s="94">
        <v>9.82</v>
      </c>
      <c r="E39" s="94">
        <v>9.32</v>
      </c>
    </row>
    <row r="40" spans="1:5" x14ac:dyDescent="0.25">
      <c r="A40" s="93">
        <v>31</v>
      </c>
      <c r="B40" s="94">
        <v>10.99</v>
      </c>
      <c r="C40" s="94">
        <v>10.46</v>
      </c>
      <c r="D40" s="94">
        <v>9.9499999999999993</v>
      </c>
      <c r="E40" s="94">
        <v>9.4499999999999993</v>
      </c>
    </row>
    <row r="41" spans="1:5" x14ac:dyDescent="0.25">
      <c r="A41" s="93">
        <v>32</v>
      </c>
      <c r="B41" s="94">
        <v>11.15</v>
      </c>
      <c r="C41" s="94">
        <v>10.61</v>
      </c>
      <c r="D41" s="94">
        <v>10.09</v>
      </c>
      <c r="E41" s="94">
        <v>9.58</v>
      </c>
    </row>
    <row r="42" spans="1:5" x14ac:dyDescent="0.25">
      <c r="A42" s="93">
        <v>33</v>
      </c>
      <c r="B42" s="94">
        <v>11.3</v>
      </c>
      <c r="C42" s="94">
        <v>10.76</v>
      </c>
      <c r="D42" s="94">
        <v>10.23</v>
      </c>
      <c r="E42" s="94">
        <v>9.7100000000000009</v>
      </c>
    </row>
    <row r="43" spans="1:5" x14ac:dyDescent="0.25">
      <c r="A43" s="93">
        <v>34</v>
      </c>
      <c r="B43" s="94">
        <v>11.46</v>
      </c>
      <c r="C43" s="94">
        <v>10.91</v>
      </c>
      <c r="D43" s="94">
        <v>10.37</v>
      </c>
      <c r="E43" s="94">
        <v>9.84</v>
      </c>
    </row>
    <row r="44" spans="1:5" x14ac:dyDescent="0.25">
      <c r="A44" s="93">
        <v>35</v>
      </c>
      <c r="B44" s="94">
        <v>11.63</v>
      </c>
      <c r="C44" s="94">
        <v>11.06</v>
      </c>
      <c r="D44" s="94">
        <v>10.52</v>
      </c>
      <c r="E44" s="94">
        <v>9.98</v>
      </c>
    </row>
    <row r="45" spans="1:5" x14ac:dyDescent="0.25">
      <c r="A45" s="93">
        <v>36</v>
      </c>
      <c r="B45" s="94">
        <v>11.79</v>
      </c>
      <c r="C45" s="94">
        <v>11.22</v>
      </c>
      <c r="D45" s="94">
        <v>10.66</v>
      </c>
      <c r="E45" s="94">
        <v>10.119999999999999</v>
      </c>
    </row>
    <row r="46" spans="1:5" x14ac:dyDescent="0.25">
      <c r="A46" s="93">
        <v>37</v>
      </c>
      <c r="B46" s="94">
        <v>11.96</v>
      </c>
      <c r="C46" s="94">
        <v>11.38</v>
      </c>
      <c r="D46" s="94">
        <v>10.81</v>
      </c>
      <c r="E46" s="94">
        <v>10.26</v>
      </c>
    </row>
    <row r="47" spans="1:5" x14ac:dyDescent="0.25">
      <c r="A47" s="93">
        <v>38</v>
      </c>
      <c r="B47" s="94">
        <v>12.13</v>
      </c>
      <c r="C47" s="94">
        <v>11.54</v>
      </c>
      <c r="D47" s="94">
        <v>10.96</v>
      </c>
      <c r="E47" s="94">
        <v>10.4</v>
      </c>
    </row>
    <row r="48" spans="1:5" x14ac:dyDescent="0.25">
      <c r="A48" s="93">
        <v>39</v>
      </c>
      <c r="B48" s="94">
        <v>12.31</v>
      </c>
      <c r="C48" s="94">
        <v>11.71</v>
      </c>
      <c r="D48" s="94">
        <v>11.12</v>
      </c>
      <c r="E48" s="94">
        <v>10.55</v>
      </c>
    </row>
    <row r="49" spans="1:5" x14ac:dyDescent="0.25">
      <c r="A49" s="93">
        <v>40</v>
      </c>
      <c r="B49" s="94">
        <v>12.48</v>
      </c>
      <c r="C49" s="94">
        <v>11.87</v>
      </c>
      <c r="D49" s="94">
        <v>11.28</v>
      </c>
      <c r="E49" s="94">
        <v>10.69</v>
      </c>
    </row>
    <row r="50" spans="1:5" x14ac:dyDescent="0.25">
      <c r="A50" s="93">
        <v>41</v>
      </c>
      <c r="B50" s="94">
        <v>12.67</v>
      </c>
      <c r="C50" s="94">
        <v>12.05</v>
      </c>
      <c r="D50" s="94">
        <v>11.44</v>
      </c>
      <c r="E50" s="94">
        <v>10.85</v>
      </c>
    </row>
    <row r="51" spans="1:5" x14ac:dyDescent="0.25">
      <c r="A51" s="93">
        <v>42</v>
      </c>
      <c r="B51" s="94">
        <v>12.85</v>
      </c>
      <c r="C51" s="94">
        <v>12.22</v>
      </c>
      <c r="D51" s="94">
        <v>11.6</v>
      </c>
      <c r="E51" s="94">
        <v>11</v>
      </c>
    </row>
    <row r="52" spans="1:5" x14ac:dyDescent="0.25">
      <c r="A52" s="93">
        <v>43</v>
      </c>
      <c r="B52" s="94">
        <v>13.04</v>
      </c>
      <c r="C52" s="94">
        <v>12.4</v>
      </c>
      <c r="D52" s="94">
        <v>11.77</v>
      </c>
      <c r="E52" s="94">
        <v>11.16</v>
      </c>
    </row>
    <row r="53" spans="1:5" x14ac:dyDescent="0.25">
      <c r="A53" s="93">
        <v>44</v>
      </c>
      <c r="B53" s="94">
        <v>13.24</v>
      </c>
      <c r="C53" s="94">
        <v>12.58</v>
      </c>
      <c r="D53" s="94">
        <v>11.94</v>
      </c>
      <c r="E53" s="94">
        <v>11.32</v>
      </c>
    </row>
    <row r="54" spans="1:5" x14ac:dyDescent="0.25">
      <c r="A54" s="93">
        <v>45</v>
      </c>
      <c r="B54" s="94">
        <v>13.44</v>
      </c>
      <c r="C54" s="94">
        <v>12.77</v>
      </c>
      <c r="D54" s="94">
        <v>12.12</v>
      </c>
      <c r="E54" s="94">
        <v>11.49</v>
      </c>
    </row>
    <row r="55" spans="1:5" x14ac:dyDescent="0.25">
      <c r="A55" s="93">
        <v>46</v>
      </c>
      <c r="B55" s="94">
        <v>13.64</v>
      </c>
      <c r="C55" s="94">
        <v>12.96</v>
      </c>
      <c r="D55" s="94">
        <v>12.3</v>
      </c>
      <c r="E55" s="94">
        <v>11.66</v>
      </c>
    </row>
    <row r="56" spans="1:5" x14ac:dyDescent="0.25">
      <c r="A56" s="93">
        <v>47</v>
      </c>
      <c r="B56" s="94">
        <v>13.85</v>
      </c>
      <c r="C56" s="94">
        <v>13.16</v>
      </c>
      <c r="D56" s="94">
        <v>12.49</v>
      </c>
      <c r="E56" s="94">
        <v>11.83</v>
      </c>
    </row>
    <row r="57" spans="1:5" x14ac:dyDescent="0.25">
      <c r="A57" s="93">
        <v>48</v>
      </c>
      <c r="B57" s="94">
        <v>14.07</v>
      </c>
      <c r="C57" s="94">
        <v>13.37</v>
      </c>
      <c r="D57" s="94">
        <v>12.68</v>
      </c>
      <c r="E57" s="94">
        <v>12.01</v>
      </c>
    </row>
    <row r="58" spans="1:5" x14ac:dyDescent="0.25">
      <c r="A58" s="93">
        <v>49</v>
      </c>
      <c r="B58" s="94">
        <v>14.29</v>
      </c>
      <c r="C58" s="94">
        <v>13.58</v>
      </c>
      <c r="D58" s="94">
        <v>12.88</v>
      </c>
      <c r="E58" s="94">
        <v>12.19</v>
      </c>
    </row>
    <row r="59" spans="1:5" x14ac:dyDescent="0.25">
      <c r="A59" s="93">
        <v>50</v>
      </c>
      <c r="B59" s="94">
        <v>14.52</v>
      </c>
      <c r="C59" s="94">
        <v>13.79</v>
      </c>
      <c r="D59" s="94">
        <v>13.08</v>
      </c>
      <c r="E59" s="94">
        <v>12.38</v>
      </c>
    </row>
    <row r="60" spans="1:5" x14ac:dyDescent="0.25">
      <c r="A60" s="93">
        <v>51</v>
      </c>
      <c r="B60" s="94">
        <v>14.76</v>
      </c>
      <c r="C60" s="94">
        <v>14.01</v>
      </c>
      <c r="D60" s="94">
        <v>13.29</v>
      </c>
      <c r="E60" s="94">
        <v>12.58</v>
      </c>
    </row>
    <row r="61" spans="1:5" x14ac:dyDescent="0.25">
      <c r="A61" s="93">
        <v>52</v>
      </c>
      <c r="B61" s="94">
        <v>15</v>
      </c>
      <c r="C61" s="94">
        <v>14.24</v>
      </c>
      <c r="D61" s="94">
        <v>13.5</v>
      </c>
      <c r="E61" s="94">
        <v>12.78</v>
      </c>
    </row>
    <row r="62" spans="1:5" x14ac:dyDescent="0.25">
      <c r="A62" s="93">
        <v>53</v>
      </c>
      <c r="B62" s="94">
        <v>15.25</v>
      </c>
      <c r="C62" s="94">
        <v>14.48</v>
      </c>
      <c r="D62" s="94">
        <v>13.72</v>
      </c>
      <c r="E62" s="94">
        <v>12.99</v>
      </c>
    </row>
    <row r="63" spans="1:5" x14ac:dyDescent="0.25">
      <c r="A63" s="93">
        <v>54</v>
      </c>
      <c r="B63" s="94">
        <v>15.51</v>
      </c>
      <c r="C63" s="94">
        <v>14.72</v>
      </c>
      <c r="D63" s="94">
        <v>13.95</v>
      </c>
      <c r="E63" s="94">
        <v>13.2</v>
      </c>
    </row>
    <row r="64" spans="1:5" x14ac:dyDescent="0.25">
      <c r="A64" s="93">
        <v>55</v>
      </c>
      <c r="B64" s="94">
        <v>15.77</v>
      </c>
      <c r="C64" s="94">
        <v>14.97</v>
      </c>
      <c r="D64" s="94">
        <v>14.18</v>
      </c>
      <c r="E64" s="94">
        <v>13.42</v>
      </c>
    </row>
    <row r="65" spans="1:5" x14ac:dyDescent="0.25">
      <c r="A65" s="93">
        <v>56</v>
      </c>
      <c r="B65" s="94">
        <v>16.04</v>
      </c>
      <c r="C65" s="94">
        <v>15.22</v>
      </c>
      <c r="D65" s="94">
        <v>14.42</v>
      </c>
      <c r="E65" s="94">
        <v>13.64</v>
      </c>
    </row>
    <row r="66" spans="1:5" x14ac:dyDescent="0.25">
      <c r="A66" s="93">
        <v>57</v>
      </c>
      <c r="B66" s="94">
        <v>16.329999999999998</v>
      </c>
      <c r="C66" s="94">
        <v>15.49</v>
      </c>
      <c r="D66" s="94">
        <v>14.67</v>
      </c>
      <c r="E66" s="94">
        <v>13.88</v>
      </c>
    </row>
    <row r="67" spans="1:5" x14ac:dyDescent="0.25">
      <c r="A67" s="93">
        <v>58</v>
      </c>
      <c r="B67" s="94">
        <v>16.62</v>
      </c>
      <c r="C67" s="94">
        <v>15.77</v>
      </c>
      <c r="D67" s="94">
        <v>14.93</v>
      </c>
      <c r="E67" s="94">
        <v>14.12</v>
      </c>
    </row>
    <row r="68" spans="1:5" x14ac:dyDescent="0.25">
      <c r="A68" s="93">
        <v>59</v>
      </c>
      <c r="B68" s="94">
        <v>16.920000000000002</v>
      </c>
      <c r="C68" s="94">
        <v>16.05</v>
      </c>
      <c r="D68" s="94">
        <v>15.2</v>
      </c>
      <c r="E68" s="94">
        <v>14.37</v>
      </c>
    </row>
    <row r="69" spans="1:5" x14ac:dyDescent="0.25">
      <c r="A69" s="93">
        <v>60</v>
      </c>
      <c r="B69" s="94">
        <v>17.239999999999998</v>
      </c>
      <c r="C69" s="94">
        <v>16.350000000000001</v>
      </c>
      <c r="D69" s="94">
        <v>15.48</v>
      </c>
      <c r="E69" s="94">
        <v>14.63</v>
      </c>
    </row>
    <row r="70" spans="1:5" x14ac:dyDescent="0.25">
      <c r="A70" s="93">
        <v>61</v>
      </c>
      <c r="B70" s="94">
        <v>17.57</v>
      </c>
      <c r="C70" s="94">
        <v>16.66</v>
      </c>
      <c r="D70" s="94">
        <v>15.77</v>
      </c>
      <c r="E70" s="94">
        <v>14.91</v>
      </c>
    </row>
    <row r="71" spans="1:5" x14ac:dyDescent="0.25">
      <c r="A71" s="93">
        <v>62</v>
      </c>
      <c r="B71" s="94">
        <v>17.91</v>
      </c>
      <c r="C71" s="94">
        <v>16.98</v>
      </c>
      <c r="D71" s="94">
        <v>16.07</v>
      </c>
      <c r="E71" s="94">
        <v>15.19</v>
      </c>
    </row>
    <row r="72" spans="1:5" x14ac:dyDescent="0.25">
      <c r="A72" s="93">
        <v>63</v>
      </c>
      <c r="B72" s="94">
        <v>18.27</v>
      </c>
      <c r="C72" s="94">
        <v>17.32</v>
      </c>
      <c r="D72" s="94">
        <v>16.39</v>
      </c>
      <c r="E72" s="94">
        <v>15.48</v>
      </c>
    </row>
    <row r="73" spans="1:5" x14ac:dyDescent="0.25">
      <c r="A73" s="93">
        <v>64</v>
      </c>
      <c r="B73" s="94">
        <v>18.64</v>
      </c>
      <c r="C73" s="94">
        <v>17.670000000000002</v>
      </c>
      <c r="D73" s="94">
        <v>16.72</v>
      </c>
      <c r="E73" s="94">
        <v>15.8</v>
      </c>
    </row>
    <row r="74" spans="1:5" x14ac:dyDescent="0.25">
      <c r="A74" s="93">
        <v>65</v>
      </c>
      <c r="B74" s="94">
        <v>18.52</v>
      </c>
      <c r="C74" s="94">
        <v>18.04</v>
      </c>
      <c r="D74" s="94">
        <v>17.07</v>
      </c>
      <c r="E74" s="94">
        <v>16.12</v>
      </c>
    </row>
    <row r="75" spans="1:5" x14ac:dyDescent="0.25">
      <c r="A75" s="93">
        <v>66</v>
      </c>
      <c r="B75" s="94">
        <v>17.88</v>
      </c>
      <c r="C75" s="94">
        <v>17.91</v>
      </c>
      <c r="D75" s="94">
        <v>17.440000000000001</v>
      </c>
      <c r="E75" s="94">
        <v>16.47</v>
      </c>
    </row>
    <row r="76" spans="1:5" x14ac:dyDescent="0.25">
      <c r="A76" s="93">
        <v>67</v>
      </c>
      <c r="B76" s="94">
        <v>17.239999999999998</v>
      </c>
      <c r="C76" s="94">
        <v>17.27</v>
      </c>
      <c r="D76" s="94">
        <v>17.3</v>
      </c>
      <c r="E76" s="94">
        <v>16.829999999999998</v>
      </c>
    </row>
    <row r="77" spans="1:5" x14ac:dyDescent="0.25">
      <c r="A77" s="93">
        <v>68</v>
      </c>
      <c r="B77" s="94">
        <v>16.61</v>
      </c>
      <c r="C77" s="94">
        <v>16.63</v>
      </c>
      <c r="D77" s="94">
        <v>16.649999999999999</v>
      </c>
      <c r="E77" s="94">
        <v>16.690000000000001</v>
      </c>
    </row>
    <row r="78" spans="1:5" x14ac:dyDescent="0.25">
      <c r="A78" s="93">
        <v>69</v>
      </c>
      <c r="B78" s="94">
        <v>15.98</v>
      </c>
      <c r="C78" s="94">
        <v>15.99</v>
      </c>
      <c r="D78" s="94">
        <v>16.010000000000002</v>
      </c>
      <c r="E78" s="94">
        <v>16.04</v>
      </c>
    </row>
    <row r="79" spans="1:5" x14ac:dyDescent="0.25">
      <c r="A79" s="93">
        <v>70</v>
      </c>
      <c r="B79" s="94">
        <v>15.35</v>
      </c>
      <c r="C79" s="94">
        <v>15.35</v>
      </c>
      <c r="D79" s="94">
        <v>15.36</v>
      </c>
      <c r="E79" s="94">
        <v>15.38</v>
      </c>
    </row>
    <row r="80" spans="1:5" x14ac:dyDescent="0.25">
      <c r="A80" s="93">
        <v>71</v>
      </c>
      <c r="B80" s="94">
        <v>14.72</v>
      </c>
      <c r="C80" s="94">
        <v>14.72</v>
      </c>
      <c r="D80" s="94">
        <v>14.73</v>
      </c>
      <c r="E80" s="94">
        <v>14.74</v>
      </c>
    </row>
    <row r="81" spans="1:5" x14ac:dyDescent="0.25">
      <c r="A81" s="93">
        <v>72</v>
      </c>
      <c r="B81" s="94">
        <v>14.1</v>
      </c>
      <c r="C81" s="94">
        <v>14.1</v>
      </c>
      <c r="D81" s="94">
        <v>14.1</v>
      </c>
      <c r="E81" s="94">
        <v>14.1</v>
      </c>
    </row>
    <row r="82" spans="1:5" x14ac:dyDescent="0.25">
      <c r="A82" s="93">
        <v>73</v>
      </c>
      <c r="B82" s="94">
        <v>13.48</v>
      </c>
      <c r="C82" s="94">
        <v>13.48</v>
      </c>
      <c r="D82" s="94">
        <v>13.48</v>
      </c>
      <c r="E82" s="94">
        <v>13.48</v>
      </c>
    </row>
    <row r="83" spans="1:5" x14ac:dyDescent="0.25">
      <c r="A83" s="93">
        <v>74</v>
      </c>
      <c r="B83" s="94">
        <v>12.86</v>
      </c>
      <c r="C83" s="94">
        <v>12.86</v>
      </c>
      <c r="D83" s="94">
        <v>12.86</v>
      </c>
      <c r="E83" s="94">
        <v>12.86</v>
      </c>
    </row>
    <row r="84" spans="1:5" x14ac:dyDescent="0.25">
      <c r="A84" s="93">
        <v>75</v>
      </c>
      <c r="B84" s="94">
        <v>12.24</v>
      </c>
      <c r="C84" s="94">
        <v>12.24</v>
      </c>
      <c r="D84" s="94">
        <v>12.24</v>
      </c>
      <c r="E84" s="94">
        <v>12.24</v>
      </c>
    </row>
    <row r="85" spans="1:5" x14ac:dyDescent="0.25">
      <c r="A85" s="93">
        <v>76</v>
      </c>
      <c r="B85" s="94">
        <v>11.63</v>
      </c>
      <c r="C85" s="94">
        <v>11.63</v>
      </c>
      <c r="D85" s="94">
        <v>11.63</v>
      </c>
      <c r="E85" s="94">
        <v>11.63</v>
      </c>
    </row>
    <row r="86" spans="1:5" x14ac:dyDescent="0.25">
      <c r="A86" s="93">
        <v>77</v>
      </c>
      <c r="B86" s="94">
        <v>11.02</v>
      </c>
      <c r="C86" s="94">
        <v>11.02</v>
      </c>
      <c r="D86" s="94">
        <v>11.02</v>
      </c>
      <c r="E86" s="94">
        <v>11.02</v>
      </c>
    </row>
    <row r="87" spans="1:5" x14ac:dyDescent="0.25">
      <c r="A87" s="93">
        <v>78</v>
      </c>
      <c r="B87" s="94">
        <v>10.42</v>
      </c>
      <c r="C87" s="94">
        <v>10.42</v>
      </c>
      <c r="D87" s="94">
        <v>10.42</v>
      </c>
      <c r="E87" s="94">
        <v>10.42</v>
      </c>
    </row>
    <row r="88" spans="1:5" x14ac:dyDescent="0.25">
      <c r="A88" s="93">
        <v>79</v>
      </c>
      <c r="B88" s="94">
        <v>9.83</v>
      </c>
      <c r="C88" s="94">
        <v>9.83</v>
      </c>
      <c r="D88" s="94">
        <v>9.83</v>
      </c>
      <c r="E88" s="94">
        <v>9.83</v>
      </c>
    </row>
    <row r="89" spans="1:5" x14ac:dyDescent="0.25">
      <c r="A89" s="93">
        <v>80</v>
      </c>
      <c r="B89" s="94">
        <v>9.26</v>
      </c>
      <c r="C89" s="94">
        <v>9.26</v>
      </c>
      <c r="D89" s="94">
        <v>9.26</v>
      </c>
      <c r="E89" s="94">
        <v>9.26</v>
      </c>
    </row>
    <row r="90" spans="1:5" x14ac:dyDescent="0.25">
      <c r="A90" s="93">
        <v>81</v>
      </c>
      <c r="B90" s="94">
        <v>8.69</v>
      </c>
      <c r="C90" s="94">
        <v>8.69</v>
      </c>
      <c r="D90" s="94">
        <v>8.69</v>
      </c>
      <c r="E90" s="94">
        <v>8.69</v>
      </c>
    </row>
    <row r="91" spans="1:5" x14ac:dyDescent="0.25">
      <c r="A91" s="93">
        <v>82</v>
      </c>
      <c r="B91" s="94">
        <v>8.14</v>
      </c>
      <c r="C91" s="94">
        <v>8.14</v>
      </c>
      <c r="D91" s="94">
        <v>8.14</v>
      </c>
      <c r="E91" s="94">
        <v>8.14</v>
      </c>
    </row>
    <row r="92" spans="1:5" x14ac:dyDescent="0.25">
      <c r="A92" s="93">
        <v>83</v>
      </c>
      <c r="B92" s="94">
        <v>7.6</v>
      </c>
      <c r="C92" s="94">
        <v>7.6</v>
      </c>
      <c r="D92" s="94">
        <v>7.6</v>
      </c>
      <c r="E92" s="94">
        <v>7.6</v>
      </c>
    </row>
    <row r="93" spans="1:5" x14ac:dyDescent="0.25">
      <c r="A93" s="93">
        <v>84</v>
      </c>
      <c r="B93" s="94">
        <v>7.08</v>
      </c>
      <c r="C93" s="94">
        <v>7.08</v>
      </c>
      <c r="D93" s="94">
        <v>7.08</v>
      </c>
      <c r="E93" s="94">
        <v>7.08</v>
      </c>
    </row>
    <row r="94" spans="1:5" x14ac:dyDescent="0.25">
      <c r="A94" s="93">
        <v>85</v>
      </c>
      <c r="B94" s="94">
        <v>6.58</v>
      </c>
      <c r="C94" s="94">
        <v>6.58</v>
      </c>
      <c r="D94" s="94">
        <v>6.58</v>
      </c>
      <c r="E94" s="94">
        <v>6.58</v>
      </c>
    </row>
  </sheetData>
  <sheetProtection algorithmName="SHA-512" hashValue="ff74eOCdqM9W9PFrFdGCWlsgRCB7g8XZ8FHQV/h3ZFizw3FyIK6Gp+krl+MOq1ZwdPhcURmdK7QD5jzTYelSDA==" saltValue="0rY20wtZ1nKMsiLZj4f+sw==" spinCount="100000" sheet="1" objects="1" scenarios="1"/>
  <conditionalFormatting sqref="A6:A21">
    <cfRule type="expression" dxfId="577" priority="19" stopIfTrue="1">
      <formula>MOD(ROW(),2)=0</formula>
    </cfRule>
    <cfRule type="expression" dxfId="576" priority="20" stopIfTrue="1">
      <formula>MOD(ROW(),2)&lt;&gt;0</formula>
    </cfRule>
  </conditionalFormatting>
  <conditionalFormatting sqref="A26:A94">
    <cfRule type="expression" dxfId="575" priority="11" stopIfTrue="1">
      <formula>MOD(ROW(),2)=0</formula>
    </cfRule>
    <cfRule type="expression" dxfId="574" priority="12" stopIfTrue="1">
      <formula>MOD(ROW(),2)&lt;&gt;0</formula>
    </cfRule>
  </conditionalFormatting>
  <conditionalFormatting sqref="B6:E21">
    <cfRule type="expression" dxfId="573" priority="29" stopIfTrue="1">
      <formula>MOD(ROW(),2)=0</formula>
    </cfRule>
    <cfRule type="expression" dxfId="572" priority="30" stopIfTrue="1">
      <formula>MOD(ROW(),2)&lt;&gt;0</formula>
    </cfRule>
  </conditionalFormatting>
  <conditionalFormatting sqref="B17:E21">
    <cfRule type="expression" dxfId="571" priority="1" stopIfTrue="1">
      <formula>MOD(ROW(),2)=0</formula>
    </cfRule>
    <cfRule type="expression" dxfId="570" priority="2" stopIfTrue="1">
      <formula>MOD(ROW(),2)&lt;&gt;0</formula>
    </cfRule>
  </conditionalFormatting>
  <conditionalFormatting sqref="B26:E94">
    <cfRule type="expression" dxfId="569" priority="13" stopIfTrue="1">
      <formula>MOD(ROW(),2)=0</formula>
    </cfRule>
    <cfRule type="expression" dxfId="568"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Pension Debit - x-318</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1992</v>
      </c>
      <c r="C8" s="152"/>
      <c r="D8" s="152"/>
      <c r="E8" s="152"/>
      <c r="F8" s="152"/>
      <c r="G8" s="152"/>
      <c r="H8" s="152"/>
      <c r="I8" s="152"/>
      <c r="J8" s="152"/>
      <c r="K8" s="152"/>
    </row>
    <row r="9" spans="1:11" x14ac:dyDescent="0.25">
      <c r="A9" s="79" t="s">
        <v>307</v>
      </c>
      <c r="B9" s="152" t="s">
        <v>402</v>
      </c>
      <c r="C9" s="152"/>
      <c r="D9" s="152"/>
      <c r="E9" s="152"/>
      <c r="F9" s="152"/>
      <c r="G9" s="152"/>
      <c r="H9" s="152"/>
      <c r="I9" s="152"/>
      <c r="J9" s="152"/>
      <c r="K9" s="152"/>
    </row>
    <row r="10" spans="1:11" ht="12.6" customHeight="1" x14ac:dyDescent="0.25">
      <c r="A10" s="79" t="s">
        <v>233</v>
      </c>
      <c r="B10" s="152" t="s">
        <v>403</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ht="12.6" customHeight="1" x14ac:dyDescent="0.25">
      <c r="A12" s="79" t="s">
        <v>309</v>
      </c>
      <c r="B12" s="152" t="s">
        <v>405</v>
      </c>
      <c r="C12" s="152"/>
      <c r="D12" s="152"/>
      <c r="E12" s="152"/>
      <c r="F12" s="152"/>
      <c r="G12" s="152"/>
      <c r="H12" s="152"/>
      <c r="I12" s="152"/>
      <c r="J12" s="152"/>
      <c r="K12" s="152"/>
    </row>
    <row r="13" spans="1:11" ht="12.6" customHeight="1" x14ac:dyDescent="0.25">
      <c r="A13" s="79" t="s">
        <v>566</v>
      </c>
      <c r="B13" s="152">
        <v>2</v>
      </c>
      <c r="C13" s="152"/>
      <c r="D13" s="152"/>
      <c r="E13" s="152"/>
      <c r="F13" s="152"/>
      <c r="G13" s="152"/>
      <c r="H13" s="152"/>
      <c r="I13" s="152"/>
      <c r="J13" s="152"/>
      <c r="K13" s="152"/>
    </row>
    <row r="14" spans="1:11" ht="12.6" customHeight="1" x14ac:dyDescent="0.25">
      <c r="A14" s="79" t="s">
        <v>311</v>
      </c>
      <c r="B14" s="152">
        <v>318</v>
      </c>
      <c r="C14" s="152"/>
      <c r="D14" s="152"/>
      <c r="E14" s="152"/>
      <c r="F14" s="152"/>
      <c r="G14" s="152"/>
      <c r="H14" s="152"/>
      <c r="I14" s="152"/>
      <c r="J14" s="152"/>
      <c r="K14" s="152"/>
    </row>
    <row r="15" spans="1:11" x14ac:dyDescent="0.25">
      <c r="A15" s="79" t="s">
        <v>569</v>
      </c>
      <c r="B15" s="152" t="s">
        <v>406</v>
      </c>
      <c r="C15" s="152"/>
      <c r="D15" s="152"/>
      <c r="E15" s="152"/>
      <c r="F15" s="152"/>
      <c r="G15" s="152"/>
      <c r="H15" s="152"/>
      <c r="I15" s="152"/>
      <c r="J15" s="152"/>
      <c r="K15" s="152"/>
    </row>
    <row r="16" spans="1:11" ht="12.6" customHeight="1" x14ac:dyDescent="0.25">
      <c r="A16" s="79" t="s">
        <v>313</v>
      </c>
      <c r="B16" s="152" t="s">
        <v>407</v>
      </c>
      <c r="C16" s="152"/>
      <c r="D16" s="152"/>
      <c r="E16" s="152"/>
      <c r="F16" s="152"/>
      <c r="G16" s="152"/>
      <c r="H16" s="152"/>
      <c r="I16" s="152"/>
      <c r="J16" s="152"/>
      <c r="K16" s="152"/>
    </row>
    <row r="17" spans="1:11" ht="71.099999999999994" customHeight="1" x14ac:dyDescent="0.25">
      <c r="A17" s="79" t="s">
        <v>639</v>
      </c>
      <c r="B17" s="152"/>
      <c r="C17" s="152"/>
      <c r="D17" s="152"/>
      <c r="E17" s="152"/>
      <c r="F17" s="152"/>
      <c r="G17" s="152"/>
      <c r="H17" s="152"/>
      <c r="I17" s="152"/>
      <c r="J17" s="152"/>
      <c r="K17" s="152"/>
    </row>
    <row r="18" spans="1:11" x14ac:dyDescent="0.25">
      <c r="A18" s="79" t="s">
        <v>315</v>
      </c>
      <c r="B18" s="154">
        <v>45070</v>
      </c>
      <c r="C18" s="152"/>
      <c r="D18" s="152"/>
      <c r="E18" s="152"/>
      <c r="F18" s="152"/>
      <c r="G18" s="152"/>
      <c r="H18" s="152"/>
      <c r="I18" s="152"/>
      <c r="J18" s="152"/>
      <c r="K18" s="152"/>
    </row>
    <row r="19" spans="1:11" x14ac:dyDescent="0.25">
      <c r="A19" s="79" t="s">
        <v>316</v>
      </c>
      <c r="B19" s="154">
        <v>45014</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50</v>
      </c>
      <c r="C26" s="92">
        <v>51</v>
      </c>
      <c r="D26" s="92">
        <v>52</v>
      </c>
      <c r="E26" s="92">
        <v>53</v>
      </c>
      <c r="F26" s="92">
        <v>54</v>
      </c>
      <c r="G26" s="92">
        <v>55</v>
      </c>
      <c r="H26" s="92">
        <v>56</v>
      </c>
      <c r="I26" s="92">
        <v>57</v>
      </c>
      <c r="J26" s="92">
        <v>58</v>
      </c>
      <c r="K26" s="92">
        <v>59</v>
      </c>
    </row>
    <row r="27" spans="1:11" x14ac:dyDescent="0.25">
      <c r="A27" s="93">
        <v>0</v>
      </c>
      <c r="B27" s="95">
        <v>0.66300000000000003</v>
      </c>
      <c r="C27" s="95">
        <v>0.68600000000000005</v>
      </c>
      <c r="D27" s="95">
        <v>0.71099999999999997</v>
      </c>
      <c r="E27" s="95">
        <v>0.73799999999999999</v>
      </c>
      <c r="F27" s="95">
        <v>0.76800000000000002</v>
      </c>
      <c r="G27" s="95">
        <v>0.8</v>
      </c>
      <c r="H27" s="95">
        <v>0.83399999999999996</v>
      </c>
      <c r="I27" s="95">
        <v>0.871</v>
      </c>
      <c r="J27" s="95">
        <v>0.91100000000000003</v>
      </c>
      <c r="K27" s="95">
        <v>0.95399999999999996</v>
      </c>
    </row>
    <row r="28" spans="1:11" x14ac:dyDescent="0.25">
      <c r="A28" s="93">
        <v>1</v>
      </c>
      <c r="B28" s="95">
        <v>0.66500000000000004</v>
      </c>
      <c r="C28" s="95">
        <v>0.68799999999999994</v>
      </c>
      <c r="D28" s="95">
        <v>0.71399999999999997</v>
      </c>
      <c r="E28" s="95">
        <v>0.74099999999999999</v>
      </c>
      <c r="F28" s="95">
        <v>0.77</v>
      </c>
      <c r="G28" s="95">
        <v>0.80200000000000005</v>
      </c>
      <c r="H28" s="95">
        <v>0.83699999999999997</v>
      </c>
      <c r="I28" s="95">
        <v>0.874</v>
      </c>
      <c r="J28" s="95">
        <v>0.91400000000000003</v>
      </c>
      <c r="K28" s="95">
        <v>0.95799999999999996</v>
      </c>
    </row>
    <row r="29" spans="1:11" x14ac:dyDescent="0.25">
      <c r="A29" s="93">
        <v>2</v>
      </c>
      <c r="B29" s="95">
        <v>0.66700000000000004</v>
      </c>
      <c r="C29" s="95">
        <v>0.69</v>
      </c>
      <c r="D29" s="95">
        <v>0.71599999999999997</v>
      </c>
      <c r="E29" s="95">
        <v>0.74299999999999999</v>
      </c>
      <c r="F29" s="95">
        <v>0.77300000000000002</v>
      </c>
      <c r="G29" s="95">
        <v>0.80500000000000005</v>
      </c>
      <c r="H29" s="95">
        <v>0.84</v>
      </c>
      <c r="I29" s="95">
        <v>0.878</v>
      </c>
      <c r="J29" s="95">
        <v>0.91800000000000004</v>
      </c>
      <c r="K29" s="95">
        <v>0.96099999999999997</v>
      </c>
    </row>
    <row r="30" spans="1:11" x14ac:dyDescent="0.25">
      <c r="A30" s="93">
        <v>3</v>
      </c>
      <c r="B30" s="95">
        <v>0.66900000000000004</v>
      </c>
      <c r="C30" s="95">
        <v>0.69299999999999995</v>
      </c>
      <c r="D30" s="95">
        <v>0.71799999999999997</v>
      </c>
      <c r="E30" s="95">
        <v>0.746</v>
      </c>
      <c r="F30" s="95">
        <v>0.77600000000000002</v>
      </c>
      <c r="G30" s="95">
        <v>0.80800000000000005</v>
      </c>
      <c r="H30" s="95">
        <v>0.84299999999999997</v>
      </c>
      <c r="I30" s="95">
        <v>0.88100000000000001</v>
      </c>
      <c r="J30" s="95">
        <v>0.92200000000000004</v>
      </c>
      <c r="K30" s="95">
        <v>0.96499999999999997</v>
      </c>
    </row>
    <row r="31" spans="1:11" x14ac:dyDescent="0.25">
      <c r="A31" s="93">
        <v>4</v>
      </c>
      <c r="B31" s="95">
        <v>0.67100000000000004</v>
      </c>
      <c r="C31" s="95">
        <v>0.69499999999999995</v>
      </c>
      <c r="D31" s="95">
        <v>0.72</v>
      </c>
      <c r="E31" s="95">
        <v>0.748</v>
      </c>
      <c r="F31" s="95">
        <v>0.77800000000000002</v>
      </c>
      <c r="G31" s="95">
        <v>0.81100000000000005</v>
      </c>
      <c r="H31" s="95">
        <v>0.84599999999999997</v>
      </c>
      <c r="I31" s="95">
        <v>0.88400000000000001</v>
      </c>
      <c r="J31" s="95">
        <v>0.92500000000000004</v>
      </c>
      <c r="K31" s="95">
        <v>0.96899999999999997</v>
      </c>
    </row>
    <row r="32" spans="1:11" x14ac:dyDescent="0.25">
      <c r="A32" s="93">
        <v>5</v>
      </c>
      <c r="B32" s="95">
        <v>0.67300000000000004</v>
      </c>
      <c r="C32" s="95">
        <v>0.69699999999999995</v>
      </c>
      <c r="D32" s="95">
        <v>0.72299999999999998</v>
      </c>
      <c r="E32" s="95">
        <v>0.751</v>
      </c>
      <c r="F32" s="95">
        <v>0.78100000000000003</v>
      </c>
      <c r="G32" s="95">
        <v>0.81399999999999995</v>
      </c>
      <c r="H32" s="95">
        <v>0.84899999999999998</v>
      </c>
      <c r="I32" s="95">
        <v>0.88800000000000001</v>
      </c>
      <c r="J32" s="95">
        <v>0.92900000000000005</v>
      </c>
      <c r="K32" s="95">
        <v>0.97299999999999998</v>
      </c>
    </row>
    <row r="33" spans="1:11" x14ac:dyDescent="0.25">
      <c r="A33" s="93">
        <v>6</v>
      </c>
      <c r="B33" s="95">
        <v>0.67500000000000004</v>
      </c>
      <c r="C33" s="95">
        <v>0.69899999999999995</v>
      </c>
      <c r="D33" s="95">
        <v>0.72499999999999998</v>
      </c>
      <c r="E33" s="95">
        <v>0.753</v>
      </c>
      <c r="F33" s="95">
        <v>0.78400000000000003</v>
      </c>
      <c r="G33" s="95">
        <v>0.81699999999999995</v>
      </c>
      <c r="H33" s="95">
        <v>0.85299999999999998</v>
      </c>
      <c r="I33" s="95">
        <v>0.89100000000000001</v>
      </c>
      <c r="J33" s="95">
        <v>0.93200000000000005</v>
      </c>
      <c r="K33" s="95">
        <v>0.97699999999999998</v>
      </c>
    </row>
    <row r="34" spans="1:11" x14ac:dyDescent="0.25">
      <c r="A34" s="93">
        <v>7</v>
      </c>
      <c r="B34" s="95">
        <v>0.67700000000000005</v>
      </c>
      <c r="C34" s="95">
        <v>0.70099999999999996</v>
      </c>
      <c r="D34" s="95">
        <v>0.72699999999999998</v>
      </c>
      <c r="E34" s="95">
        <v>0.755</v>
      </c>
      <c r="F34" s="95">
        <v>0.78600000000000003</v>
      </c>
      <c r="G34" s="95">
        <v>0.82</v>
      </c>
      <c r="H34" s="95">
        <v>0.85599999999999998</v>
      </c>
      <c r="I34" s="95">
        <v>0.89400000000000002</v>
      </c>
      <c r="J34" s="95">
        <v>0.93600000000000005</v>
      </c>
      <c r="K34" s="95">
        <v>0.98099999999999998</v>
      </c>
    </row>
    <row r="35" spans="1:11" x14ac:dyDescent="0.25">
      <c r="A35" s="93">
        <v>8</v>
      </c>
      <c r="B35" s="95">
        <v>0.67900000000000005</v>
      </c>
      <c r="C35" s="95">
        <v>0.70299999999999996</v>
      </c>
      <c r="D35" s="95">
        <v>0.72899999999999998</v>
      </c>
      <c r="E35" s="95">
        <v>0.75800000000000001</v>
      </c>
      <c r="F35" s="95">
        <v>0.78900000000000003</v>
      </c>
      <c r="G35" s="95">
        <v>0.82299999999999995</v>
      </c>
      <c r="H35" s="95">
        <v>0.85899999999999999</v>
      </c>
      <c r="I35" s="95">
        <v>0.89800000000000002</v>
      </c>
      <c r="J35" s="95">
        <v>0.93899999999999995</v>
      </c>
      <c r="K35" s="95">
        <v>0.98499999999999999</v>
      </c>
    </row>
    <row r="36" spans="1:11" x14ac:dyDescent="0.25">
      <c r="A36" s="93">
        <v>9</v>
      </c>
      <c r="B36" s="95">
        <v>0.68100000000000005</v>
      </c>
      <c r="C36" s="95">
        <v>0.70499999999999996</v>
      </c>
      <c r="D36" s="95">
        <v>0.73199999999999998</v>
      </c>
      <c r="E36" s="95">
        <v>0.76</v>
      </c>
      <c r="F36" s="95">
        <v>0.79200000000000004</v>
      </c>
      <c r="G36" s="95">
        <v>0.82499999999999996</v>
      </c>
      <c r="H36" s="95">
        <v>0.86199999999999999</v>
      </c>
      <c r="I36" s="95">
        <v>0.90100000000000002</v>
      </c>
      <c r="J36" s="95">
        <v>0.94299999999999995</v>
      </c>
      <c r="K36" s="95">
        <v>0.98799999999999999</v>
      </c>
    </row>
    <row r="37" spans="1:11" x14ac:dyDescent="0.25">
      <c r="A37" s="93">
        <v>10</v>
      </c>
      <c r="B37" s="95">
        <v>0.68200000000000005</v>
      </c>
      <c r="C37" s="95">
        <v>0.70699999999999996</v>
      </c>
      <c r="D37" s="95">
        <v>0.73399999999999999</v>
      </c>
      <c r="E37" s="95">
        <v>0.76300000000000001</v>
      </c>
      <c r="F37" s="95">
        <v>0.79400000000000004</v>
      </c>
      <c r="G37" s="95">
        <v>0.82799999999999996</v>
      </c>
      <c r="H37" s="95">
        <v>0.86499999999999999</v>
      </c>
      <c r="I37" s="95">
        <v>0.90400000000000003</v>
      </c>
      <c r="J37" s="95">
        <v>0.94699999999999995</v>
      </c>
      <c r="K37" s="95">
        <v>0.99199999999999999</v>
      </c>
    </row>
    <row r="38" spans="1:11" x14ac:dyDescent="0.25">
      <c r="A38" s="93">
        <v>11</v>
      </c>
      <c r="B38" s="95">
        <v>0.68400000000000005</v>
      </c>
      <c r="C38" s="95">
        <v>0.70899999999999996</v>
      </c>
      <c r="D38" s="95">
        <v>0.73599999999999999</v>
      </c>
      <c r="E38" s="95">
        <v>0.76500000000000001</v>
      </c>
      <c r="F38" s="95">
        <v>0.79700000000000004</v>
      </c>
      <c r="G38" s="95">
        <v>0.83099999999999996</v>
      </c>
      <c r="H38" s="95">
        <v>0.86799999999999999</v>
      </c>
      <c r="I38" s="95">
        <v>0.90800000000000003</v>
      </c>
      <c r="J38" s="95">
        <v>0.95</v>
      </c>
      <c r="K38" s="95">
        <v>0.996</v>
      </c>
    </row>
    <row r="44" spans="1:11" ht="39.6" customHeight="1" x14ac:dyDescent="0.25"/>
    <row r="46" spans="1:11" ht="27.6" customHeight="1" x14ac:dyDescent="0.25"/>
  </sheetData>
  <sheetProtection algorithmName="SHA-512" hashValue="67nfxcCv29DOsOpYo9pA642fbPCDxLEMT2JcyCK8YjvZerGfcsJYHOaMYOy55DcD4H/zkk1dQf7sf+ul0KxNsw==" saltValue="VYdm2lYyGFw1ileji9eeSg==" spinCount="100000" sheet="1" objects="1" scenarios="1"/>
  <conditionalFormatting sqref="A6:A21">
    <cfRule type="expression" dxfId="567" priority="21" stopIfTrue="1">
      <formula>MOD(ROW(),2)=0</formula>
    </cfRule>
    <cfRule type="expression" dxfId="566" priority="22" stopIfTrue="1">
      <formula>MOD(ROW(),2)&lt;&gt;0</formula>
    </cfRule>
  </conditionalFormatting>
  <conditionalFormatting sqref="A26:A38">
    <cfRule type="expression" dxfId="565" priority="13" stopIfTrue="1">
      <formula>MOD(ROW(),2)=0</formula>
    </cfRule>
    <cfRule type="expression" dxfId="564" priority="14" stopIfTrue="1">
      <formula>MOD(ROW(),2)&lt;&gt;0</formula>
    </cfRule>
  </conditionalFormatting>
  <conditionalFormatting sqref="B6:K21">
    <cfRule type="expression" dxfId="563" priority="33" stopIfTrue="1">
      <formula>MOD(ROW(),2)=0</formula>
    </cfRule>
    <cfRule type="expression" dxfId="562" priority="34" stopIfTrue="1">
      <formula>MOD(ROW(),2)&lt;&gt;0</formula>
    </cfRule>
  </conditionalFormatting>
  <conditionalFormatting sqref="B17:K21">
    <cfRule type="expression" dxfId="561" priority="1" stopIfTrue="1">
      <formula>MOD(ROW(),2)=0</formula>
    </cfRule>
    <cfRule type="expression" dxfId="560" priority="2" stopIfTrue="1">
      <formula>MOD(ROW(),2)&lt;&gt;0</formula>
    </cfRule>
  </conditionalFormatting>
  <conditionalFormatting sqref="B26:K38">
    <cfRule type="expression" dxfId="559" priority="15" stopIfTrue="1">
      <formula>MOD(ROW(),2)=0</formula>
    </cfRule>
    <cfRule type="expression" dxfId="558"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6"/>
  <sheetViews>
    <sheetView showGridLines="0" zoomScale="85" zoomScaleNormal="85" workbookViewId="0">
      <selection activeCell="A4" sqref="A4"/>
    </sheetView>
  </sheetViews>
  <sheetFormatPr defaultColWidth="10" defaultRowHeight="13.2" x14ac:dyDescent="0.25"/>
  <cols>
    <col min="1" max="1" width="31.77734375" style="27" customWidth="1"/>
    <col min="2" max="7" width="22.77734375" style="27" customWidth="1"/>
    <col min="8"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Pension Debit - x-319</v>
      </c>
      <c r="B3" s="43"/>
      <c r="C3" s="43"/>
      <c r="D3" s="43"/>
      <c r="E3" s="43"/>
      <c r="F3" s="43"/>
      <c r="G3" s="43"/>
    </row>
    <row r="4" spans="1:7" x14ac:dyDescent="0.25">
      <c r="A4" s="45"/>
    </row>
    <row r="6" spans="1:7" x14ac:dyDescent="0.25">
      <c r="A6" s="77" t="s">
        <v>558</v>
      </c>
      <c r="B6" s="152" t="s">
        <v>559</v>
      </c>
      <c r="C6" s="152"/>
      <c r="D6" s="152"/>
      <c r="E6" s="152"/>
      <c r="F6" s="152"/>
      <c r="G6" s="152"/>
    </row>
    <row r="7" spans="1:7" x14ac:dyDescent="0.25">
      <c r="A7" s="79" t="s">
        <v>305</v>
      </c>
      <c r="B7" s="152" t="s">
        <v>319</v>
      </c>
      <c r="C7" s="152"/>
      <c r="D7" s="152"/>
      <c r="E7" s="152"/>
      <c r="F7" s="152"/>
      <c r="G7" s="152"/>
    </row>
    <row r="8" spans="1:7" x14ac:dyDescent="0.25">
      <c r="A8" s="79" t="s">
        <v>306</v>
      </c>
      <c r="B8" s="152">
        <v>1992</v>
      </c>
      <c r="C8" s="152"/>
      <c r="D8" s="152"/>
      <c r="E8" s="152"/>
      <c r="F8" s="152"/>
      <c r="G8" s="152"/>
    </row>
    <row r="9" spans="1:7" x14ac:dyDescent="0.25">
      <c r="A9" s="79" t="s">
        <v>307</v>
      </c>
      <c r="B9" s="152" t="s">
        <v>402</v>
      </c>
      <c r="C9" s="152"/>
      <c r="D9" s="152"/>
      <c r="E9" s="152"/>
      <c r="F9" s="152"/>
      <c r="G9" s="152"/>
    </row>
    <row r="10" spans="1:7" x14ac:dyDescent="0.25">
      <c r="A10" s="79" t="s">
        <v>233</v>
      </c>
      <c r="B10" s="152" t="s">
        <v>408</v>
      </c>
      <c r="C10" s="152"/>
      <c r="D10" s="152"/>
      <c r="E10" s="152"/>
      <c r="F10" s="152"/>
      <c r="G10" s="152"/>
    </row>
    <row r="11" spans="1:7" x14ac:dyDescent="0.25">
      <c r="A11" s="79" t="s">
        <v>308</v>
      </c>
      <c r="B11" s="152" t="s">
        <v>404</v>
      </c>
      <c r="C11" s="152"/>
      <c r="D11" s="152"/>
      <c r="E11" s="152"/>
      <c r="F11" s="152"/>
      <c r="G11" s="152"/>
    </row>
    <row r="12" spans="1:7" x14ac:dyDescent="0.25">
      <c r="A12" s="79" t="s">
        <v>309</v>
      </c>
      <c r="B12" s="152" t="s">
        <v>405</v>
      </c>
      <c r="C12" s="152"/>
      <c r="D12" s="152"/>
      <c r="E12" s="152"/>
      <c r="F12" s="152"/>
      <c r="G12" s="152"/>
    </row>
    <row r="13" spans="1:7" x14ac:dyDescent="0.25">
      <c r="A13" s="79" t="s">
        <v>566</v>
      </c>
      <c r="B13" s="152">
        <v>2</v>
      </c>
      <c r="C13" s="152"/>
      <c r="D13" s="152"/>
      <c r="E13" s="152"/>
      <c r="F13" s="152"/>
      <c r="G13" s="152"/>
    </row>
    <row r="14" spans="1:7" x14ac:dyDescent="0.25">
      <c r="A14" s="79" t="s">
        <v>311</v>
      </c>
      <c r="B14" s="152">
        <v>319</v>
      </c>
      <c r="C14" s="152"/>
      <c r="D14" s="152"/>
      <c r="E14" s="152"/>
      <c r="F14" s="152"/>
      <c r="G14" s="152"/>
    </row>
    <row r="15" spans="1:7" x14ac:dyDescent="0.25">
      <c r="A15" s="79" t="s">
        <v>569</v>
      </c>
      <c r="B15" s="152" t="s">
        <v>409</v>
      </c>
      <c r="C15" s="152"/>
      <c r="D15" s="152"/>
      <c r="E15" s="152"/>
      <c r="F15" s="152"/>
      <c r="G15" s="152"/>
    </row>
    <row r="16" spans="1:7" x14ac:dyDescent="0.25">
      <c r="A16" s="79" t="s">
        <v>313</v>
      </c>
      <c r="B16" s="152" t="s">
        <v>410</v>
      </c>
      <c r="C16" s="152"/>
      <c r="D16" s="152"/>
      <c r="E16" s="152"/>
      <c r="F16" s="152"/>
      <c r="G16" s="152"/>
    </row>
    <row r="17" spans="1:7" ht="68.7" customHeight="1" x14ac:dyDescent="0.25">
      <c r="A17" s="79" t="s">
        <v>639</v>
      </c>
      <c r="B17" s="152"/>
      <c r="C17" s="152"/>
      <c r="D17" s="152"/>
      <c r="E17" s="152"/>
      <c r="F17" s="152"/>
      <c r="G17" s="152"/>
    </row>
    <row r="18" spans="1:7" x14ac:dyDescent="0.25">
      <c r="A18" s="79" t="s">
        <v>315</v>
      </c>
      <c r="B18" s="154">
        <v>45070</v>
      </c>
      <c r="C18" s="152"/>
      <c r="D18" s="152"/>
      <c r="E18" s="152"/>
      <c r="F18" s="152"/>
      <c r="G18" s="152"/>
    </row>
    <row r="19" spans="1:7" x14ac:dyDescent="0.25">
      <c r="A19" s="79" t="s">
        <v>316</v>
      </c>
      <c r="B19" s="154">
        <v>45014</v>
      </c>
      <c r="C19" s="152"/>
      <c r="D19" s="152"/>
      <c r="E19" s="152"/>
      <c r="F19" s="152"/>
      <c r="G19" s="152"/>
    </row>
    <row r="20" spans="1:7" x14ac:dyDescent="0.25">
      <c r="A20" s="79" t="s">
        <v>317</v>
      </c>
      <c r="B20" s="152" t="s">
        <v>326</v>
      </c>
      <c r="C20" s="152"/>
      <c r="D20" s="152"/>
      <c r="E20" s="152"/>
      <c r="F20" s="152"/>
      <c r="G20" s="152"/>
    </row>
    <row r="21" spans="1:7" x14ac:dyDescent="0.25">
      <c r="A21" s="79" t="s">
        <v>318</v>
      </c>
      <c r="B21" s="152" t="s">
        <v>327</v>
      </c>
      <c r="C21" s="152"/>
      <c r="D21" s="152"/>
      <c r="E21" s="152"/>
      <c r="F21" s="152"/>
      <c r="G21" s="152"/>
    </row>
    <row r="23" spans="1:7" x14ac:dyDescent="0.25">
      <c r="B23" s="96" t="str">
        <f>HYPERLINK("#'Factor List'!A1","Back to Factor List")</f>
        <v>Back to Factor List</v>
      </c>
    </row>
    <row r="24" spans="1:7" x14ac:dyDescent="0.25">
      <c r="B24" s="96" t="str">
        <f>HYPERLINK("#'Assumptions'!A1","Assumptions")</f>
        <v>Assumptions</v>
      </c>
    </row>
    <row r="26" spans="1:7" x14ac:dyDescent="0.25">
      <c r="A26" s="92" t="s">
        <v>664</v>
      </c>
      <c r="B26" s="92">
        <v>60</v>
      </c>
      <c r="C26" s="92">
        <v>61</v>
      </c>
      <c r="D26" s="92">
        <v>62</v>
      </c>
      <c r="E26" s="92">
        <v>63</v>
      </c>
      <c r="F26" s="92">
        <v>64</v>
      </c>
      <c r="G26" s="92">
        <v>65</v>
      </c>
    </row>
    <row r="27" spans="1:7" x14ac:dyDescent="0.25">
      <c r="A27" s="93">
        <v>0</v>
      </c>
      <c r="B27" s="95">
        <v>1</v>
      </c>
      <c r="C27" s="95">
        <v>1.05</v>
      </c>
      <c r="D27" s="95">
        <v>1.105</v>
      </c>
      <c r="E27" s="95">
        <v>1.1639999999999999</v>
      </c>
      <c r="F27" s="95">
        <v>1.228</v>
      </c>
      <c r="G27" s="95">
        <v>1.298</v>
      </c>
    </row>
    <row r="28" spans="1:7" x14ac:dyDescent="0.25">
      <c r="A28" s="93">
        <v>1</v>
      </c>
      <c r="B28" s="95">
        <v>1.004</v>
      </c>
      <c r="C28" s="95">
        <v>1.0549999999999999</v>
      </c>
      <c r="D28" s="95">
        <v>1.1100000000000001</v>
      </c>
      <c r="E28" s="95">
        <v>1.169</v>
      </c>
      <c r="F28" s="95">
        <v>1.234</v>
      </c>
      <c r="G28" s="95">
        <v>1.304</v>
      </c>
    </row>
    <row r="29" spans="1:7" x14ac:dyDescent="0.25">
      <c r="A29" s="93">
        <v>2</v>
      </c>
      <c r="B29" s="95">
        <v>1.008</v>
      </c>
      <c r="C29" s="95">
        <v>1.0589999999999999</v>
      </c>
      <c r="D29" s="95">
        <v>1.115</v>
      </c>
      <c r="E29" s="95">
        <v>1.175</v>
      </c>
      <c r="F29" s="95">
        <v>1.24</v>
      </c>
      <c r="G29" s="95">
        <v>1.3109999999999999</v>
      </c>
    </row>
    <row r="30" spans="1:7" x14ac:dyDescent="0.25">
      <c r="A30" s="93">
        <v>3</v>
      </c>
      <c r="B30" s="95">
        <v>1.0129999999999999</v>
      </c>
      <c r="C30" s="95">
        <v>1.0640000000000001</v>
      </c>
      <c r="D30" s="95">
        <v>1.1200000000000001</v>
      </c>
      <c r="E30" s="95">
        <v>1.18</v>
      </c>
      <c r="F30" s="95">
        <v>1.2450000000000001</v>
      </c>
      <c r="G30" s="95">
        <v>1.3169999999999999</v>
      </c>
    </row>
    <row r="31" spans="1:7" x14ac:dyDescent="0.25">
      <c r="A31" s="93">
        <v>4</v>
      </c>
      <c r="B31" s="95">
        <v>1.0169999999999999</v>
      </c>
      <c r="C31" s="95">
        <v>1.0680000000000001</v>
      </c>
      <c r="D31" s="95">
        <v>1.1240000000000001</v>
      </c>
      <c r="E31" s="95">
        <v>1.1850000000000001</v>
      </c>
      <c r="F31" s="95">
        <v>1.2509999999999999</v>
      </c>
      <c r="G31" s="95">
        <v>1.323</v>
      </c>
    </row>
    <row r="32" spans="1:7" x14ac:dyDescent="0.25">
      <c r="A32" s="93">
        <v>5</v>
      </c>
      <c r="B32" s="95">
        <v>1.0209999999999999</v>
      </c>
      <c r="C32" s="95">
        <v>1.073</v>
      </c>
      <c r="D32" s="95">
        <v>1.129</v>
      </c>
      <c r="E32" s="95">
        <v>1.1910000000000001</v>
      </c>
      <c r="F32" s="95">
        <v>1.2569999999999999</v>
      </c>
      <c r="G32" s="95">
        <v>1.33</v>
      </c>
    </row>
    <row r="33" spans="1:7" x14ac:dyDescent="0.25">
      <c r="A33" s="93">
        <v>6</v>
      </c>
      <c r="B33" s="95">
        <v>1.0249999999999999</v>
      </c>
      <c r="C33" s="95">
        <v>1.0780000000000001</v>
      </c>
      <c r="D33" s="95">
        <v>1.1339999999999999</v>
      </c>
      <c r="E33" s="95">
        <v>1.196</v>
      </c>
      <c r="F33" s="95">
        <v>1.2629999999999999</v>
      </c>
      <c r="G33" s="95">
        <v>1.3360000000000001</v>
      </c>
    </row>
    <row r="34" spans="1:7" x14ac:dyDescent="0.25">
      <c r="A34" s="93">
        <v>7</v>
      </c>
      <c r="B34" s="95">
        <v>1.0289999999999999</v>
      </c>
      <c r="C34" s="95">
        <v>1.0820000000000001</v>
      </c>
      <c r="D34" s="95">
        <v>1.139</v>
      </c>
      <c r="E34" s="95">
        <v>1.2010000000000001</v>
      </c>
      <c r="F34" s="95">
        <v>1.2689999999999999</v>
      </c>
      <c r="G34" s="95">
        <v>1.3420000000000001</v>
      </c>
    </row>
    <row r="35" spans="1:7" x14ac:dyDescent="0.25">
      <c r="A35" s="93">
        <v>8</v>
      </c>
      <c r="B35" s="95">
        <v>1.034</v>
      </c>
      <c r="C35" s="95">
        <v>1.087</v>
      </c>
      <c r="D35" s="95">
        <v>1.1439999999999999</v>
      </c>
      <c r="E35" s="95">
        <v>1.2070000000000001</v>
      </c>
      <c r="F35" s="95">
        <v>1.2749999999999999</v>
      </c>
      <c r="G35" s="95">
        <v>1.349</v>
      </c>
    </row>
    <row r="36" spans="1:7" x14ac:dyDescent="0.25">
      <c r="A36" s="93">
        <v>9</v>
      </c>
      <c r="B36" s="95">
        <v>1.038</v>
      </c>
      <c r="C36" s="95">
        <v>1.091</v>
      </c>
      <c r="D36" s="95">
        <v>1.149</v>
      </c>
      <c r="E36" s="95">
        <v>1.212</v>
      </c>
      <c r="F36" s="95">
        <v>1.28</v>
      </c>
      <c r="G36" s="95">
        <v>1.355</v>
      </c>
    </row>
    <row r="37" spans="1:7" x14ac:dyDescent="0.25">
      <c r="A37" s="93">
        <v>10</v>
      </c>
      <c r="B37" s="95">
        <v>1.042</v>
      </c>
      <c r="C37" s="95">
        <v>1.0960000000000001</v>
      </c>
      <c r="D37" s="95">
        <v>1.1539999999999999</v>
      </c>
      <c r="E37" s="95">
        <v>1.2170000000000001</v>
      </c>
      <c r="F37" s="95">
        <v>1.286</v>
      </c>
      <c r="G37" s="95">
        <v>1.361</v>
      </c>
    </row>
    <row r="38" spans="1:7" x14ac:dyDescent="0.25">
      <c r="A38" s="93">
        <v>11</v>
      </c>
      <c r="B38" s="95">
        <v>1.046</v>
      </c>
      <c r="C38" s="95">
        <v>1.1000000000000001</v>
      </c>
      <c r="D38" s="95">
        <v>1.159</v>
      </c>
      <c r="E38" s="95">
        <v>1.2230000000000001</v>
      </c>
      <c r="F38" s="95">
        <v>1.292</v>
      </c>
      <c r="G38" s="95">
        <v>1.3680000000000001</v>
      </c>
    </row>
    <row r="44" spans="1:7" ht="39.6" customHeight="1" x14ac:dyDescent="0.25"/>
    <row r="46" spans="1:7" ht="27.6" customHeight="1" x14ac:dyDescent="0.25"/>
  </sheetData>
  <sheetProtection algorithmName="SHA-512" hashValue="FN+vsD05I5x2NXQ/+4ZROzRCNd5YGwV1+v9GbgApb5iLU7EYvwzb9kFXL/6X4hQYQsMvxHB1r0c+t9kPD/YYsg==" saltValue="OBSjtpY7DNxxjskYUD8DUw==" spinCount="100000" sheet="1" objects="1" scenarios="1"/>
  <conditionalFormatting sqref="A6:A21">
    <cfRule type="expression" dxfId="557" priority="15" stopIfTrue="1">
      <formula>MOD(ROW(),2)=0</formula>
    </cfRule>
    <cfRule type="expression" dxfId="556" priority="16" stopIfTrue="1">
      <formula>MOD(ROW(),2)&lt;&gt;0</formula>
    </cfRule>
  </conditionalFormatting>
  <conditionalFormatting sqref="A26:A38">
    <cfRule type="expression" dxfId="555" priority="5" stopIfTrue="1">
      <formula>MOD(ROW(),2)=0</formula>
    </cfRule>
    <cfRule type="expression" dxfId="554" priority="6" stopIfTrue="1">
      <formula>MOD(ROW(),2)&lt;&gt;0</formula>
    </cfRule>
  </conditionalFormatting>
  <conditionalFormatting sqref="B17:B21">
    <cfRule type="expression" dxfId="553" priority="1" stopIfTrue="1">
      <formula>MOD(ROW(),2)=0</formula>
    </cfRule>
    <cfRule type="expression" dxfId="552" priority="2" stopIfTrue="1">
      <formula>MOD(ROW(),2)&lt;&gt;0</formula>
    </cfRule>
  </conditionalFormatting>
  <conditionalFormatting sqref="B6:G21">
    <cfRule type="expression" dxfId="551" priority="27" stopIfTrue="1">
      <formula>MOD(ROW(),2)=0</formula>
    </cfRule>
    <cfRule type="expression" dxfId="550" priority="28" stopIfTrue="1">
      <formula>MOD(ROW(),2)&lt;&gt;0</formula>
    </cfRule>
  </conditionalFormatting>
  <conditionalFormatting sqref="B26:G38">
    <cfRule type="expression" dxfId="549" priority="7" stopIfTrue="1">
      <formula>MOD(ROW(),2)=0</formula>
    </cfRule>
    <cfRule type="expression" dxfId="548" priority="8" stopIfTrue="1">
      <formula>MOD(ROW(),2)&lt;&gt;0</formula>
    </cfRule>
  </conditionalFormatting>
  <conditionalFormatting sqref="C18:C21">
    <cfRule type="expression" dxfId="547" priority="19" stopIfTrue="1">
      <formula>MOD(ROW(),2)=0</formula>
    </cfRule>
    <cfRule type="expression" dxfId="546" priority="20" stopIfTrue="1">
      <formula>MOD(ROW(),2)&lt;&gt;0</formula>
    </cfRule>
  </conditionalFormatting>
  <conditionalFormatting sqref="C17:G17">
    <cfRule type="expression" dxfId="545" priority="9" stopIfTrue="1">
      <formula>MOD(ROW(),2)=0</formula>
    </cfRule>
    <cfRule type="expression" dxfId="54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6"/>
  <sheetViews>
    <sheetView showGridLines="0" zoomScale="85" zoomScaleNormal="85" workbookViewId="0">
      <selection activeCell="A4" sqref="A4"/>
    </sheetView>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TABLE_FACTOR_TYPE_1&amp;" - x-"&amp;TABLE_SERIES_NUMBER_1</f>
        <v>Pension Debit - x-320</v>
      </c>
      <c r="B3" s="43"/>
      <c r="C3" s="43"/>
      <c r="D3" s="43"/>
      <c r="E3" s="43"/>
      <c r="F3" s="43"/>
      <c r="G3" s="43"/>
      <c r="H3" s="43"/>
      <c r="I3" s="43"/>
    </row>
    <row r="4" spans="1:43" x14ac:dyDescent="0.25">
      <c r="A4" s="45"/>
    </row>
    <row r="6" spans="1:43"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row>
    <row r="7" spans="1:43"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row>
    <row r="8" spans="1:43" x14ac:dyDescent="0.25">
      <c r="A8" s="79" t="s">
        <v>306</v>
      </c>
      <c r="B8" s="152">
        <v>1992</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row>
    <row r="9" spans="1:43" x14ac:dyDescent="0.25">
      <c r="A9" s="79" t="s">
        <v>307</v>
      </c>
      <c r="B9" s="152" t="s">
        <v>402</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row>
    <row r="10" spans="1:43" x14ac:dyDescent="0.25">
      <c r="A10" s="79" t="s">
        <v>233</v>
      </c>
      <c r="B10" s="152" t="s">
        <v>411</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row>
    <row r="11" spans="1:43"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row>
    <row r="12" spans="1:43" x14ac:dyDescent="0.25">
      <c r="A12" s="79" t="s">
        <v>309</v>
      </c>
      <c r="B12" s="152" t="s">
        <v>405</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row>
    <row r="13" spans="1:43" x14ac:dyDescent="0.25">
      <c r="A13" s="79" t="s">
        <v>566</v>
      </c>
      <c r="B13" s="152">
        <v>2</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row>
    <row r="14" spans="1:43" x14ac:dyDescent="0.25">
      <c r="A14" s="79" t="s">
        <v>311</v>
      </c>
      <c r="B14" s="152">
        <v>320</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row>
    <row r="15" spans="1:43" x14ac:dyDescent="0.25">
      <c r="A15" s="79" t="s">
        <v>569</v>
      </c>
      <c r="B15" s="152" t="s">
        <v>412</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row>
    <row r="16" spans="1:43" x14ac:dyDescent="0.25">
      <c r="A16" s="79" t="s">
        <v>313</v>
      </c>
      <c r="B16" s="152" t="s">
        <v>413</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row>
    <row r="17" spans="1:43" ht="80.7" customHeight="1"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row>
    <row r="18" spans="1:43" x14ac:dyDescent="0.25">
      <c r="A18" s="79" t="s">
        <v>315</v>
      </c>
      <c r="B18" s="154">
        <v>45070</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row>
    <row r="19" spans="1:43" x14ac:dyDescent="0.25">
      <c r="A19" s="79" t="s">
        <v>316</v>
      </c>
      <c r="B19" s="154">
        <v>45014</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row>
    <row r="20" spans="1:43"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row>
    <row r="21" spans="1:43"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row>
    <row r="23" spans="1:43" x14ac:dyDescent="0.25">
      <c r="B23" s="96" t="str">
        <f>HYPERLINK("#'Factor List'!A1","Back to Factor List")</f>
        <v>Back to Factor List</v>
      </c>
    </row>
    <row r="24" spans="1:43" x14ac:dyDescent="0.25">
      <c r="B24" s="96" t="str">
        <f>HYPERLINK("#'Assumptions'!A1","Assumptions")</f>
        <v>Assumptions</v>
      </c>
    </row>
    <row r="26" spans="1:43"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row>
    <row r="27" spans="1:43" x14ac:dyDescent="0.25">
      <c r="A27" s="93">
        <v>0</v>
      </c>
      <c r="B27" s="95">
        <v>0.26700000000000002</v>
      </c>
      <c r="C27" s="95">
        <v>0.27300000000000002</v>
      </c>
      <c r="D27" s="95">
        <v>0.27900000000000003</v>
      </c>
      <c r="E27" s="95">
        <v>0.28599999999999998</v>
      </c>
      <c r="F27" s="95">
        <v>0.29299999999999998</v>
      </c>
      <c r="G27" s="95">
        <v>0.3</v>
      </c>
      <c r="H27" s="95">
        <v>0.307</v>
      </c>
      <c r="I27" s="95">
        <v>0.315</v>
      </c>
      <c r="J27" s="95">
        <v>0.32200000000000001</v>
      </c>
      <c r="K27" s="95">
        <v>0.33</v>
      </c>
      <c r="L27" s="95">
        <v>0.33900000000000002</v>
      </c>
      <c r="M27" s="95">
        <v>0.34799999999999998</v>
      </c>
      <c r="N27" s="95">
        <v>0.35699999999999998</v>
      </c>
      <c r="O27" s="95">
        <v>0.36599999999999999</v>
      </c>
      <c r="P27" s="95">
        <v>0.376</v>
      </c>
      <c r="Q27" s="95">
        <v>0.38600000000000001</v>
      </c>
      <c r="R27" s="95">
        <v>0.39700000000000002</v>
      </c>
      <c r="S27" s="95">
        <v>0.40799999999999997</v>
      </c>
      <c r="T27" s="95">
        <v>0.42</v>
      </c>
      <c r="U27" s="95">
        <v>0.432</v>
      </c>
      <c r="V27" s="95">
        <v>0.44500000000000001</v>
      </c>
      <c r="W27" s="95">
        <v>0.45800000000000002</v>
      </c>
      <c r="X27" s="95">
        <v>0.47199999999999998</v>
      </c>
      <c r="Y27" s="95">
        <v>0.48599999999999999</v>
      </c>
      <c r="Z27" s="95">
        <v>0.502</v>
      </c>
      <c r="AA27" s="95">
        <v>0.51800000000000002</v>
      </c>
      <c r="AB27" s="95">
        <v>0.53500000000000003</v>
      </c>
      <c r="AC27" s="95">
        <v>0.55200000000000005</v>
      </c>
      <c r="AD27" s="95">
        <v>0.57099999999999995</v>
      </c>
      <c r="AE27" s="95">
        <v>0.59099999999999997</v>
      </c>
      <c r="AF27" s="95">
        <v>0.61199999999999999</v>
      </c>
      <c r="AG27" s="95">
        <v>0.63400000000000001</v>
      </c>
      <c r="AH27" s="95">
        <v>0.65800000000000003</v>
      </c>
      <c r="AI27" s="95">
        <v>0.68300000000000005</v>
      </c>
      <c r="AJ27" s="95">
        <v>0.70899999999999996</v>
      </c>
      <c r="AK27" s="95">
        <v>0.73699999999999999</v>
      </c>
      <c r="AL27" s="95">
        <v>0.76700000000000002</v>
      </c>
      <c r="AM27" s="95">
        <v>0.8</v>
      </c>
      <c r="AN27" s="95">
        <v>0.83399999999999996</v>
      </c>
      <c r="AO27" s="95">
        <v>0.871</v>
      </c>
      <c r="AP27" s="95">
        <v>0.91100000000000003</v>
      </c>
      <c r="AQ27" s="95">
        <v>0.95399999999999996</v>
      </c>
    </row>
    <row r="28" spans="1:43" x14ac:dyDescent="0.25">
      <c r="A28" s="93">
        <v>1</v>
      </c>
      <c r="B28" s="95">
        <v>0.26700000000000002</v>
      </c>
      <c r="C28" s="95">
        <v>0.27300000000000002</v>
      </c>
      <c r="D28" s="95">
        <v>0.28000000000000003</v>
      </c>
      <c r="E28" s="95">
        <v>0.28599999999999998</v>
      </c>
      <c r="F28" s="95">
        <v>0.29299999999999998</v>
      </c>
      <c r="G28" s="95">
        <v>0.3</v>
      </c>
      <c r="H28" s="95">
        <v>0.308</v>
      </c>
      <c r="I28" s="95">
        <v>0.315</v>
      </c>
      <c r="J28" s="95">
        <v>0.32300000000000001</v>
      </c>
      <c r="K28" s="95">
        <v>0.33100000000000002</v>
      </c>
      <c r="L28" s="95">
        <v>0.34</v>
      </c>
      <c r="M28" s="95">
        <v>0.34799999999999998</v>
      </c>
      <c r="N28" s="95">
        <v>0.35799999999999998</v>
      </c>
      <c r="O28" s="95">
        <v>0.36699999999999999</v>
      </c>
      <c r="P28" s="95">
        <v>0.377</v>
      </c>
      <c r="Q28" s="95">
        <v>0.38700000000000001</v>
      </c>
      <c r="R28" s="95">
        <v>0.39800000000000002</v>
      </c>
      <c r="S28" s="95">
        <v>0.40899999999999997</v>
      </c>
      <c r="T28" s="95">
        <v>0.42099999999999999</v>
      </c>
      <c r="U28" s="95">
        <v>0.433</v>
      </c>
      <c r="V28" s="95">
        <v>0.44600000000000001</v>
      </c>
      <c r="W28" s="95">
        <v>0.45900000000000002</v>
      </c>
      <c r="X28" s="95">
        <v>0.47299999999999998</v>
      </c>
      <c r="Y28" s="95">
        <v>0.48799999999999999</v>
      </c>
      <c r="Z28" s="95">
        <v>0.503</v>
      </c>
      <c r="AA28" s="95">
        <v>0.51900000000000002</v>
      </c>
      <c r="AB28" s="95">
        <v>0.53600000000000003</v>
      </c>
      <c r="AC28" s="95">
        <v>0.55400000000000005</v>
      </c>
      <c r="AD28" s="95">
        <v>0.57299999999999995</v>
      </c>
      <c r="AE28" s="95">
        <v>0.59299999999999997</v>
      </c>
      <c r="AF28" s="95">
        <v>0.61399999999999999</v>
      </c>
      <c r="AG28" s="95">
        <v>0.63600000000000001</v>
      </c>
      <c r="AH28" s="95">
        <v>0.66</v>
      </c>
      <c r="AI28" s="95">
        <v>0.68500000000000005</v>
      </c>
      <c r="AJ28" s="95">
        <v>0.71099999999999997</v>
      </c>
      <c r="AK28" s="95">
        <v>0.74</v>
      </c>
      <c r="AL28" s="95">
        <v>0.77</v>
      </c>
      <c r="AM28" s="95">
        <v>0.80200000000000005</v>
      </c>
      <c r="AN28" s="95">
        <v>0.83699999999999997</v>
      </c>
      <c r="AO28" s="95">
        <v>0.874</v>
      </c>
      <c r="AP28" s="95">
        <v>0.91400000000000003</v>
      </c>
      <c r="AQ28" s="95">
        <v>0.95799999999999996</v>
      </c>
    </row>
    <row r="29" spans="1:43" x14ac:dyDescent="0.25">
      <c r="A29" s="93">
        <v>2</v>
      </c>
      <c r="B29" s="95">
        <v>0.26800000000000002</v>
      </c>
      <c r="C29" s="95">
        <v>0.27400000000000002</v>
      </c>
      <c r="D29" s="95">
        <v>0.28000000000000003</v>
      </c>
      <c r="E29" s="95">
        <v>0.28699999999999998</v>
      </c>
      <c r="F29" s="95">
        <v>0.29399999999999998</v>
      </c>
      <c r="G29" s="95">
        <v>0.30099999999999999</v>
      </c>
      <c r="H29" s="95">
        <v>0.308</v>
      </c>
      <c r="I29" s="95">
        <v>0.316</v>
      </c>
      <c r="J29" s="95">
        <v>0.32400000000000001</v>
      </c>
      <c r="K29" s="95">
        <v>0.33200000000000002</v>
      </c>
      <c r="L29" s="95">
        <v>0.34</v>
      </c>
      <c r="M29" s="95">
        <v>0.34899999999999998</v>
      </c>
      <c r="N29" s="95">
        <v>0.35799999999999998</v>
      </c>
      <c r="O29" s="95">
        <v>0.36799999999999999</v>
      </c>
      <c r="P29" s="95">
        <v>0.378</v>
      </c>
      <c r="Q29" s="95">
        <v>0.38800000000000001</v>
      </c>
      <c r="R29" s="95">
        <v>0.39900000000000002</v>
      </c>
      <c r="S29" s="95">
        <v>0.41</v>
      </c>
      <c r="T29" s="95">
        <v>0.42199999999999999</v>
      </c>
      <c r="U29" s="95">
        <v>0.434</v>
      </c>
      <c r="V29" s="95">
        <v>0.44700000000000001</v>
      </c>
      <c r="W29" s="95">
        <v>0.46</v>
      </c>
      <c r="X29" s="95">
        <v>0.47399999999999998</v>
      </c>
      <c r="Y29" s="95">
        <v>0.48899999999999999</v>
      </c>
      <c r="Z29" s="95">
        <v>0.504</v>
      </c>
      <c r="AA29" s="95">
        <v>0.52100000000000002</v>
      </c>
      <c r="AB29" s="95">
        <v>0.53800000000000003</v>
      </c>
      <c r="AC29" s="95">
        <v>0.55600000000000005</v>
      </c>
      <c r="AD29" s="95">
        <v>0.57399999999999995</v>
      </c>
      <c r="AE29" s="95">
        <v>0.59399999999999997</v>
      </c>
      <c r="AF29" s="95">
        <v>0.61599999999999999</v>
      </c>
      <c r="AG29" s="95">
        <v>0.63800000000000001</v>
      </c>
      <c r="AH29" s="95">
        <v>0.66200000000000003</v>
      </c>
      <c r="AI29" s="95">
        <v>0.68700000000000006</v>
      </c>
      <c r="AJ29" s="95">
        <v>0.71399999999999997</v>
      </c>
      <c r="AK29" s="95">
        <v>0.74199999999999999</v>
      </c>
      <c r="AL29" s="95">
        <v>0.77300000000000002</v>
      </c>
      <c r="AM29" s="95">
        <v>0.80500000000000005</v>
      </c>
      <c r="AN29" s="95">
        <v>0.84</v>
      </c>
      <c r="AO29" s="95">
        <v>0.878</v>
      </c>
      <c r="AP29" s="95">
        <v>0.91800000000000004</v>
      </c>
      <c r="AQ29" s="95">
        <v>0.96099999999999997</v>
      </c>
    </row>
    <row r="30" spans="1:43" x14ac:dyDescent="0.25">
      <c r="A30" s="93">
        <v>3</v>
      </c>
      <c r="B30" s="95">
        <v>0.26800000000000002</v>
      </c>
      <c r="C30" s="95">
        <v>0.27500000000000002</v>
      </c>
      <c r="D30" s="95">
        <v>0.28100000000000003</v>
      </c>
      <c r="E30" s="95">
        <v>0.28799999999999998</v>
      </c>
      <c r="F30" s="95">
        <v>0.29399999999999998</v>
      </c>
      <c r="G30" s="95">
        <v>0.30199999999999999</v>
      </c>
      <c r="H30" s="95">
        <v>0.309</v>
      </c>
      <c r="I30" s="95">
        <v>0.316</v>
      </c>
      <c r="J30" s="95">
        <v>0.32400000000000001</v>
      </c>
      <c r="K30" s="95">
        <v>0.33300000000000002</v>
      </c>
      <c r="L30" s="95">
        <v>0.34100000000000003</v>
      </c>
      <c r="M30" s="95">
        <v>0.35</v>
      </c>
      <c r="N30" s="95">
        <v>0.35899999999999999</v>
      </c>
      <c r="O30" s="95">
        <v>0.36899999999999999</v>
      </c>
      <c r="P30" s="95">
        <v>0.379</v>
      </c>
      <c r="Q30" s="95">
        <v>0.38900000000000001</v>
      </c>
      <c r="R30" s="95">
        <v>0.4</v>
      </c>
      <c r="S30" s="95">
        <v>0.41099999999999998</v>
      </c>
      <c r="T30" s="95">
        <v>0.42299999999999999</v>
      </c>
      <c r="U30" s="95">
        <v>0.435</v>
      </c>
      <c r="V30" s="95">
        <v>0.44800000000000001</v>
      </c>
      <c r="W30" s="95">
        <v>0.46100000000000002</v>
      </c>
      <c r="X30" s="95">
        <v>0.47499999999999998</v>
      </c>
      <c r="Y30" s="95">
        <v>0.49</v>
      </c>
      <c r="Z30" s="95">
        <v>0.50600000000000001</v>
      </c>
      <c r="AA30" s="95">
        <v>0.52200000000000002</v>
      </c>
      <c r="AB30" s="95">
        <v>0.53900000000000003</v>
      </c>
      <c r="AC30" s="95">
        <v>0.55700000000000005</v>
      </c>
      <c r="AD30" s="95">
        <v>0.57599999999999996</v>
      </c>
      <c r="AE30" s="95">
        <v>0.59599999999999997</v>
      </c>
      <c r="AF30" s="95">
        <v>0.61699999999999999</v>
      </c>
      <c r="AG30" s="95">
        <v>0.64</v>
      </c>
      <c r="AH30" s="95">
        <v>0.66400000000000003</v>
      </c>
      <c r="AI30" s="95">
        <v>0.68899999999999995</v>
      </c>
      <c r="AJ30" s="95">
        <v>0.71599999999999997</v>
      </c>
      <c r="AK30" s="95">
        <v>0.745</v>
      </c>
      <c r="AL30" s="95">
        <v>0.77500000000000002</v>
      </c>
      <c r="AM30" s="95">
        <v>0.80800000000000005</v>
      </c>
      <c r="AN30" s="95">
        <v>0.84299999999999997</v>
      </c>
      <c r="AO30" s="95">
        <v>0.88100000000000001</v>
      </c>
      <c r="AP30" s="95">
        <v>0.92200000000000004</v>
      </c>
      <c r="AQ30" s="95">
        <v>0.96499999999999997</v>
      </c>
    </row>
    <row r="31" spans="1:43" x14ac:dyDescent="0.25">
      <c r="A31" s="93">
        <v>4</v>
      </c>
      <c r="B31" s="95">
        <v>0.26900000000000002</v>
      </c>
      <c r="C31" s="95">
        <v>0.27500000000000002</v>
      </c>
      <c r="D31" s="95">
        <v>0.28100000000000003</v>
      </c>
      <c r="E31" s="95">
        <v>0.28799999999999998</v>
      </c>
      <c r="F31" s="95">
        <v>0.29499999999999998</v>
      </c>
      <c r="G31" s="95">
        <v>0.30199999999999999</v>
      </c>
      <c r="H31" s="95">
        <v>0.31</v>
      </c>
      <c r="I31" s="95">
        <v>0.317</v>
      </c>
      <c r="J31" s="95">
        <v>0.32500000000000001</v>
      </c>
      <c r="K31" s="95">
        <v>0.33300000000000002</v>
      </c>
      <c r="L31" s="95">
        <v>0.34200000000000003</v>
      </c>
      <c r="M31" s="95">
        <v>0.35099999999999998</v>
      </c>
      <c r="N31" s="95">
        <v>0.36</v>
      </c>
      <c r="O31" s="95">
        <v>0.36899999999999999</v>
      </c>
      <c r="P31" s="95">
        <v>0.379</v>
      </c>
      <c r="Q31" s="95">
        <v>0.39</v>
      </c>
      <c r="R31" s="95">
        <v>0.40100000000000002</v>
      </c>
      <c r="S31" s="95">
        <v>0.41199999999999998</v>
      </c>
      <c r="T31" s="95">
        <v>0.42399999999999999</v>
      </c>
      <c r="U31" s="95">
        <v>0.436</v>
      </c>
      <c r="V31" s="95">
        <v>0.44900000000000001</v>
      </c>
      <c r="W31" s="95">
        <v>0.46200000000000002</v>
      </c>
      <c r="X31" s="95">
        <v>0.47699999999999998</v>
      </c>
      <c r="Y31" s="95">
        <v>0.49099999999999999</v>
      </c>
      <c r="Z31" s="95">
        <v>0.50700000000000001</v>
      </c>
      <c r="AA31" s="95">
        <v>0.52300000000000002</v>
      </c>
      <c r="AB31" s="95">
        <v>0.54100000000000004</v>
      </c>
      <c r="AC31" s="95">
        <v>0.55900000000000005</v>
      </c>
      <c r="AD31" s="95">
        <v>0.57799999999999996</v>
      </c>
      <c r="AE31" s="95">
        <v>0.59799999999999998</v>
      </c>
      <c r="AF31" s="95">
        <v>0.61899999999999999</v>
      </c>
      <c r="AG31" s="95">
        <v>0.64200000000000002</v>
      </c>
      <c r="AH31" s="95">
        <v>0.66600000000000004</v>
      </c>
      <c r="AI31" s="95">
        <v>0.69099999999999995</v>
      </c>
      <c r="AJ31" s="95">
        <v>0.71799999999999997</v>
      </c>
      <c r="AK31" s="95">
        <v>0.747</v>
      </c>
      <c r="AL31" s="95">
        <v>0.77800000000000002</v>
      </c>
      <c r="AM31" s="95">
        <v>0.81100000000000005</v>
      </c>
      <c r="AN31" s="95">
        <v>0.84599999999999997</v>
      </c>
      <c r="AO31" s="95">
        <v>0.88400000000000001</v>
      </c>
      <c r="AP31" s="95">
        <v>0.92500000000000004</v>
      </c>
      <c r="AQ31" s="95">
        <v>0.96899999999999997</v>
      </c>
    </row>
    <row r="32" spans="1:43" x14ac:dyDescent="0.25">
      <c r="A32" s="93">
        <v>5</v>
      </c>
      <c r="B32" s="95">
        <v>0.26900000000000002</v>
      </c>
      <c r="C32" s="95">
        <v>0.27600000000000002</v>
      </c>
      <c r="D32" s="95">
        <v>0.28199999999999997</v>
      </c>
      <c r="E32" s="95">
        <v>0.28899999999999998</v>
      </c>
      <c r="F32" s="95">
        <v>0.29599999999999999</v>
      </c>
      <c r="G32" s="95">
        <v>0.30299999999999999</v>
      </c>
      <c r="H32" s="95">
        <v>0.31</v>
      </c>
      <c r="I32" s="95">
        <v>0.318</v>
      </c>
      <c r="J32" s="95">
        <v>0.32600000000000001</v>
      </c>
      <c r="K32" s="95">
        <v>0.33400000000000002</v>
      </c>
      <c r="L32" s="95">
        <v>0.34300000000000003</v>
      </c>
      <c r="M32" s="95">
        <v>0.35099999999999998</v>
      </c>
      <c r="N32" s="95">
        <v>0.36099999999999999</v>
      </c>
      <c r="O32" s="95">
        <v>0.37</v>
      </c>
      <c r="P32" s="95">
        <v>0.38</v>
      </c>
      <c r="Q32" s="95">
        <v>0.39100000000000001</v>
      </c>
      <c r="R32" s="95">
        <v>0.40200000000000002</v>
      </c>
      <c r="S32" s="95">
        <v>0.41299999999999998</v>
      </c>
      <c r="T32" s="95">
        <v>0.42499999999999999</v>
      </c>
      <c r="U32" s="95">
        <v>0.437</v>
      </c>
      <c r="V32" s="95">
        <v>0.45</v>
      </c>
      <c r="W32" s="95">
        <v>0.46400000000000002</v>
      </c>
      <c r="X32" s="95">
        <v>0.47799999999999998</v>
      </c>
      <c r="Y32" s="95">
        <v>0.49299999999999999</v>
      </c>
      <c r="Z32" s="95">
        <v>0.50800000000000001</v>
      </c>
      <c r="AA32" s="95">
        <v>0.52500000000000002</v>
      </c>
      <c r="AB32" s="95">
        <v>0.54200000000000004</v>
      </c>
      <c r="AC32" s="95">
        <v>0.56000000000000005</v>
      </c>
      <c r="AD32" s="95">
        <v>0.57899999999999996</v>
      </c>
      <c r="AE32" s="95">
        <v>0.6</v>
      </c>
      <c r="AF32" s="95">
        <v>0.621</v>
      </c>
      <c r="AG32" s="95">
        <v>0.64400000000000002</v>
      </c>
      <c r="AH32" s="95">
        <v>0.66800000000000004</v>
      </c>
      <c r="AI32" s="95">
        <v>0.69399999999999995</v>
      </c>
      <c r="AJ32" s="95">
        <v>0.72099999999999997</v>
      </c>
      <c r="AK32" s="95">
        <v>0.75</v>
      </c>
      <c r="AL32" s="95">
        <v>0.78100000000000003</v>
      </c>
      <c r="AM32" s="95">
        <v>0.81399999999999995</v>
      </c>
      <c r="AN32" s="95">
        <v>0.84899999999999998</v>
      </c>
      <c r="AO32" s="95">
        <v>0.88800000000000001</v>
      </c>
      <c r="AP32" s="95">
        <v>0.92900000000000005</v>
      </c>
      <c r="AQ32" s="95">
        <v>0.97299999999999998</v>
      </c>
    </row>
    <row r="33" spans="1:43" x14ac:dyDescent="0.25">
      <c r="A33" s="93">
        <v>6</v>
      </c>
      <c r="B33" s="95">
        <v>0.27</v>
      </c>
      <c r="C33" s="95">
        <v>0.27600000000000002</v>
      </c>
      <c r="D33" s="95">
        <v>0.28299999999999997</v>
      </c>
      <c r="E33" s="95">
        <v>0.28899999999999998</v>
      </c>
      <c r="F33" s="95">
        <v>0.29599999999999999</v>
      </c>
      <c r="G33" s="95">
        <v>0.30299999999999999</v>
      </c>
      <c r="H33" s="95">
        <v>0.311</v>
      </c>
      <c r="I33" s="95">
        <v>0.318</v>
      </c>
      <c r="J33" s="95">
        <v>0.32600000000000001</v>
      </c>
      <c r="K33" s="95">
        <v>0.33500000000000002</v>
      </c>
      <c r="L33" s="95">
        <v>0.34300000000000003</v>
      </c>
      <c r="M33" s="95">
        <v>0.35199999999999998</v>
      </c>
      <c r="N33" s="95">
        <v>0.36099999999999999</v>
      </c>
      <c r="O33" s="95">
        <v>0.371</v>
      </c>
      <c r="P33" s="95">
        <v>0.38100000000000001</v>
      </c>
      <c r="Q33" s="95">
        <v>0.39200000000000002</v>
      </c>
      <c r="R33" s="95">
        <v>0.40300000000000002</v>
      </c>
      <c r="S33" s="95">
        <v>0.41399999999999998</v>
      </c>
      <c r="T33" s="95">
        <v>0.42599999999999999</v>
      </c>
      <c r="U33" s="95">
        <v>0.438</v>
      </c>
      <c r="V33" s="95">
        <v>0.45100000000000001</v>
      </c>
      <c r="W33" s="95">
        <v>0.46500000000000002</v>
      </c>
      <c r="X33" s="95">
        <v>0.47899999999999998</v>
      </c>
      <c r="Y33" s="95">
        <v>0.49399999999999999</v>
      </c>
      <c r="Z33" s="95">
        <v>0.51</v>
      </c>
      <c r="AA33" s="95">
        <v>0.52600000000000002</v>
      </c>
      <c r="AB33" s="95">
        <v>0.54400000000000004</v>
      </c>
      <c r="AC33" s="95">
        <v>0.56200000000000006</v>
      </c>
      <c r="AD33" s="95">
        <v>0.58099999999999996</v>
      </c>
      <c r="AE33" s="95">
        <v>0.60099999999999998</v>
      </c>
      <c r="AF33" s="95">
        <v>0.623</v>
      </c>
      <c r="AG33" s="95">
        <v>0.64600000000000002</v>
      </c>
      <c r="AH33" s="95">
        <v>0.67</v>
      </c>
      <c r="AI33" s="95">
        <v>0.69599999999999995</v>
      </c>
      <c r="AJ33" s="95">
        <v>0.72299999999999998</v>
      </c>
      <c r="AK33" s="95">
        <v>0.752</v>
      </c>
      <c r="AL33" s="95">
        <v>0.78300000000000003</v>
      </c>
      <c r="AM33" s="95">
        <v>0.81699999999999995</v>
      </c>
      <c r="AN33" s="95">
        <v>0.85299999999999998</v>
      </c>
      <c r="AO33" s="95">
        <v>0.89100000000000001</v>
      </c>
      <c r="AP33" s="95">
        <v>0.93200000000000005</v>
      </c>
      <c r="AQ33" s="95">
        <v>0.97699999999999998</v>
      </c>
    </row>
    <row r="34" spans="1:43" x14ac:dyDescent="0.25">
      <c r="A34" s="93">
        <v>7</v>
      </c>
      <c r="B34" s="95">
        <v>0.27</v>
      </c>
      <c r="C34" s="95">
        <v>0.27700000000000002</v>
      </c>
      <c r="D34" s="95">
        <v>0.28299999999999997</v>
      </c>
      <c r="E34" s="95">
        <v>0.28999999999999998</v>
      </c>
      <c r="F34" s="95">
        <v>0.29699999999999999</v>
      </c>
      <c r="G34" s="95">
        <v>0.30399999999999999</v>
      </c>
      <c r="H34" s="95">
        <v>0.311</v>
      </c>
      <c r="I34" s="95">
        <v>0.31900000000000001</v>
      </c>
      <c r="J34" s="95">
        <v>0.32700000000000001</v>
      </c>
      <c r="K34" s="95">
        <v>0.33500000000000002</v>
      </c>
      <c r="L34" s="95">
        <v>0.34399999999999997</v>
      </c>
      <c r="M34" s="95">
        <v>0.35299999999999998</v>
      </c>
      <c r="N34" s="95">
        <v>0.36199999999999999</v>
      </c>
      <c r="O34" s="95">
        <v>0.372</v>
      </c>
      <c r="P34" s="95">
        <v>0.38200000000000001</v>
      </c>
      <c r="Q34" s="95">
        <v>0.39300000000000002</v>
      </c>
      <c r="R34" s="95">
        <v>0.40300000000000002</v>
      </c>
      <c r="S34" s="95">
        <v>0.41499999999999998</v>
      </c>
      <c r="T34" s="95">
        <v>0.42699999999999999</v>
      </c>
      <c r="U34" s="95">
        <v>0.439</v>
      </c>
      <c r="V34" s="95">
        <v>0.45200000000000001</v>
      </c>
      <c r="W34" s="95">
        <v>0.46600000000000003</v>
      </c>
      <c r="X34" s="95">
        <v>0.48</v>
      </c>
      <c r="Y34" s="95">
        <v>0.495</v>
      </c>
      <c r="Z34" s="95">
        <v>0.51100000000000001</v>
      </c>
      <c r="AA34" s="95">
        <v>0.52800000000000002</v>
      </c>
      <c r="AB34" s="95">
        <v>0.54500000000000004</v>
      </c>
      <c r="AC34" s="95">
        <v>0.56299999999999994</v>
      </c>
      <c r="AD34" s="95">
        <v>0.58299999999999996</v>
      </c>
      <c r="AE34" s="95">
        <v>0.60299999999999998</v>
      </c>
      <c r="AF34" s="95">
        <v>0.625</v>
      </c>
      <c r="AG34" s="95">
        <v>0.64800000000000002</v>
      </c>
      <c r="AH34" s="95">
        <v>0.67200000000000004</v>
      </c>
      <c r="AI34" s="95">
        <v>0.69799999999999995</v>
      </c>
      <c r="AJ34" s="95">
        <v>0.72499999999999998</v>
      </c>
      <c r="AK34" s="95">
        <v>0.755</v>
      </c>
      <c r="AL34" s="95">
        <v>0.78600000000000003</v>
      </c>
      <c r="AM34" s="95">
        <v>0.82</v>
      </c>
      <c r="AN34" s="95">
        <v>0.85599999999999998</v>
      </c>
      <c r="AO34" s="95">
        <v>0.89400000000000002</v>
      </c>
      <c r="AP34" s="95">
        <v>0.93600000000000005</v>
      </c>
      <c r="AQ34" s="95">
        <v>0.98099999999999998</v>
      </c>
    </row>
    <row r="35" spans="1:43" x14ac:dyDescent="0.25">
      <c r="A35" s="93">
        <v>8</v>
      </c>
      <c r="B35" s="95">
        <v>0.27100000000000002</v>
      </c>
      <c r="C35" s="95">
        <v>0.27700000000000002</v>
      </c>
      <c r="D35" s="95">
        <v>0.28399999999999997</v>
      </c>
      <c r="E35" s="95">
        <v>0.28999999999999998</v>
      </c>
      <c r="F35" s="95">
        <v>0.29699999999999999</v>
      </c>
      <c r="G35" s="95">
        <v>0.30499999999999999</v>
      </c>
      <c r="H35" s="95">
        <v>0.312</v>
      </c>
      <c r="I35" s="95">
        <v>0.32</v>
      </c>
      <c r="J35" s="95">
        <v>0.32800000000000001</v>
      </c>
      <c r="K35" s="95">
        <v>0.33600000000000002</v>
      </c>
      <c r="L35" s="95">
        <v>0.34499999999999997</v>
      </c>
      <c r="M35" s="95">
        <v>0.35399999999999998</v>
      </c>
      <c r="N35" s="95">
        <v>0.36299999999999999</v>
      </c>
      <c r="O35" s="95">
        <v>0.373</v>
      </c>
      <c r="P35" s="95">
        <v>0.38300000000000001</v>
      </c>
      <c r="Q35" s="95">
        <v>0.39300000000000002</v>
      </c>
      <c r="R35" s="95">
        <v>0.40400000000000003</v>
      </c>
      <c r="S35" s="95">
        <v>0.41599999999999998</v>
      </c>
      <c r="T35" s="95">
        <v>0.42799999999999999</v>
      </c>
      <c r="U35" s="95">
        <v>0.44</v>
      </c>
      <c r="V35" s="95">
        <v>0.45300000000000001</v>
      </c>
      <c r="W35" s="95">
        <v>0.46700000000000003</v>
      </c>
      <c r="X35" s="95">
        <v>0.48099999999999998</v>
      </c>
      <c r="Y35" s="95">
        <v>0.497</v>
      </c>
      <c r="Z35" s="95">
        <v>0.51200000000000001</v>
      </c>
      <c r="AA35" s="95">
        <v>0.52900000000000003</v>
      </c>
      <c r="AB35" s="95">
        <v>0.54600000000000004</v>
      </c>
      <c r="AC35" s="95">
        <v>0.56499999999999995</v>
      </c>
      <c r="AD35" s="95">
        <v>0.58399999999999996</v>
      </c>
      <c r="AE35" s="95">
        <v>0.60499999999999998</v>
      </c>
      <c r="AF35" s="95">
        <v>0.627</v>
      </c>
      <c r="AG35" s="95">
        <v>0.65</v>
      </c>
      <c r="AH35" s="95">
        <v>0.67400000000000004</v>
      </c>
      <c r="AI35" s="95">
        <v>0.7</v>
      </c>
      <c r="AJ35" s="95">
        <v>0.72799999999999998</v>
      </c>
      <c r="AK35" s="95">
        <v>0.75700000000000001</v>
      </c>
      <c r="AL35" s="95">
        <v>0.78900000000000003</v>
      </c>
      <c r="AM35" s="95">
        <v>0.82299999999999995</v>
      </c>
      <c r="AN35" s="95">
        <v>0.85899999999999999</v>
      </c>
      <c r="AO35" s="95">
        <v>0.89800000000000002</v>
      </c>
      <c r="AP35" s="95">
        <v>0.93899999999999995</v>
      </c>
      <c r="AQ35" s="95">
        <v>0.98499999999999999</v>
      </c>
    </row>
    <row r="36" spans="1:43" x14ac:dyDescent="0.25">
      <c r="A36" s="93">
        <v>9</v>
      </c>
      <c r="B36" s="95">
        <v>0.27100000000000002</v>
      </c>
      <c r="C36" s="95">
        <v>0.27800000000000002</v>
      </c>
      <c r="D36" s="95">
        <v>0.28399999999999997</v>
      </c>
      <c r="E36" s="95">
        <v>0.29099999999999998</v>
      </c>
      <c r="F36" s="95">
        <v>0.29799999999999999</v>
      </c>
      <c r="G36" s="95">
        <v>0.30499999999999999</v>
      </c>
      <c r="H36" s="95">
        <v>0.313</v>
      </c>
      <c r="I36" s="95">
        <v>0.32</v>
      </c>
      <c r="J36" s="95">
        <v>0.32800000000000001</v>
      </c>
      <c r="K36" s="95">
        <v>0.33700000000000002</v>
      </c>
      <c r="L36" s="95">
        <v>0.34499999999999997</v>
      </c>
      <c r="M36" s="95">
        <v>0.35399999999999998</v>
      </c>
      <c r="N36" s="95">
        <v>0.36399999999999999</v>
      </c>
      <c r="O36" s="95">
        <v>0.374</v>
      </c>
      <c r="P36" s="95">
        <v>0.38400000000000001</v>
      </c>
      <c r="Q36" s="95">
        <v>0.39400000000000002</v>
      </c>
      <c r="R36" s="95">
        <v>0.40500000000000003</v>
      </c>
      <c r="S36" s="95">
        <v>0.41699999999999998</v>
      </c>
      <c r="T36" s="95">
        <v>0.42899999999999999</v>
      </c>
      <c r="U36" s="95">
        <v>0.441</v>
      </c>
      <c r="V36" s="95">
        <v>0.45500000000000002</v>
      </c>
      <c r="W36" s="95">
        <v>0.46800000000000003</v>
      </c>
      <c r="X36" s="95">
        <v>0.48299999999999998</v>
      </c>
      <c r="Y36" s="95">
        <v>0.498</v>
      </c>
      <c r="Z36" s="95">
        <v>0.51400000000000001</v>
      </c>
      <c r="AA36" s="95">
        <v>0.53</v>
      </c>
      <c r="AB36" s="95">
        <v>0.54800000000000004</v>
      </c>
      <c r="AC36" s="95">
        <v>0.56599999999999995</v>
      </c>
      <c r="AD36" s="95">
        <v>0.58599999999999997</v>
      </c>
      <c r="AE36" s="95">
        <v>0.60699999999999998</v>
      </c>
      <c r="AF36" s="95">
        <v>0.629</v>
      </c>
      <c r="AG36" s="95">
        <v>0.65200000000000002</v>
      </c>
      <c r="AH36" s="95">
        <v>0.67600000000000005</v>
      </c>
      <c r="AI36" s="95">
        <v>0.70199999999999996</v>
      </c>
      <c r="AJ36" s="95">
        <v>0.73</v>
      </c>
      <c r="AK36" s="95">
        <v>0.76</v>
      </c>
      <c r="AL36" s="95">
        <v>0.79200000000000004</v>
      </c>
      <c r="AM36" s="95">
        <v>0.82499999999999996</v>
      </c>
      <c r="AN36" s="95">
        <v>0.86199999999999999</v>
      </c>
      <c r="AO36" s="95">
        <v>0.90100000000000002</v>
      </c>
      <c r="AP36" s="95">
        <v>0.94299999999999995</v>
      </c>
      <c r="AQ36" s="95">
        <v>0.98799999999999999</v>
      </c>
    </row>
    <row r="37" spans="1:43" x14ac:dyDescent="0.25">
      <c r="A37" s="93">
        <v>10</v>
      </c>
      <c r="B37" s="95">
        <v>0.27200000000000002</v>
      </c>
      <c r="C37" s="95">
        <v>0.27800000000000002</v>
      </c>
      <c r="D37" s="95">
        <v>0.28499999999999998</v>
      </c>
      <c r="E37" s="95">
        <v>0.29199999999999998</v>
      </c>
      <c r="F37" s="95">
        <v>0.29899999999999999</v>
      </c>
      <c r="G37" s="95">
        <v>0.30599999999999999</v>
      </c>
      <c r="H37" s="95">
        <v>0.313</v>
      </c>
      <c r="I37" s="95">
        <v>0.32100000000000001</v>
      </c>
      <c r="J37" s="95">
        <v>0.32900000000000001</v>
      </c>
      <c r="K37" s="95">
        <v>0.33800000000000002</v>
      </c>
      <c r="L37" s="95">
        <v>0.34599999999999997</v>
      </c>
      <c r="M37" s="95">
        <v>0.35499999999999998</v>
      </c>
      <c r="N37" s="95">
        <v>0.36499999999999999</v>
      </c>
      <c r="O37" s="95">
        <v>0.374</v>
      </c>
      <c r="P37" s="95">
        <v>0.38500000000000001</v>
      </c>
      <c r="Q37" s="95">
        <v>0.39500000000000002</v>
      </c>
      <c r="R37" s="95">
        <v>0.40600000000000003</v>
      </c>
      <c r="S37" s="95">
        <v>0.41799999999999998</v>
      </c>
      <c r="T37" s="95">
        <v>0.43</v>
      </c>
      <c r="U37" s="95">
        <v>0.442</v>
      </c>
      <c r="V37" s="95">
        <v>0.45600000000000002</v>
      </c>
      <c r="W37" s="95">
        <v>0.46899999999999997</v>
      </c>
      <c r="X37" s="95">
        <v>0.48399999999999999</v>
      </c>
      <c r="Y37" s="95">
        <v>0.499</v>
      </c>
      <c r="Z37" s="95">
        <v>0.51500000000000001</v>
      </c>
      <c r="AA37" s="95">
        <v>0.53200000000000003</v>
      </c>
      <c r="AB37" s="95">
        <v>0.54900000000000004</v>
      </c>
      <c r="AC37" s="95">
        <v>0.56799999999999995</v>
      </c>
      <c r="AD37" s="95">
        <v>0.58799999999999997</v>
      </c>
      <c r="AE37" s="95">
        <v>0.60799999999999998</v>
      </c>
      <c r="AF37" s="95">
        <v>0.63</v>
      </c>
      <c r="AG37" s="95">
        <v>0.65400000000000003</v>
      </c>
      <c r="AH37" s="95">
        <v>0.67800000000000005</v>
      </c>
      <c r="AI37" s="95">
        <v>0.70499999999999996</v>
      </c>
      <c r="AJ37" s="95">
        <v>0.73299999999999998</v>
      </c>
      <c r="AK37" s="95">
        <v>0.76200000000000001</v>
      </c>
      <c r="AL37" s="95">
        <v>0.79400000000000004</v>
      </c>
      <c r="AM37" s="95">
        <v>0.82799999999999996</v>
      </c>
      <c r="AN37" s="95">
        <v>0.86499999999999999</v>
      </c>
      <c r="AO37" s="95">
        <v>0.90400000000000003</v>
      </c>
      <c r="AP37" s="95">
        <v>0.94699999999999995</v>
      </c>
      <c r="AQ37" s="95">
        <v>0.99199999999999999</v>
      </c>
    </row>
    <row r="38" spans="1:43" x14ac:dyDescent="0.25">
      <c r="A38" s="93">
        <v>11</v>
      </c>
      <c r="B38" s="95">
        <v>0.27200000000000002</v>
      </c>
      <c r="C38" s="95">
        <v>0.27900000000000003</v>
      </c>
      <c r="D38" s="95">
        <v>0.28499999999999998</v>
      </c>
      <c r="E38" s="95">
        <v>0.29199999999999998</v>
      </c>
      <c r="F38" s="95">
        <v>0.29899999999999999</v>
      </c>
      <c r="G38" s="95">
        <v>0.30599999999999999</v>
      </c>
      <c r="H38" s="95">
        <v>0.314</v>
      </c>
      <c r="I38" s="95">
        <v>0.32200000000000001</v>
      </c>
      <c r="J38" s="95">
        <v>0.33</v>
      </c>
      <c r="K38" s="95">
        <v>0.33800000000000002</v>
      </c>
      <c r="L38" s="95">
        <v>0.34699999999999998</v>
      </c>
      <c r="M38" s="95">
        <v>0.35599999999999998</v>
      </c>
      <c r="N38" s="95">
        <v>0.36499999999999999</v>
      </c>
      <c r="O38" s="95">
        <v>0.375</v>
      </c>
      <c r="P38" s="95">
        <v>0.38500000000000001</v>
      </c>
      <c r="Q38" s="95">
        <v>0.39600000000000002</v>
      </c>
      <c r="R38" s="95">
        <v>0.40699999999999997</v>
      </c>
      <c r="S38" s="95">
        <v>0.41899999999999998</v>
      </c>
      <c r="T38" s="95">
        <v>0.43099999999999999</v>
      </c>
      <c r="U38" s="95">
        <v>0.443</v>
      </c>
      <c r="V38" s="95">
        <v>0.45700000000000002</v>
      </c>
      <c r="W38" s="95">
        <v>0.47099999999999997</v>
      </c>
      <c r="X38" s="95">
        <v>0.48499999999999999</v>
      </c>
      <c r="Y38" s="95">
        <v>0.5</v>
      </c>
      <c r="Z38" s="95">
        <v>0.51600000000000001</v>
      </c>
      <c r="AA38" s="95">
        <v>0.53300000000000003</v>
      </c>
      <c r="AB38" s="95">
        <v>0.55100000000000005</v>
      </c>
      <c r="AC38" s="95">
        <v>0.56999999999999995</v>
      </c>
      <c r="AD38" s="95">
        <v>0.58899999999999997</v>
      </c>
      <c r="AE38" s="95">
        <v>0.61</v>
      </c>
      <c r="AF38" s="95">
        <v>0.63200000000000001</v>
      </c>
      <c r="AG38" s="95">
        <v>0.65600000000000003</v>
      </c>
      <c r="AH38" s="95">
        <v>0.68</v>
      </c>
      <c r="AI38" s="95">
        <v>0.70699999999999996</v>
      </c>
      <c r="AJ38" s="95">
        <v>0.73499999999999999</v>
      </c>
      <c r="AK38" s="95">
        <v>0.76500000000000001</v>
      </c>
      <c r="AL38" s="95">
        <v>0.79700000000000004</v>
      </c>
      <c r="AM38" s="95">
        <v>0.83099999999999996</v>
      </c>
      <c r="AN38" s="95">
        <v>0.86799999999999999</v>
      </c>
      <c r="AO38" s="95">
        <v>0.90800000000000003</v>
      </c>
      <c r="AP38" s="95">
        <v>0.95</v>
      </c>
      <c r="AQ38" s="95">
        <v>0.996</v>
      </c>
    </row>
    <row r="44" spans="1:43" ht="39.6" customHeight="1" x14ac:dyDescent="0.25"/>
    <row r="46" spans="1:43" ht="27.6" customHeight="1" x14ac:dyDescent="0.25"/>
  </sheetData>
  <sheetProtection algorithmName="SHA-512" hashValue="hjo7QJESOEMqwBEVMI98LJLbfbWsI3vvL8IF1WQpH1nwnEG+Srs9dSO25y4hw4G7esIwHYvV53fR57+5T7sQXw==" saltValue="MKfhU5mYc78NvsPvhIPvpA==" spinCount="100000" sheet="1" objects="1" scenarios="1"/>
  <conditionalFormatting sqref="A6:A21">
    <cfRule type="expression" dxfId="543" priority="13" stopIfTrue="1">
      <formula>MOD(ROW(),2)=0</formula>
    </cfRule>
    <cfRule type="expression" dxfId="542" priority="14" stopIfTrue="1">
      <formula>MOD(ROW(),2)&lt;&gt;0</formula>
    </cfRule>
  </conditionalFormatting>
  <conditionalFormatting sqref="A26:A38">
    <cfRule type="expression" dxfId="541" priority="5" stopIfTrue="1">
      <formula>MOD(ROW(),2)=0</formula>
    </cfRule>
    <cfRule type="expression" dxfId="540" priority="6" stopIfTrue="1">
      <formula>MOD(ROW(),2)&lt;&gt;0</formula>
    </cfRule>
  </conditionalFormatting>
  <conditionalFormatting sqref="B17:B21">
    <cfRule type="expression" dxfId="539" priority="1" stopIfTrue="1">
      <formula>MOD(ROW(),2)=0</formula>
    </cfRule>
    <cfRule type="expression" dxfId="538" priority="2" stopIfTrue="1">
      <formula>MOD(ROW(),2)&lt;&gt;0</formula>
    </cfRule>
  </conditionalFormatting>
  <conditionalFormatting sqref="B6:AQ21">
    <cfRule type="expression" dxfId="537" priority="25" stopIfTrue="1">
      <formula>MOD(ROW(),2)=0</formula>
    </cfRule>
    <cfRule type="expression" dxfId="536" priority="26" stopIfTrue="1">
      <formula>MOD(ROW(),2)&lt;&gt;0</formula>
    </cfRule>
  </conditionalFormatting>
  <conditionalFormatting sqref="B26:AQ38">
    <cfRule type="expression" dxfId="535" priority="7" stopIfTrue="1">
      <formula>MOD(ROW(),2)=0</formula>
    </cfRule>
    <cfRule type="expression" dxfId="534" priority="8" stopIfTrue="1">
      <formula>MOD(ROW(),2)&lt;&gt;0</formula>
    </cfRule>
  </conditionalFormatting>
  <conditionalFormatting sqref="C18:C21">
    <cfRule type="expression" dxfId="533" priority="17" stopIfTrue="1">
      <formula>MOD(ROW(),2)=0</formula>
    </cfRule>
    <cfRule type="expression" dxfId="532" priority="18" stopIfTrue="1">
      <formula>MOD(ROW(),2)&lt;&gt;0</formula>
    </cfRule>
  </conditionalFormatting>
  <conditionalFormatting sqref="C17:AQ17">
    <cfRule type="expression" dxfId="531" priority="9" stopIfTrue="1">
      <formula>MOD(ROW(),2)=0</formula>
    </cfRule>
    <cfRule type="expression" dxfId="53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Pension Debit - x-321</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402</v>
      </c>
      <c r="C9" s="152"/>
      <c r="D9" s="152"/>
      <c r="E9" s="152"/>
      <c r="F9" s="152"/>
      <c r="G9" s="152"/>
      <c r="H9" s="152"/>
      <c r="I9" s="152"/>
      <c r="J9" s="152"/>
      <c r="K9" s="152"/>
    </row>
    <row r="10" spans="1:11" x14ac:dyDescent="0.25">
      <c r="A10" s="79" t="s">
        <v>233</v>
      </c>
      <c r="B10" s="152" t="s">
        <v>414</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415</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321</v>
      </c>
      <c r="C14" s="152"/>
      <c r="D14" s="152"/>
      <c r="E14" s="152"/>
      <c r="F14" s="152"/>
      <c r="G14" s="152"/>
      <c r="H14" s="152"/>
      <c r="I14" s="152"/>
      <c r="J14" s="152"/>
      <c r="K14" s="152"/>
    </row>
    <row r="15" spans="1:11" x14ac:dyDescent="0.25">
      <c r="A15" s="79" t="s">
        <v>569</v>
      </c>
      <c r="B15" s="152" t="s">
        <v>416</v>
      </c>
      <c r="C15" s="152"/>
      <c r="D15" s="152"/>
      <c r="E15" s="152"/>
      <c r="F15" s="152"/>
      <c r="G15" s="152"/>
      <c r="H15" s="152"/>
      <c r="I15" s="152"/>
      <c r="J15" s="152"/>
      <c r="K15" s="152"/>
    </row>
    <row r="16" spans="1:11" x14ac:dyDescent="0.25">
      <c r="A16" s="79" t="s">
        <v>313</v>
      </c>
      <c r="B16" s="152" t="s">
        <v>407</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45070</v>
      </c>
      <c r="C18" s="152"/>
      <c r="D18" s="152"/>
      <c r="E18" s="152"/>
      <c r="F18" s="152"/>
      <c r="G18" s="152"/>
      <c r="H18" s="152"/>
      <c r="I18" s="152"/>
      <c r="J18" s="152"/>
      <c r="K18" s="152"/>
    </row>
    <row r="19" spans="1:11" x14ac:dyDescent="0.25">
      <c r="A19" s="79" t="s">
        <v>316</v>
      </c>
      <c r="B19" s="154">
        <v>45014</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55</v>
      </c>
      <c r="C26" s="92">
        <v>56</v>
      </c>
      <c r="D26" s="92">
        <v>57</v>
      </c>
      <c r="E26" s="92">
        <v>58</v>
      </c>
      <c r="F26" s="92">
        <v>59</v>
      </c>
      <c r="G26" s="92">
        <v>60</v>
      </c>
      <c r="H26" s="92">
        <v>61</v>
      </c>
      <c r="I26" s="92">
        <v>62</v>
      </c>
      <c r="J26" s="92">
        <v>63</v>
      </c>
      <c r="K26" s="92">
        <v>64</v>
      </c>
    </row>
    <row r="27" spans="1:11" x14ac:dyDescent="0.25">
      <c r="A27" s="93">
        <v>0</v>
      </c>
      <c r="B27" s="95">
        <v>0.62</v>
      </c>
      <c r="C27" s="95">
        <v>0.64600000000000002</v>
      </c>
      <c r="D27" s="95">
        <v>0.67400000000000004</v>
      </c>
      <c r="E27" s="95">
        <v>0.70499999999999996</v>
      </c>
      <c r="F27" s="95">
        <v>0.73699999999999999</v>
      </c>
      <c r="G27" s="95">
        <v>0.77200000000000002</v>
      </c>
      <c r="H27" s="95">
        <v>0.81100000000000005</v>
      </c>
      <c r="I27" s="95">
        <v>0.85199999999999998</v>
      </c>
      <c r="J27" s="95">
        <v>0.89700000000000002</v>
      </c>
      <c r="K27" s="95">
        <v>0.94599999999999995</v>
      </c>
    </row>
    <row r="28" spans="1:11" x14ac:dyDescent="0.25">
      <c r="A28" s="93">
        <v>1</v>
      </c>
      <c r="B28" s="95">
        <v>0.622</v>
      </c>
      <c r="C28" s="95">
        <v>0.64800000000000002</v>
      </c>
      <c r="D28" s="95">
        <v>0.67700000000000005</v>
      </c>
      <c r="E28" s="95">
        <v>0.70699999999999996</v>
      </c>
      <c r="F28" s="95">
        <v>0.74</v>
      </c>
      <c r="G28" s="95">
        <v>0.77600000000000002</v>
      </c>
      <c r="H28" s="95">
        <v>0.81399999999999995</v>
      </c>
      <c r="I28" s="95">
        <v>0.85599999999999998</v>
      </c>
      <c r="J28" s="95">
        <v>0.90100000000000002</v>
      </c>
      <c r="K28" s="95">
        <v>0.95099999999999996</v>
      </c>
    </row>
    <row r="29" spans="1:11" x14ac:dyDescent="0.25">
      <c r="A29" s="93">
        <v>2</v>
      </c>
      <c r="B29" s="95">
        <v>0.624</v>
      </c>
      <c r="C29" s="95">
        <v>0.65100000000000002</v>
      </c>
      <c r="D29" s="95">
        <v>0.67900000000000005</v>
      </c>
      <c r="E29" s="95">
        <v>0.71</v>
      </c>
      <c r="F29" s="95">
        <v>0.74299999999999999</v>
      </c>
      <c r="G29" s="95">
        <v>0.77900000000000003</v>
      </c>
      <c r="H29" s="95">
        <v>0.81699999999999995</v>
      </c>
      <c r="I29" s="95">
        <v>0.85899999999999999</v>
      </c>
      <c r="J29" s="95">
        <v>0.90500000000000003</v>
      </c>
      <c r="K29" s="95">
        <v>0.95499999999999996</v>
      </c>
    </row>
    <row r="30" spans="1:11" x14ac:dyDescent="0.25">
      <c r="A30" s="93">
        <v>3</v>
      </c>
      <c r="B30" s="95">
        <v>0.626</v>
      </c>
      <c r="C30" s="95">
        <v>0.65300000000000002</v>
      </c>
      <c r="D30" s="95">
        <v>0.68200000000000005</v>
      </c>
      <c r="E30" s="95">
        <v>0.71299999999999997</v>
      </c>
      <c r="F30" s="95">
        <v>0.746</v>
      </c>
      <c r="G30" s="95">
        <v>0.78200000000000003</v>
      </c>
      <c r="H30" s="95">
        <v>0.82099999999999995</v>
      </c>
      <c r="I30" s="95">
        <v>0.86299999999999999</v>
      </c>
      <c r="J30" s="95">
        <v>0.90900000000000003</v>
      </c>
      <c r="K30" s="95">
        <v>0.96</v>
      </c>
    </row>
    <row r="31" spans="1:11" x14ac:dyDescent="0.25">
      <c r="A31" s="93">
        <v>4</v>
      </c>
      <c r="B31" s="95">
        <v>0.629</v>
      </c>
      <c r="C31" s="95">
        <v>0.65600000000000003</v>
      </c>
      <c r="D31" s="95">
        <v>0.68400000000000005</v>
      </c>
      <c r="E31" s="95">
        <v>0.71499999999999997</v>
      </c>
      <c r="F31" s="95">
        <v>0.749</v>
      </c>
      <c r="G31" s="95">
        <v>0.78500000000000003</v>
      </c>
      <c r="H31" s="95">
        <v>0.82399999999999995</v>
      </c>
      <c r="I31" s="95">
        <v>0.86699999999999999</v>
      </c>
      <c r="J31" s="95">
        <v>0.91300000000000003</v>
      </c>
      <c r="K31" s="95">
        <v>0.96399999999999997</v>
      </c>
    </row>
    <row r="32" spans="1:11" x14ac:dyDescent="0.25">
      <c r="A32" s="93">
        <v>5</v>
      </c>
      <c r="B32" s="95">
        <v>0.63100000000000001</v>
      </c>
      <c r="C32" s="95">
        <v>0.65800000000000003</v>
      </c>
      <c r="D32" s="95">
        <v>0.68700000000000006</v>
      </c>
      <c r="E32" s="95">
        <v>0.71799999999999997</v>
      </c>
      <c r="F32" s="95">
        <v>0.752</v>
      </c>
      <c r="G32" s="95">
        <v>0.78800000000000003</v>
      </c>
      <c r="H32" s="95">
        <v>0.82799999999999996</v>
      </c>
      <c r="I32" s="95">
        <v>0.871</v>
      </c>
      <c r="J32" s="95">
        <v>0.91700000000000004</v>
      </c>
      <c r="K32" s="95">
        <v>0.96899999999999997</v>
      </c>
    </row>
    <row r="33" spans="1:11" x14ac:dyDescent="0.25">
      <c r="A33" s="93">
        <v>6</v>
      </c>
      <c r="B33" s="95">
        <v>0.63300000000000001</v>
      </c>
      <c r="C33" s="95">
        <v>0.66</v>
      </c>
      <c r="D33" s="95">
        <v>0.68899999999999995</v>
      </c>
      <c r="E33" s="95">
        <v>0.72099999999999997</v>
      </c>
      <c r="F33" s="95">
        <v>0.755</v>
      </c>
      <c r="G33" s="95">
        <v>0.79100000000000004</v>
      </c>
      <c r="H33" s="95">
        <v>0.83099999999999996</v>
      </c>
      <c r="I33" s="95">
        <v>0.874</v>
      </c>
      <c r="J33" s="95">
        <v>0.92200000000000004</v>
      </c>
      <c r="K33" s="95">
        <v>0.97299999999999998</v>
      </c>
    </row>
    <row r="34" spans="1:11" x14ac:dyDescent="0.25">
      <c r="A34" s="93">
        <v>7</v>
      </c>
      <c r="B34" s="95">
        <v>0.63500000000000001</v>
      </c>
      <c r="C34" s="95">
        <v>0.66300000000000003</v>
      </c>
      <c r="D34" s="95">
        <v>0.69199999999999995</v>
      </c>
      <c r="E34" s="95">
        <v>0.72399999999999998</v>
      </c>
      <c r="F34" s="95">
        <v>0.75800000000000001</v>
      </c>
      <c r="G34" s="95">
        <v>0.79500000000000004</v>
      </c>
      <c r="H34" s="95">
        <v>0.83499999999999996</v>
      </c>
      <c r="I34" s="95">
        <v>0.878</v>
      </c>
      <c r="J34" s="95">
        <v>0.92600000000000005</v>
      </c>
      <c r="K34" s="95">
        <v>0.97799999999999998</v>
      </c>
    </row>
    <row r="35" spans="1:11" x14ac:dyDescent="0.25">
      <c r="A35" s="93">
        <v>8</v>
      </c>
      <c r="B35" s="95">
        <v>0.63700000000000001</v>
      </c>
      <c r="C35" s="95">
        <v>0.66500000000000004</v>
      </c>
      <c r="D35" s="95">
        <v>0.69399999999999995</v>
      </c>
      <c r="E35" s="95">
        <v>0.72599999999999998</v>
      </c>
      <c r="F35" s="95">
        <v>0.76100000000000001</v>
      </c>
      <c r="G35" s="95">
        <v>0.79800000000000004</v>
      </c>
      <c r="H35" s="95">
        <v>0.83799999999999997</v>
      </c>
      <c r="I35" s="95">
        <v>0.88200000000000001</v>
      </c>
      <c r="J35" s="95">
        <v>0.93</v>
      </c>
      <c r="K35" s="95">
        <v>0.98199999999999998</v>
      </c>
    </row>
    <row r="36" spans="1:11" x14ac:dyDescent="0.25">
      <c r="A36" s="93">
        <v>9</v>
      </c>
      <c r="B36" s="95">
        <v>0.64</v>
      </c>
      <c r="C36" s="95">
        <v>0.66700000000000004</v>
      </c>
      <c r="D36" s="95">
        <v>0.69699999999999995</v>
      </c>
      <c r="E36" s="95">
        <v>0.72899999999999998</v>
      </c>
      <c r="F36" s="95">
        <v>0.76400000000000001</v>
      </c>
      <c r="G36" s="95">
        <v>0.80100000000000005</v>
      </c>
      <c r="H36" s="95">
        <v>0.84199999999999997</v>
      </c>
      <c r="I36" s="95">
        <v>0.88600000000000001</v>
      </c>
      <c r="J36" s="95">
        <v>0.93400000000000005</v>
      </c>
      <c r="K36" s="95">
        <v>0.98699999999999999</v>
      </c>
    </row>
    <row r="37" spans="1:11" x14ac:dyDescent="0.25">
      <c r="A37" s="93">
        <v>10</v>
      </c>
      <c r="B37" s="95">
        <v>0.64200000000000002</v>
      </c>
      <c r="C37" s="95">
        <v>0.67</v>
      </c>
      <c r="D37" s="95">
        <v>0.7</v>
      </c>
      <c r="E37" s="95">
        <v>0.73199999999999998</v>
      </c>
      <c r="F37" s="95">
        <v>0.76700000000000002</v>
      </c>
      <c r="G37" s="95">
        <v>0.80400000000000005</v>
      </c>
      <c r="H37" s="95">
        <v>0.84499999999999997</v>
      </c>
      <c r="I37" s="95">
        <v>0.88900000000000001</v>
      </c>
      <c r="J37" s="95">
        <v>0.93799999999999994</v>
      </c>
      <c r="K37" s="95">
        <v>0.99099999999999999</v>
      </c>
    </row>
    <row r="38" spans="1:11" x14ac:dyDescent="0.25">
      <c r="A38" s="93">
        <v>11</v>
      </c>
      <c r="B38" s="95">
        <v>0.64400000000000002</v>
      </c>
      <c r="C38" s="95">
        <v>0.67200000000000004</v>
      </c>
      <c r="D38" s="95">
        <v>0.70199999999999996</v>
      </c>
      <c r="E38" s="95">
        <v>0.73399999999999999</v>
      </c>
      <c r="F38" s="95">
        <v>0.76900000000000002</v>
      </c>
      <c r="G38" s="95">
        <v>0.80700000000000005</v>
      </c>
      <c r="H38" s="95">
        <v>0.84799999999999998</v>
      </c>
      <c r="I38" s="95">
        <v>0.89300000000000002</v>
      </c>
      <c r="J38" s="95">
        <v>0.94199999999999995</v>
      </c>
      <c r="K38" s="95">
        <v>0.996</v>
      </c>
    </row>
    <row r="44" spans="1:11" ht="39.6" customHeight="1" x14ac:dyDescent="0.25"/>
    <row r="46" spans="1:11" ht="27.6" customHeight="1" x14ac:dyDescent="0.25"/>
  </sheetData>
  <sheetProtection algorithmName="SHA-512" hashValue="Gv5l8ABGQ/W6K1IbwbGQ0US8E1JAhKMKDotuOXbGfpU7DBj00fAzJBt6LF+oeEA5C+dPS7cFGc/o4Xg4e4AN9w==" saltValue="Ayj7Qa4qYPgNuaqggVrXsQ==" spinCount="100000" sheet="1" objects="1" scenarios="1"/>
  <conditionalFormatting sqref="A6:A21">
    <cfRule type="expression" dxfId="529" priority="13" stopIfTrue="1">
      <formula>MOD(ROW(),2)=0</formula>
    </cfRule>
    <cfRule type="expression" dxfId="528" priority="14" stopIfTrue="1">
      <formula>MOD(ROW(),2)&lt;&gt;0</formula>
    </cfRule>
  </conditionalFormatting>
  <conditionalFormatting sqref="A26:A38">
    <cfRule type="expression" dxfId="527" priority="5" stopIfTrue="1">
      <formula>MOD(ROW(),2)=0</formula>
    </cfRule>
    <cfRule type="expression" dxfId="526" priority="6" stopIfTrue="1">
      <formula>MOD(ROW(),2)&lt;&gt;0</formula>
    </cfRule>
  </conditionalFormatting>
  <conditionalFormatting sqref="B17:C21">
    <cfRule type="expression" dxfId="525" priority="1" stopIfTrue="1">
      <formula>MOD(ROW(),2)=0</formula>
    </cfRule>
    <cfRule type="expression" dxfId="524" priority="2" stopIfTrue="1">
      <formula>MOD(ROW(),2)&lt;&gt;0</formula>
    </cfRule>
  </conditionalFormatting>
  <conditionalFormatting sqref="B6:K21">
    <cfRule type="expression" dxfId="523" priority="25" stopIfTrue="1">
      <formula>MOD(ROW(),2)=0</formula>
    </cfRule>
    <cfRule type="expression" dxfId="522" priority="26" stopIfTrue="1">
      <formula>MOD(ROW(),2)&lt;&gt;0</formula>
    </cfRule>
  </conditionalFormatting>
  <conditionalFormatting sqref="B26:K38">
    <cfRule type="expression" dxfId="521" priority="7" stopIfTrue="1">
      <formula>MOD(ROW(),2)=0</formula>
    </cfRule>
    <cfRule type="expression" dxfId="52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6"/>
  <sheetViews>
    <sheetView showGridLines="0" zoomScale="85" zoomScaleNormal="85" workbookViewId="0">
      <selection activeCell="A4" sqref="A4"/>
    </sheetView>
  </sheetViews>
  <sheetFormatPr defaultColWidth="10" defaultRowHeight="13.2" x14ac:dyDescent="0.25"/>
  <cols>
    <col min="1" max="1" width="31.77734375" style="27" customWidth="1"/>
    <col min="2" max="6" width="22.77734375" style="27" customWidth="1"/>
    <col min="7"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TABLE_FACTOR_TYPE_1&amp;" - x-"&amp;TABLE_SERIES_NUMBER_1</f>
        <v>Pension Debit - x-322</v>
      </c>
      <c r="B3" s="43"/>
      <c r="C3" s="43"/>
      <c r="D3" s="43"/>
      <c r="E3" s="43"/>
      <c r="F3" s="43"/>
      <c r="G3" s="43"/>
      <c r="H3" s="43"/>
    </row>
    <row r="4" spans="1:8" x14ac:dyDescent="0.25">
      <c r="A4" s="45"/>
    </row>
    <row r="6" spans="1:8" x14ac:dyDescent="0.25">
      <c r="A6" s="77" t="s">
        <v>558</v>
      </c>
      <c r="B6" s="152" t="s">
        <v>559</v>
      </c>
      <c r="C6" s="152"/>
      <c r="D6" s="152"/>
      <c r="E6" s="152"/>
      <c r="F6" s="152"/>
    </row>
    <row r="7" spans="1:8" x14ac:dyDescent="0.25">
      <c r="A7" s="79" t="s">
        <v>305</v>
      </c>
      <c r="B7" s="152" t="s">
        <v>319</v>
      </c>
      <c r="C7" s="152"/>
      <c r="D7" s="152"/>
      <c r="E7" s="152"/>
      <c r="F7" s="152"/>
    </row>
    <row r="8" spans="1:8" x14ac:dyDescent="0.25">
      <c r="A8" s="79" t="s">
        <v>306</v>
      </c>
      <c r="B8" s="152">
        <v>2007</v>
      </c>
      <c r="C8" s="152"/>
      <c r="D8" s="152"/>
      <c r="E8" s="152"/>
      <c r="F8" s="152"/>
    </row>
    <row r="9" spans="1:8" x14ac:dyDescent="0.25">
      <c r="A9" s="79" t="s">
        <v>307</v>
      </c>
      <c r="B9" s="152" t="s">
        <v>402</v>
      </c>
      <c r="C9" s="152"/>
      <c r="D9" s="152"/>
      <c r="E9" s="152"/>
      <c r="F9" s="152"/>
    </row>
    <row r="10" spans="1:8" x14ac:dyDescent="0.25">
      <c r="A10" s="79" t="s">
        <v>233</v>
      </c>
      <c r="B10" s="152" t="s">
        <v>417</v>
      </c>
      <c r="C10" s="152"/>
      <c r="D10" s="152"/>
      <c r="E10" s="152"/>
      <c r="F10" s="152"/>
    </row>
    <row r="11" spans="1:8" x14ac:dyDescent="0.25">
      <c r="A11" s="79" t="s">
        <v>308</v>
      </c>
      <c r="B11" s="152" t="s">
        <v>404</v>
      </c>
      <c r="C11" s="152"/>
      <c r="D11" s="152"/>
      <c r="E11" s="152"/>
      <c r="F11" s="152"/>
    </row>
    <row r="12" spans="1:8" x14ac:dyDescent="0.25">
      <c r="A12" s="79" t="s">
        <v>309</v>
      </c>
      <c r="B12" s="152" t="s">
        <v>415</v>
      </c>
      <c r="C12" s="152"/>
      <c r="D12" s="152"/>
      <c r="E12" s="152"/>
      <c r="F12" s="152"/>
    </row>
    <row r="13" spans="1:8" x14ac:dyDescent="0.25">
      <c r="A13" s="79" t="s">
        <v>566</v>
      </c>
      <c r="B13" s="152">
        <v>1</v>
      </c>
      <c r="C13" s="152"/>
      <c r="D13" s="152"/>
      <c r="E13" s="152"/>
      <c r="F13" s="152"/>
    </row>
    <row r="14" spans="1:8" x14ac:dyDescent="0.25">
      <c r="A14" s="79" t="s">
        <v>311</v>
      </c>
      <c r="B14" s="152">
        <v>322</v>
      </c>
      <c r="C14" s="152"/>
      <c r="D14" s="152"/>
      <c r="E14" s="152"/>
      <c r="F14" s="152"/>
    </row>
    <row r="15" spans="1:8" x14ac:dyDescent="0.25">
      <c r="A15" s="79" t="s">
        <v>569</v>
      </c>
      <c r="B15" s="152" t="s">
        <v>418</v>
      </c>
      <c r="C15" s="152"/>
      <c r="D15" s="152"/>
      <c r="E15" s="152"/>
      <c r="F15" s="152"/>
    </row>
    <row r="16" spans="1:8" x14ac:dyDescent="0.25">
      <c r="A16" s="79" t="s">
        <v>313</v>
      </c>
      <c r="B16" s="152" t="s">
        <v>419</v>
      </c>
      <c r="C16" s="152"/>
      <c r="D16" s="152"/>
      <c r="E16" s="152"/>
      <c r="F16" s="152"/>
    </row>
    <row r="17" spans="1:6" x14ac:dyDescent="0.25">
      <c r="A17" s="79" t="s">
        <v>639</v>
      </c>
      <c r="B17" s="152"/>
      <c r="C17" s="152"/>
      <c r="D17" s="152"/>
      <c r="E17" s="152"/>
      <c r="F17" s="152"/>
    </row>
    <row r="18" spans="1:6" x14ac:dyDescent="0.25">
      <c r="A18" s="79" t="s">
        <v>315</v>
      </c>
      <c r="B18" s="154">
        <v>45070</v>
      </c>
      <c r="C18" s="152"/>
      <c r="D18" s="152"/>
      <c r="E18" s="152"/>
      <c r="F18" s="152"/>
    </row>
    <row r="19" spans="1:6" x14ac:dyDescent="0.25">
      <c r="A19" s="79" t="s">
        <v>316</v>
      </c>
      <c r="B19" s="154">
        <v>45014</v>
      </c>
      <c r="C19" s="152"/>
      <c r="D19" s="152"/>
      <c r="E19" s="152"/>
      <c r="F19" s="152"/>
    </row>
    <row r="20" spans="1:6" x14ac:dyDescent="0.25">
      <c r="A20" s="79" t="s">
        <v>317</v>
      </c>
      <c r="B20" s="152" t="s">
        <v>326</v>
      </c>
      <c r="C20" s="152"/>
      <c r="D20" s="152"/>
      <c r="E20" s="152"/>
      <c r="F20" s="152"/>
    </row>
    <row r="21" spans="1:6" x14ac:dyDescent="0.25">
      <c r="A21" s="79" t="s">
        <v>318</v>
      </c>
      <c r="B21" s="152" t="s">
        <v>327</v>
      </c>
      <c r="C21" s="152"/>
      <c r="D21" s="152"/>
      <c r="E21" s="152"/>
      <c r="F21" s="152"/>
    </row>
    <row r="23" spans="1:6" x14ac:dyDescent="0.25">
      <c r="B23" s="96" t="str">
        <f>HYPERLINK("#'Factor List'!A1","Back to Factor List")</f>
        <v>Back to Factor List</v>
      </c>
    </row>
    <row r="24" spans="1:6" x14ac:dyDescent="0.25">
      <c r="B24" s="96" t="str">
        <f>HYPERLINK("#'Assumptions'!A1","Assumptions")</f>
        <v>Assumptions</v>
      </c>
    </row>
    <row r="26" spans="1:6" x14ac:dyDescent="0.25">
      <c r="A26" s="92" t="s">
        <v>664</v>
      </c>
      <c r="B26" s="92">
        <v>55</v>
      </c>
      <c r="C26" s="92">
        <v>56</v>
      </c>
      <c r="D26" s="92">
        <v>57</v>
      </c>
      <c r="E26" s="92">
        <v>58</v>
      </c>
      <c r="F26" s="92">
        <v>59</v>
      </c>
    </row>
    <row r="27" spans="1:6" x14ac:dyDescent="0.25">
      <c r="A27" s="93">
        <v>0</v>
      </c>
      <c r="B27" s="95">
        <v>0.8</v>
      </c>
      <c r="C27" s="95">
        <v>0.83399999999999996</v>
      </c>
      <c r="D27" s="95">
        <v>0.871</v>
      </c>
      <c r="E27" s="95">
        <v>0.91100000000000003</v>
      </c>
      <c r="F27" s="95">
        <v>0.95399999999999996</v>
      </c>
    </row>
    <row r="28" spans="1:6" x14ac:dyDescent="0.25">
      <c r="A28" s="93">
        <v>1</v>
      </c>
      <c r="B28" s="95">
        <v>0.80200000000000005</v>
      </c>
      <c r="C28" s="95">
        <v>0.83699999999999997</v>
      </c>
      <c r="D28" s="95">
        <v>0.874</v>
      </c>
      <c r="E28" s="95">
        <v>0.91400000000000003</v>
      </c>
      <c r="F28" s="95">
        <v>0.95799999999999996</v>
      </c>
    </row>
    <row r="29" spans="1:6" x14ac:dyDescent="0.25">
      <c r="A29" s="93">
        <v>2</v>
      </c>
      <c r="B29" s="95">
        <v>0.80500000000000005</v>
      </c>
      <c r="C29" s="95">
        <v>0.84</v>
      </c>
      <c r="D29" s="95">
        <v>0.878</v>
      </c>
      <c r="E29" s="95">
        <v>0.91800000000000004</v>
      </c>
      <c r="F29" s="95">
        <v>0.96099999999999997</v>
      </c>
    </row>
    <row r="30" spans="1:6" x14ac:dyDescent="0.25">
      <c r="A30" s="93">
        <v>3</v>
      </c>
      <c r="B30" s="95">
        <v>0.80800000000000005</v>
      </c>
      <c r="C30" s="95">
        <v>0.84299999999999997</v>
      </c>
      <c r="D30" s="95">
        <v>0.88100000000000001</v>
      </c>
      <c r="E30" s="95">
        <v>0.92200000000000004</v>
      </c>
      <c r="F30" s="95">
        <v>0.96499999999999997</v>
      </c>
    </row>
    <row r="31" spans="1:6" x14ac:dyDescent="0.25">
      <c r="A31" s="93">
        <v>4</v>
      </c>
      <c r="B31" s="95">
        <v>0.81100000000000005</v>
      </c>
      <c r="C31" s="95">
        <v>0.84599999999999997</v>
      </c>
      <c r="D31" s="95">
        <v>0.88400000000000001</v>
      </c>
      <c r="E31" s="95">
        <v>0.92500000000000004</v>
      </c>
      <c r="F31" s="95">
        <v>0.96899999999999997</v>
      </c>
    </row>
    <row r="32" spans="1:6" x14ac:dyDescent="0.25">
      <c r="A32" s="93">
        <v>5</v>
      </c>
      <c r="B32" s="95">
        <v>0.81399999999999995</v>
      </c>
      <c r="C32" s="95">
        <v>0.84899999999999998</v>
      </c>
      <c r="D32" s="95">
        <v>0.88800000000000001</v>
      </c>
      <c r="E32" s="95">
        <v>0.92900000000000005</v>
      </c>
      <c r="F32" s="95">
        <v>0.97299999999999998</v>
      </c>
    </row>
    <row r="33" spans="1:6" x14ac:dyDescent="0.25">
      <c r="A33" s="93">
        <v>6</v>
      </c>
      <c r="B33" s="95">
        <v>0.81699999999999995</v>
      </c>
      <c r="C33" s="95">
        <v>0.85299999999999998</v>
      </c>
      <c r="D33" s="95">
        <v>0.89100000000000001</v>
      </c>
      <c r="E33" s="95">
        <v>0.93200000000000005</v>
      </c>
      <c r="F33" s="95">
        <v>0.97699999999999998</v>
      </c>
    </row>
    <row r="34" spans="1:6" x14ac:dyDescent="0.25">
      <c r="A34" s="93">
        <v>7</v>
      </c>
      <c r="B34" s="95">
        <v>0.82</v>
      </c>
      <c r="C34" s="95">
        <v>0.85599999999999998</v>
      </c>
      <c r="D34" s="95">
        <v>0.89400000000000002</v>
      </c>
      <c r="E34" s="95">
        <v>0.93600000000000005</v>
      </c>
      <c r="F34" s="95">
        <v>0.98099999999999998</v>
      </c>
    </row>
    <row r="35" spans="1:6" x14ac:dyDescent="0.25">
      <c r="A35" s="93">
        <v>8</v>
      </c>
      <c r="B35" s="95">
        <v>0.82299999999999995</v>
      </c>
      <c r="C35" s="95">
        <v>0.85899999999999999</v>
      </c>
      <c r="D35" s="95">
        <v>0.89800000000000002</v>
      </c>
      <c r="E35" s="95">
        <v>0.93899999999999995</v>
      </c>
      <c r="F35" s="95">
        <v>0.98499999999999999</v>
      </c>
    </row>
    <row r="36" spans="1:6" x14ac:dyDescent="0.25">
      <c r="A36" s="93">
        <v>9</v>
      </c>
      <c r="B36" s="95">
        <v>0.82499999999999996</v>
      </c>
      <c r="C36" s="95">
        <v>0.86199999999999999</v>
      </c>
      <c r="D36" s="95">
        <v>0.90100000000000002</v>
      </c>
      <c r="E36" s="95">
        <v>0.94299999999999995</v>
      </c>
      <c r="F36" s="95">
        <v>0.98799999999999999</v>
      </c>
    </row>
    <row r="37" spans="1:6" x14ac:dyDescent="0.25">
      <c r="A37" s="93">
        <v>10</v>
      </c>
      <c r="B37" s="95">
        <v>0.82799999999999996</v>
      </c>
      <c r="C37" s="95">
        <v>0.86499999999999999</v>
      </c>
      <c r="D37" s="95">
        <v>0.90400000000000003</v>
      </c>
      <c r="E37" s="95">
        <v>0.94699999999999995</v>
      </c>
      <c r="F37" s="95">
        <v>0.99199999999999999</v>
      </c>
    </row>
    <row r="38" spans="1:6" x14ac:dyDescent="0.25">
      <c r="A38" s="93">
        <v>11</v>
      </c>
      <c r="B38" s="95">
        <v>0.83099999999999996</v>
      </c>
      <c r="C38" s="95">
        <v>0.86799999999999999</v>
      </c>
      <c r="D38" s="95">
        <v>0.90800000000000003</v>
      </c>
      <c r="E38" s="95">
        <v>0.95</v>
      </c>
      <c r="F38" s="95">
        <v>0.996</v>
      </c>
    </row>
    <row r="44" spans="1:6" ht="39.6" customHeight="1" x14ac:dyDescent="0.25"/>
    <row r="46" spans="1:6" ht="27.6" customHeight="1" x14ac:dyDescent="0.25"/>
  </sheetData>
  <sheetProtection algorithmName="SHA-512" hashValue="nNPn3xC8McR4MbWu41a3hNHmDtBE8d9cutGIUkU8TyM4yGQ8yAGj/y9z8gpI84wR6ZXEgRTp/crArEbR736TBA==" saltValue="wgxQrXej8nnQv3bwAgx4Eg==" spinCount="100000" sheet="1" objects="1" scenarios="1"/>
  <conditionalFormatting sqref="A6:A21">
    <cfRule type="expression" dxfId="519" priority="13" stopIfTrue="1">
      <formula>MOD(ROW(),2)=0</formula>
    </cfRule>
    <cfRule type="expression" dxfId="518" priority="14" stopIfTrue="1">
      <formula>MOD(ROW(),2)&lt;&gt;0</formula>
    </cfRule>
  </conditionalFormatting>
  <conditionalFormatting sqref="A26:A38">
    <cfRule type="expression" dxfId="517" priority="5" stopIfTrue="1">
      <formula>MOD(ROW(),2)=0</formula>
    </cfRule>
    <cfRule type="expression" dxfId="516" priority="6" stopIfTrue="1">
      <formula>MOD(ROW(),2)&lt;&gt;0</formula>
    </cfRule>
  </conditionalFormatting>
  <conditionalFormatting sqref="B17:C21">
    <cfRule type="expression" dxfId="515" priority="1" stopIfTrue="1">
      <formula>MOD(ROW(),2)=0</formula>
    </cfRule>
    <cfRule type="expression" dxfId="514" priority="2" stopIfTrue="1">
      <formula>MOD(ROW(),2)&lt;&gt;0</formula>
    </cfRule>
  </conditionalFormatting>
  <conditionalFormatting sqref="B6:F21">
    <cfRule type="expression" dxfId="513" priority="25" stopIfTrue="1">
      <formula>MOD(ROW(),2)=0</formula>
    </cfRule>
    <cfRule type="expression" dxfId="512" priority="26" stopIfTrue="1">
      <formula>MOD(ROW(),2)&lt;&gt;0</formula>
    </cfRule>
  </conditionalFormatting>
  <conditionalFormatting sqref="B26:F38">
    <cfRule type="expression" dxfId="511" priority="7" stopIfTrue="1">
      <formula>MOD(ROW(),2)=0</formula>
    </cfRule>
    <cfRule type="expression" dxfId="51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Pension Debit - x-323</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402</v>
      </c>
      <c r="C9" s="152"/>
      <c r="D9" s="152"/>
      <c r="E9" s="152"/>
      <c r="F9" s="152"/>
      <c r="G9" s="152"/>
      <c r="H9" s="152"/>
      <c r="I9" s="152"/>
      <c r="J9" s="152"/>
      <c r="K9" s="152"/>
    </row>
    <row r="10" spans="1:11" x14ac:dyDescent="0.25">
      <c r="A10" s="79" t="s">
        <v>233</v>
      </c>
      <c r="B10" s="152" t="s">
        <v>420</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415</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323</v>
      </c>
      <c r="C14" s="152"/>
      <c r="D14" s="152"/>
      <c r="E14" s="152"/>
      <c r="F14" s="152"/>
      <c r="G14" s="152"/>
      <c r="H14" s="152"/>
      <c r="I14" s="152"/>
      <c r="J14" s="152"/>
      <c r="K14" s="152"/>
    </row>
    <row r="15" spans="1:11" x14ac:dyDescent="0.25">
      <c r="A15" s="79" t="s">
        <v>569</v>
      </c>
      <c r="B15" s="152" t="s">
        <v>421</v>
      </c>
      <c r="C15" s="152"/>
      <c r="D15" s="152"/>
      <c r="E15" s="152"/>
      <c r="F15" s="152"/>
      <c r="G15" s="152"/>
      <c r="H15" s="152"/>
      <c r="I15" s="152"/>
      <c r="J15" s="152"/>
      <c r="K15" s="152"/>
    </row>
    <row r="16" spans="1:11" x14ac:dyDescent="0.25">
      <c r="A16" s="79" t="s">
        <v>313</v>
      </c>
      <c r="B16" s="152" t="s">
        <v>410</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45070</v>
      </c>
      <c r="C18" s="152"/>
      <c r="D18" s="152"/>
      <c r="E18" s="152"/>
      <c r="F18" s="152"/>
      <c r="G18" s="152"/>
      <c r="H18" s="152"/>
      <c r="I18" s="152"/>
      <c r="J18" s="152"/>
      <c r="K18" s="152"/>
    </row>
    <row r="19" spans="1:11" x14ac:dyDescent="0.25">
      <c r="A19" s="79" t="s">
        <v>316</v>
      </c>
      <c r="B19" s="154">
        <v>45014</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65</v>
      </c>
      <c r="C26" s="92">
        <v>66</v>
      </c>
      <c r="D26" s="92">
        <v>67</v>
      </c>
      <c r="E26" s="92">
        <v>68</v>
      </c>
      <c r="F26" s="92">
        <v>69</v>
      </c>
      <c r="G26" s="92">
        <v>70</v>
      </c>
      <c r="H26" s="92">
        <v>71</v>
      </c>
      <c r="I26" s="92">
        <v>72</v>
      </c>
      <c r="J26" s="92">
        <v>73</v>
      </c>
      <c r="K26" s="92">
        <v>74</v>
      </c>
    </row>
    <row r="27" spans="1:11" x14ac:dyDescent="0.25">
      <c r="A27" s="93">
        <v>0</v>
      </c>
      <c r="B27" s="95">
        <v>1</v>
      </c>
      <c r="C27" s="95">
        <v>1.0589999999999999</v>
      </c>
      <c r="D27" s="95">
        <v>1.125</v>
      </c>
      <c r="E27" s="95">
        <v>1.1970000000000001</v>
      </c>
      <c r="F27" s="95">
        <v>1.276</v>
      </c>
      <c r="G27" s="95">
        <v>1.363</v>
      </c>
      <c r="H27" s="95">
        <v>1.46</v>
      </c>
      <c r="I27" s="95">
        <v>1.5669999999999999</v>
      </c>
      <c r="J27" s="95">
        <v>1.6859999999999999</v>
      </c>
      <c r="K27" s="95">
        <v>1.819</v>
      </c>
    </row>
    <row r="28" spans="1:11" x14ac:dyDescent="0.25">
      <c r="A28" s="93">
        <v>1</v>
      </c>
      <c r="B28" s="95">
        <v>1.0049999999999999</v>
      </c>
      <c r="C28" s="95">
        <v>1.0649999999999999</v>
      </c>
      <c r="D28" s="95">
        <v>1.131</v>
      </c>
      <c r="E28" s="95">
        <v>1.2030000000000001</v>
      </c>
      <c r="F28" s="95">
        <v>1.2829999999999999</v>
      </c>
      <c r="G28" s="95">
        <v>1.371</v>
      </c>
      <c r="H28" s="95">
        <v>1.4690000000000001</v>
      </c>
      <c r="I28" s="95">
        <v>1.577</v>
      </c>
      <c r="J28" s="95">
        <v>1.6970000000000001</v>
      </c>
      <c r="K28" s="95">
        <v>1.831</v>
      </c>
    </row>
    <row r="29" spans="1:11" x14ac:dyDescent="0.25">
      <c r="A29" s="93">
        <v>2</v>
      </c>
      <c r="B29" s="95">
        <v>1.01</v>
      </c>
      <c r="C29" s="95">
        <v>1.07</v>
      </c>
      <c r="D29" s="95">
        <v>1.137</v>
      </c>
      <c r="E29" s="95">
        <v>1.21</v>
      </c>
      <c r="F29" s="95">
        <v>1.29</v>
      </c>
      <c r="G29" s="95">
        <v>1.379</v>
      </c>
      <c r="H29" s="95">
        <v>1.478</v>
      </c>
      <c r="I29" s="95">
        <v>1.587</v>
      </c>
      <c r="J29" s="95">
        <v>1.708</v>
      </c>
      <c r="K29" s="95">
        <v>1.8440000000000001</v>
      </c>
    </row>
    <row r="30" spans="1:11" x14ac:dyDescent="0.25">
      <c r="A30" s="93">
        <v>3</v>
      </c>
      <c r="B30" s="95">
        <v>1.0149999999999999</v>
      </c>
      <c r="C30" s="95">
        <v>1.0760000000000001</v>
      </c>
      <c r="D30" s="95">
        <v>1.143</v>
      </c>
      <c r="E30" s="95">
        <v>1.2170000000000001</v>
      </c>
      <c r="F30" s="95">
        <v>1.298</v>
      </c>
      <c r="G30" s="95">
        <v>1.387</v>
      </c>
      <c r="H30" s="95">
        <v>1.4870000000000001</v>
      </c>
      <c r="I30" s="95">
        <v>1.597</v>
      </c>
      <c r="J30" s="95">
        <v>1.7190000000000001</v>
      </c>
      <c r="K30" s="95">
        <v>1.8560000000000001</v>
      </c>
    </row>
    <row r="31" spans="1:11" x14ac:dyDescent="0.25">
      <c r="A31" s="93">
        <v>4</v>
      </c>
      <c r="B31" s="95">
        <v>1.02</v>
      </c>
      <c r="C31" s="95">
        <v>1.081</v>
      </c>
      <c r="D31" s="95">
        <v>1.149</v>
      </c>
      <c r="E31" s="95">
        <v>1.2230000000000001</v>
      </c>
      <c r="F31" s="95">
        <v>1.3049999999999999</v>
      </c>
      <c r="G31" s="95">
        <v>1.3959999999999999</v>
      </c>
      <c r="H31" s="95">
        <v>1.496</v>
      </c>
      <c r="I31" s="95">
        <v>1.607</v>
      </c>
      <c r="J31" s="95">
        <v>1.73</v>
      </c>
      <c r="K31" s="95">
        <v>1.869</v>
      </c>
    </row>
    <row r="32" spans="1:11" x14ac:dyDescent="0.25">
      <c r="A32" s="93">
        <v>5</v>
      </c>
      <c r="B32" s="95">
        <v>1.0249999999999999</v>
      </c>
      <c r="C32" s="95">
        <v>1.087</v>
      </c>
      <c r="D32" s="95">
        <v>1.155</v>
      </c>
      <c r="E32" s="95">
        <v>1.23</v>
      </c>
      <c r="F32" s="95">
        <v>1.3120000000000001</v>
      </c>
      <c r="G32" s="95">
        <v>1.4039999999999999</v>
      </c>
      <c r="H32" s="95">
        <v>1.5049999999999999</v>
      </c>
      <c r="I32" s="95">
        <v>1.617</v>
      </c>
      <c r="J32" s="95">
        <v>1.742</v>
      </c>
      <c r="K32" s="95">
        <v>1.881</v>
      </c>
    </row>
    <row r="33" spans="1:11" x14ac:dyDescent="0.25">
      <c r="A33" s="93">
        <v>6</v>
      </c>
      <c r="B33" s="95">
        <v>1.03</v>
      </c>
      <c r="C33" s="95">
        <v>1.0920000000000001</v>
      </c>
      <c r="D33" s="95">
        <v>1.161</v>
      </c>
      <c r="E33" s="95">
        <v>1.236</v>
      </c>
      <c r="F33" s="95">
        <v>1.32</v>
      </c>
      <c r="G33" s="95">
        <v>1.4119999999999999</v>
      </c>
      <c r="H33" s="95">
        <v>1.5129999999999999</v>
      </c>
      <c r="I33" s="95">
        <v>1.627</v>
      </c>
      <c r="J33" s="95">
        <v>1.7529999999999999</v>
      </c>
      <c r="K33" s="95">
        <v>1.893</v>
      </c>
    </row>
    <row r="34" spans="1:11" x14ac:dyDescent="0.25">
      <c r="A34" s="93">
        <v>7</v>
      </c>
      <c r="B34" s="95">
        <v>1.0349999999999999</v>
      </c>
      <c r="C34" s="95">
        <v>1.0980000000000001</v>
      </c>
      <c r="D34" s="95">
        <v>1.167</v>
      </c>
      <c r="E34" s="95">
        <v>1.2430000000000001</v>
      </c>
      <c r="F34" s="95">
        <v>1.327</v>
      </c>
      <c r="G34" s="95">
        <v>1.42</v>
      </c>
      <c r="H34" s="95">
        <v>1.522</v>
      </c>
      <c r="I34" s="95">
        <v>1.637</v>
      </c>
      <c r="J34" s="95">
        <v>1.764</v>
      </c>
      <c r="K34" s="95">
        <v>1.9059999999999999</v>
      </c>
    </row>
    <row r="35" spans="1:11" x14ac:dyDescent="0.25">
      <c r="A35" s="93">
        <v>8</v>
      </c>
      <c r="B35" s="95">
        <v>1.04</v>
      </c>
      <c r="C35" s="95">
        <v>1.103</v>
      </c>
      <c r="D35" s="95">
        <v>1.173</v>
      </c>
      <c r="E35" s="95">
        <v>1.25</v>
      </c>
      <c r="F35" s="95">
        <v>1.3340000000000001</v>
      </c>
      <c r="G35" s="95">
        <v>1.4279999999999999</v>
      </c>
      <c r="H35" s="95">
        <v>1.5309999999999999</v>
      </c>
      <c r="I35" s="95">
        <v>1.6459999999999999</v>
      </c>
      <c r="J35" s="95">
        <v>1.7749999999999999</v>
      </c>
      <c r="K35" s="95">
        <v>1.9179999999999999</v>
      </c>
    </row>
    <row r="36" spans="1:11" x14ac:dyDescent="0.25">
      <c r="A36" s="93">
        <v>9</v>
      </c>
      <c r="B36" s="95">
        <v>1.0449999999999999</v>
      </c>
      <c r="C36" s="95">
        <v>1.1080000000000001</v>
      </c>
      <c r="D36" s="95">
        <v>1.179</v>
      </c>
      <c r="E36" s="95">
        <v>1.256</v>
      </c>
      <c r="F36" s="95">
        <v>1.341</v>
      </c>
      <c r="G36" s="95">
        <v>1.4359999999999999</v>
      </c>
      <c r="H36" s="95">
        <v>1.54</v>
      </c>
      <c r="I36" s="95">
        <v>1.6559999999999999</v>
      </c>
      <c r="J36" s="95">
        <v>1.786</v>
      </c>
      <c r="K36" s="95">
        <v>1.931</v>
      </c>
    </row>
    <row r="37" spans="1:11" x14ac:dyDescent="0.25">
      <c r="A37" s="93">
        <v>10</v>
      </c>
      <c r="B37" s="95">
        <v>1.05</v>
      </c>
      <c r="C37" s="95">
        <v>1.1140000000000001</v>
      </c>
      <c r="D37" s="95">
        <v>1.1850000000000001</v>
      </c>
      <c r="E37" s="95">
        <v>1.2629999999999999</v>
      </c>
      <c r="F37" s="95">
        <v>1.349</v>
      </c>
      <c r="G37" s="95">
        <v>1.444</v>
      </c>
      <c r="H37" s="95">
        <v>1.5489999999999999</v>
      </c>
      <c r="I37" s="95">
        <v>1.6659999999999999</v>
      </c>
      <c r="J37" s="95">
        <v>1.7969999999999999</v>
      </c>
      <c r="K37" s="95">
        <v>1.9430000000000001</v>
      </c>
    </row>
    <row r="38" spans="1:11" x14ac:dyDescent="0.25">
      <c r="A38" s="93">
        <v>11</v>
      </c>
      <c r="B38" s="95">
        <v>1.0549999999999999</v>
      </c>
      <c r="C38" s="95">
        <v>1.119</v>
      </c>
      <c r="D38" s="95">
        <v>1.1910000000000001</v>
      </c>
      <c r="E38" s="95">
        <v>1.2689999999999999</v>
      </c>
      <c r="F38" s="95">
        <v>1.3560000000000001</v>
      </c>
      <c r="G38" s="95">
        <v>1.452</v>
      </c>
      <c r="H38" s="95">
        <v>1.5580000000000001</v>
      </c>
      <c r="I38" s="95">
        <v>1.6759999999999999</v>
      </c>
      <c r="J38" s="95">
        <v>1.8080000000000001</v>
      </c>
      <c r="K38" s="95">
        <v>1.9550000000000001</v>
      </c>
    </row>
    <row r="44" spans="1:11" ht="39.6" customHeight="1" x14ac:dyDescent="0.25"/>
    <row r="46" spans="1:11" ht="27.6" customHeight="1" x14ac:dyDescent="0.25"/>
  </sheetData>
  <sheetProtection algorithmName="SHA-512" hashValue="8Mz2shGe1TX8WEL6V7I5VkcVx5Teu165wpr3EtDOsBKe70VJvTDPCwblSjwwlkJ0L1vwv95o4IhtepTQyInGWg==" saltValue="NMdstB0KxroslyPC0wgeMA==" spinCount="100000" sheet="1" objects="1" scenarios="1"/>
  <conditionalFormatting sqref="A6:A21">
    <cfRule type="expression" dxfId="509" priority="13" stopIfTrue="1">
      <formula>MOD(ROW(),2)=0</formula>
    </cfRule>
    <cfRule type="expression" dxfId="508" priority="14" stopIfTrue="1">
      <formula>MOD(ROW(),2)&lt;&gt;0</formula>
    </cfRule>
  </conditionalFormatting>
  <conditionalFormatting sqref="A26:A38">
    <cfRule type="expression" dxfId="507" priority="5" stopIfTrue="1">
      <formula>MOD(ROW(),2)=0</formula>
    </cfRule>
    <cfRule type="expression" dxfId="506" priority="6" stopIfTrue="1">
      <formula>MOD(ROW(),2)&lt;&gt;0</formula>
    </cfRule>
  </conditionalFormatting>
  <conditionalFormatting sqref="B17:C21">
    <cfRule type="expression" dxfId="505" priority="1" stopIfTrue="1">
      <formula>MOD(ROW(),2)=0</formula>
    </cfRule>
    <cfRule type="expression" dxfId="504" priority="2" stopIfTrue="1">
      <formula>MOD(ROW(),2)&lt;&gt;0</formula>
    </cfRule>
  </conditionalFormatting>
  <conditionalFormatting sqref="B6:K21">
    <cfRule type="expression" dxfId="503" priority="25" stopIfTrue="1">
      <formula>MOD(ROW(),2)=0</formula>
    </cfRule>
    <cfRule type="expression" dxfId="502" priority="26" stopIfTrue="1">
      <formula>MOD(ROW(),2)&lt;&gt;0</formula>
    </cfRule>
  </conditionalFormatting>
  <conditionalFormatting sqref="B26:K38">
    <cfRule type="expression" dxfId="501" priority="7" stopIfTrue="1">
      <formula>MOD(ROW(),2)=0</formula>
    </cfRule>
    <cfRule type="expression" dxfId="50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Pension Debit - x-324</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402</v>
      </c>
      <c r="C9" s="152"/>
      <c r="D9" s="152"/>
      <c r="E9" s="152"/>
      <c r="F9" s="152"/>
      <c r="G9" s="152"/>
      <c r="H9" s="152"/>
      <c r="I9" s="152"/>
      <c r="J9" s="152"/>
      <c r="K9" s="152"/>
    </row>
    <row r="10" spans="1:11" x14ac:dyDescent="0.25">
      <c r="A10" s="79" t="s">
        <v>233</v>
      </c>
      <c r="B10" s="152" t="s">
        <v>422</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415</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324</v>
      </c>
      <c r="C14" s="152"/>
      <c r="D14" s="152"/>
      <c r="E14" s="152"/>
      <c r="F14" s="152"/>
      <c r="G14" s="152"/>
      <c r="H14" s="152"/>
      <c r="I14" s="152"/>
      <c r="J14" s="152"/>
      <c r="K14" s="152"/>
    </row>
    <row r="15" spans="1:11" x14ac:dyDescent="0.25">
      <c r="A15" s="79" t="s">
        <v>569</v>
      </c>
      <c r="B15" s="152" t="s">
        <v>423</v>
      </c>
      <c r="C15" s="152"/>
      <c r="D15" s="152"/>
      <c r="E15" s="152"/>
      <c r="F15" s="152"/>
      <c r="G15" s="152"/>
      <c r="H15" s="152"/>
      <c r="I15" s="152"/>
      <c r="J15" s="152"/>
      <c r="K15" s="152"/>
    </row>
    <row r="16" spans="1:11" x14ac:dyDescent="0.25">
      <c r="A16" s="79" t="s">
        <v>313</v>
      </c>
      <c r="B16" s="152" t="s">
        <v>424</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45070</v>
      </c>
      <c r="C18" s="152"/>
      <c r="D18" s="152"/>
      <c r="E18" s="152"/>
      <c r="F18" s="152"/>
      <c r="G18" s="152"/>
      <c r="H18" s="152"/>
      <c r="I18" s="152"/>
      <c r="J18" s="152"/>
      <c r="K18" s="152"/>
    </row>
    <row r="19" spans="1:11" x14ac:dyDescent="0.25">
      <c r="A19" s="79" t="s">
        <v>316</v>
      </c>
      <c r="B19" s="154">
        <v>45014</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60</v>
      </c>
      <c r="C26" s="92">
        <v>61</v>
      </c>
      <c r="D26" s="92">
        <v>62</v>
      </c>
      <c r="E26" s="92">
        <v>63</v>
      </c>
      <c r="F26" s="92">
        <v>64</v>
      </c>
      <c r="G26" s="92">
        <v>65</v>
      </c>
      <c r="H26" s="92">
        <v>66</v>
      </c>
      <c r="I26" s="92">
        <v>67</v>
      </c>
      <c r="J26" s="92">
        <v>68</v>
      </c>
      <c r="K26" s="92">
        <v>69</v>
      </c>
    </row>
    <row r="27" spans="1:11" x14ac:dyDescent="0.25">
      <c r="A27" s="93">
        <v>0</v>
      </c>
      <c r="B27" s="95">
        <v>1</v>
      </c>
      <c r="C27" s="95">
        <v>1.05</v>
      </c>
      <c r="D27" s="95">
        <v>1.105</v>
      </c>
      <c r="E27" s="95">
        <v>1.1639999999999999</v>
      </c>
      <c r="F27" s="95">
        <v>1.228</v>
      </c>
      <c r="G27" s="95">
        <v>1.298</v>
      </c>
      <c r="H27" s="95">
        <v>1.3740000000000001</v>
      </c>
      <c r="I27" s="95">
        <v>1.4570000000000001</v>
      </c>
      <c r="J27" s="95">
        <v>1.548</v>
      </c>
      <c r="K27" s="95">
        <v>1.6479999999999999</v>
      </c>
    </row>
    <row r="28" spans="1:11" x14ac:dyDescent="0.25">
      <c r="A28" s="93">
        <v>1</v>
      </c>
      <c r="B28" s="95">
        <v>1.004</v>
      </c>
      <c r="C28" s="95">
        <v>1.0549999999999999</v>
      </c>
      <c r="D28" s="95">
        <v>1.1100000000000001</v>
      </c>
      <c r="E28" s="95">
        <v>1.169</v>
      </c>
      <c r="F28" s="95">
        <v>1.234</v>
      </c>
      <c r="G28" s="95">
        <v>1.304</v>
      </c>
      <c r="H28" s="95">
        <v>1.381</v>
      </c>
      <c r="I28" s="95">
        <v>1.4650000000000001</v>
      </c>
      <c r="J28" s="95">
        <v>1.5569999999999999</v>
      </c>
      <c r="K28" s="95">
        <v>1.6579999999999999</v>
      </c>
    </row>
    <row r="29" spans="1:11" x14ac:dyDescent="0.25">
      <c r="A29" s="93">
        <v>2</v>
      </c>
      <c r="B29" s="95">
        <v>1.008</v>
      </c>
      <c r="C29" s="95">
        <v>1.0589999999999999</v>
      </c>
      <c r="D29" s="95">
        <v>1.115</v>
      </c>
      <c r="E29" s="95">
        <v>1.175</v>
      </c>
      <c r="F29" s="95">
        <v>1.24</v>
      </c>
      <c r="G29" s="95">
        <v>1.3109999999999999</v>
      </c>
      <c r="H29" s="95">
        <v>1.3879999999999999</v>
      </c>
      <c r="I29" s="95">
        <v>1.472</v>
      </c>
      <c r="J29" s="95">
        <v>1.5649999999999999</v>
      </c>
      <c r="K29" s="95">
        <v>1.667</v>
      </c>
    </row>
    <row r="30" spans="1:11" x14ac:dyDescent="0.25">
      <c r="A30" s="93">
        <v>3</v>
      </c>
      <c r="B30" s="95">
        <v>1.0129999999999999</v>
      </c>
      <c r="C30" s="95">
        <v>1.0640000000000001</v>
      </c>
      <c r="D30" s="95">
        <v>1.1200000000000001</v>
      </c>
      <c r="E30" s="95">
        <v>1.18</v>
      </c>
      <c r="F30" s="95">
        <v>1.2450000000000001</v>
      </c>
      <c r="G30" s="95">
        <v>1.3169999999999999</v>
      </c>
      <c r="H30" s="95">
        <v>1.395</v>
      </c>
      <c r="I30" s="95">
        <v>1.48</v>
      </c>
      <c r="J30" s="95">
        <v>1.573</v>
      </c>
      <c r="K30" s="95">
        <v>1.6759999999999999</v>
      </c>
    </row>
    <row r="31" spans="1:11" x14ac:dyDescent="0.25">
      <c r="A31" s="93">
        <v>4</v>
      </c>
      <c r="B31" s="95">
        <v>1.0169999999999999</v>
      </c>
      <c r="C31" s="95">
        <v>1.0680000000000001</v>
      </c>
      <c r="D31" s="95">
        <v>1.1240000000000001</v>
      </c>
      <c r="E31" s="95">
        <v>1.1850000000000001</v>
      </c>
      <c r="F31" s="95">
        <v>1.2509999999999999</v>
      </c>
      <c r="G31" s="95">
        <v>1.323</v>
      </c>
      <c r="H31" s="95">
        <v>1.4019999999999999</v>
      </c>
      <c r="I31" s="95">
        <v>1.4870000000000001</v>
      </c>
      <c r="J31" s="95">
        <v>1.5820000000000001</v>
      </c>
      <c r="K31" s="95">
        <v>1.6850000000000001</v>
      </c>
    </row>
    <row r="32" spans="1:11" x14ac:dyDescent="0.25">
      <c r="A32" s="93">
        <v>5</v>
      </c>
      <c r="B32" s="95">
        <v>1.0209999999999999</v>
      </c>
      <c r="C32" s="95">
        <v>1.073</v>
      </c>
      <c r="D32" s="95">
        <v>1.129</v>
      </c>
      <c r="E32" s="95">
        <v>1.1910000000000001</v>
      </c>
      <c r="F32" s="95">
        <v>1.2569999999999999</v>
      </c>
      <c r="G32" s="95">
        <v>1.33</v>
      </c>
      <c r="H32" s="95">
        <v>1.409</v>
      </c>
      <c r="I32" s="95">
        <v>1.4950000000000001</v>
      </c>
      <c r="J32" s="95">
        <v>1.59</v>
      </c>
      <c r="K32" s="95">
        <v>1.694</v>
      </c>
    </row>
    <row r="33" spans="1:11" x14ac:dyDescent="0.25">
      <c r="A33" s="93">
        <v>6</v>
      </c>
      <c r="B33" s="95">
        <v>1.0249999999999999</v>
      </c>
      <c r="C33" s="95">
        <v>1.0780000000000001</v>
      </c>
      <c r="D33" s="95">
        <v>1.1339999999999999</v>
      </c>
      <c r="E33" s="95">
        <v>1.196</v>
      </c>
      <c r="F33" s="95">
        <v>1.2629999999999999</v>
      </c>
      <c r="G33" s="95">
        <v>1.3360000000000001</v>
      </c>
      <c r="H33" s="95">
        <v>1.4159999999999999</v>
      </c>
      <c r="I33" s="95">
        <v>1.5029999999999999</v>
      </c>
      <c r="J33" s="95">
        <v>1.5980000000000001</v>
      </c>
      <c r="K33" s="95">
        <v>1.7030000000000001</v>
      </c>
    </row>
    <row r="34" spans="1:11" x14ac:dyDescent="0.25">
      <c r="A34" s="93">
        <v>7</v>
      </c>
      <c r="B34" s="95">
        <v>1.0289999999999999</v>
      </c>
      <c r="C34" s="95">
        <v>1.0820000000000001</v>
      </c>
      <c r="D34" s="95">
        <v>1.139</v>
      </c>
      <c r="E34" s="95">
        <v>1.2010000000000001</v>
      </c>
      <c r="F34" s="95">
        <v>1.2689999999999999</v>
      </c>
      <c r="G34" s="95">
        <v>1.3420000000000001</v>
      </c>
      <c r="H34" s="95">
        <v>1.4219999999999999</v>
      </c>
      <c r="I34" s="95">
        <v>1.51</v>
      </c>
      <c r="J34" s="95">
        <v>1.607</v>
      </c>
      <c r="K34" s="95">
        <v>1.7130000000000001</v>
      </c>
    </row>
    <row r="35" spans="1:11" x14ac:dyDescent="0.25">
      <c r="A35" s="93">
        <v>8</v>
      </c>
      <c r="B35" s="95">
        <v>1.034</v>
      </c>
      <c r="C35" s="95">
        <v>1.087</v>
      </c>
      <c r="D35" s="95">
        <v>1.1439999999999999</v>
      </c>
      <c r="E35" s="95">
        <v>1.2070000000000001</v>
      </c>
      <c r="F35" s="95">
        <v>1.2749999999999999</v>
      </c>
      <c r="G35" s="95">
        <v>1.349</v>
      </c>
      <c r="H35" s="95">
        <v>1.429</v>
      </c>
      <c r="I35" s="95">
        <v>1.518</v>
      </c>
      <c r="J35" s="95">
        <v>1.615</v>
      </c>
      <c r="K35" s="95">
        <v>1.722</v>
      </c>
    </row>
    <row r="36" spans="1:11" x14ac:dyDescent="0.25">
      <c r="A36" s="93">
        <v>9</v>
      </c>
      <c r="B36" s="95">
        <v>1.038</v>
      </c>
      <c r="C36" s="95">
        <v>1.091</v>
      </c>
      <c r="D36" s="95">
        <v>1.149</v>
      </c>
      <c r="E36" s="95">
        <v>1.212</v>
      </c>
      <c r="F36" s="95">
        <v>1.28</v>
      </c>
      <c r="G36" s="95">
        <v>1.355</v>
      </c>
      <c r="H36" s="95">
        <v>1.4359999999999999</v>
      </c>
      <c r="I36" s="95">
        <v>1.5249999999999999</v>
      </c>
      <c r="J36" s="95">
        <v>1.623</v>
      </c>
      <c r="K36" s="95">
        <v>1.7310000000000001</v>
      </c>
    </row>
    <row r="37" spans="1:11" x14ac:dyDescent="0.25">
      <c r="A37" s="93">
        <v>10</v>
      </c>
      <c r="B37" s="95">
        <v>1.042</v>
      </c>
      <c r="C37" s="95">
        <v>1.0960000000000001</v>
      </c>
      <c r="D37" s="95">
        <v>1.1539999999999999</v>
      </c>
      <c r="E37" s="95">
        <v>1.2170000000000001</v>
      </c>
      <c r="F37" s="95">
        <v>1.286</v>
      </c>
      <c r="G37" s="95">
        <v>1.361</v>
      </c>
      <c r="H37" s="95">
        <v>1.4430000000000001</v>
      </c>
      <c r="I37" s="95">
        <v>1.5329999999999999</v>
      </c>
      <c r="J37" s="95">
        <v>1.6319999999999999</v>
      </c>
      <c r="K37" s="95">
        <v>1.74</v>
      </c>
    </row>
    <row r="38" spans="1:11" x14ac:dyDescent="0.25">
      <c r="A38" s="93">
        <v>11</v>
      </c>
      <c r="B38" s="95">
        <v>1.046</v>
      </c>
      <c r="C38" s="95">
        <v>1.1000000000000001</v>
      </c>
      <c r="D38" s="95">
        <v>1.159</v>
      </c>
      <c r="E38" s="95">
        <v>1.2230000000000001</v>
      </c>
      <c r="F38" s="95">
        <v>1.292</v>
      </c>
      <c r="G38" s="95">
        <v>1.3680000000000001</v>
      </c>
      <c r="H38" s="95">
        <v>1.45</v>
      </c>
      <c r="I38" s="95">
        <v>1.5409999999999999</v>
      </c>
      <c r="J38" s="95">
        <v>1.64</v>
      </c>
      <c r="K38" s="95">
        <v>1.7490000000000001</v>
      </c>
    </row>
    <row r="44" spans="1:11" ht="39.6" customHeight="1" x14ac:dyDescent="0.25"/>
    <row r="46" spans="1:11" ht="27.6" customHeight="1" x14ac:dyDescent="0.25"/>
  </sheetData>
  <sheetProtection algorithmName="SHA-512" hashValue="6hLVDwEnmfR2pt0heaQKRnJ6u+uQsi4AJV7YoM9S7EhHJEbk9I1SvuD+1dQ3yarXlmXTK9XAQ/gh8Pg1f/LpuA==" saltValue="USDc4krykplH648cukD3aQ==" spinCount="100000" sheet="1" objects="1" scenarios="1"/>
  <conditionalFormatting sqref="A6:A21">
    <cfRule type="expression" dxfId="499" priority="13" stopIfTrue="1">
      <formula>MOD(ROW(),2)=0</formula>
    </cfRule>
    <cfRule type="expression" dxfId="498" priority="14" stopIfTrue="1">
      <formula>MOD(ROW(),2)&lt;&gt;0</formula>
    </cfRule>
  </conditionalFormatting>
  <conditionalFormatting sqref="A26:A38">
    <cfRule type="expression" dxfId="497" priority="5" stopIfTrue="1">
      <formula>MOD(ROW(),2)=0</formula>
    </cfRule>
    <cfRule type="expression" dxfId="496" priority="6" stopIfTrue="1">
      <formula>MOD(ROW(),2)&lt;&gt;0</formula>
    </cfRule>
  </conditionalFormatting>
  <conditionalFormatting sqref="B17:C21">
    <cfRule type="expression" dxfId="495" priority="1" stopIfTrue="1">
      <formula>MOD(ROW(),2)=0</formula>
    </cfRule>
    <cfRule type="expression" dxfId="494" priority="2" stopIfTrue="1">
      <formula>MOD(ROW(),2)&lt;&gt;0</formula>
    </cfRule>
  </conditionalFormatting>
  <conditionalFormatting sqref="B6:K21">
    <cfRule type="expression" dxfId="493" priority="25" stopIfTrue="1">
      <formula>MOD(ROW(),2)=0</formula>
    </cfRule>
    <cfRule type="expression" dxfId="492" priority="26" stopIfTrue="1">
      <formula>MOD(ROW(),2)&lt;&gt;0</formula>
    </cfRule>
  </conditionalFormatting>
  <conditionalFormatting sqref="B26:K38">
    <cfRule type="expression" dxfId="491" priority="7" stopIfTrue="1">
      <formula>MOD(ROW(),2)=0</formula>
    </cfRule>
    <cfRule type="expression" dxfId="49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heetViews>
  <sheetFormatPr defaultRowHeight="13.2" x14ac:dyDescent="0.25"/>
  <cols>
    <col min="2" max="2" width="3.44140625" style="12" customWidth="1"/>
    <col min="3" max="3" width="7" style="12" customWidth="1"/>
    <col min="4" max="4" width="62" customWidth="1"/>
    <col min="5" max="6" width="16.77734375" style="12" customWidth="1"/>
    <col min="7" max="7" width="19.44140625" style="12" customWidth="1"/>
  </cols>
  <sheetData>
    <row r="1" spans="1:9" ht="21" x14ac:dyDescent="0.4">
      <c r="A1" s="4" t="s">
        <v>227</v>
      </c>
      <c r="B1" s="13"/>
      <c r="C1" s="13"/>
      <c r="D1" s="10"/>
      <c r="E1" s="13"/>
      <c r="F1" s="13"/>
      <c r="G1" s="13"/>
      <c r="H1" s="10"/>
      <c r="I1" s="10"/>
    </row>
    <row r="2" spans="1:9" ht="15.6" x14ac:dyDescent="0.3">
      <c r="A2" s="11" t="str">
        <f>IF(title="&gt; Enter workbook title here","Enter workbook title in Cover sheet",title)</f>
        <v>Fire Wales - Consolidated Factor Spreadsheet</v>
      </c>
      <c r="B2" s="14"/>
      <c r="C2" s="14"/>
      <c r="D2" s="9"/>
      <c r="E2" s="14"/>
      <c r="F2" s="14"/>
      <c r="G2" s="14"/>
      <c r="H2" s="9"/>
      <c r="I2" s="9"/>
    </row>
    <row r="3" spans="1:9" ht="15.6" x14ac:dyDescent="0.3">
      <c r="A3" s="6" t="s">
        <v>290</v>
      </c>
      <c r="B3" s="14"/>
      <c r="C3" s="14"/>
      <c r="D3" s="9"/>
      <c r="E3" s="14"/>
      <c r="F3" s="14"/>
      <c r="G3" s="14"/>
      <c r="H3" s="9"/>
      <c r="I3" s="9"/>
    </row>
    <row r="4" spans="1:9" x14ac:dyDescent="0.25">
      <c r="A4" s="7" t="str">
        <f ca="1">CELL("filename",A1)</f>
        <v>https://tris42.sharepoint.com/sites/gad_wrkgrp_actuarial/pspsactuarialwork/Central/Factors &amp; Guidance/2024 Guidance Review/4. Online portal/3. Import data/3. Factor tables/0_client_friendly/Ready to be uploaded/2025-03/[Fire W Consolidated Factors 2025-02.xlsx]Summary - Fire_E</v>
      </c>
    </row>
    <row r="7" spans="1:9" x14ac:dyDescent="0.25">
      <c r="E7" s="31" t="s">
        <v>291</v>
      </c>
      <c r="F7" s="31" t="s">
        <v>292</v>
      </c>
      <c r="G7" s="31" t="s">
        <v>293</v>
      </c>
    </row>
    <row r="8" spans="1:9" x14ac:dyDescent="0.25">
      <c r="B8" s="33" t="s">
        <v>294</v>
      </c>
      <c r="C8" s="21"/>
      <c r="D8" s="15"/>
      <c r="E8" s="32">
        <v>2015</v>
      </c>
      <c r="F8" s="32">
        <v>2006</v>
      </c>
      <c r="G8" s="35">
        <v>1992</v>
      </c>
    </row>
    <row r="9" spans="1:9" x14ac:dyDescent="0.25">
      <c r="B9" s="23"/>
      <c r="C9" s="22"/>
      <c r="D9" s="17"/>
      <c r="E9" s="16"/>
      <c r="F9" s="16"/>
      <c r="G9" s="16"/>
    </row>
    <row r="10" spans="1:9" x14ac:dyDescent="0.25">
      <c r="B10" s="34" t="s">
        <v>295</v>
      </c>
      <c r="D10" s="18"/>
      <c r="E10" s="20"/>
      <c r="F10" s="20"/>
      <c r="G10" s="20"/>
    </row>
    <row r="11" spans="1:9" x14ac:dyDescent="0.25">
      <c r="B11" s="24" t="s">
        <v>296</v>
      </c>
      <c r="C11" s="12">
        <v>101</v>
      </c>
      <c r="D11" s="18"/>
      <c r="E11" s="36"/>
      <c r="F11" s="36"/>
      <c r="G11" s="36"/>
    </row>
    <row r="12" spans="1:9" x14ac:dyDescent="0.25">
      <c r="B12" s="24" t="s">
        <v>296</v>
      </c>
      <c r="C12" s="12">
        <v>102</v>
      </c>
      <c r="D12" s="18"/>
      <c r="E12" s="36"/>
      <c r="F12" s="36"/>
      <c r="G12" s="36"/>
    </row>
    <row r="13" spans="1:9" x14ac:dyDescent="0.25">
      <c r="B13" s="24" t="s">
        <v>296</v>
      </c>
      <c r="C13" s="12">
        <v>103</v>
      </c>
      <c r="D13" s="18"/>
      <c r="E13" s="36"/>
      <c r="F13" s="36"/>
      <c r="G13" s="36"/>
    </row>
    <row r="14" spans="1:9" x14ac:dyDescent="0.25">
      <c r="B14" s="24" t="s">
        <v>296</v>
      </c>
      <c r="C14" s="12">
        <v>104</v>
      </c>
      <c r="D14" s="18"/>
      <c r="E14" s="36"/>
      <c r="F14" s="36"/>
      <c r="G14" s="36"/>
    </row>
    <row r="15" spans="1:9" x14ac:dyDescent="0.25">
      <c r="B15" s="24" t="s">
        <v>296</v>
      </c>
      <c r="C15" s="12">
        <v>105</v>
      </c>
      <c r="D15" s="18"/>
      <c r="E15" s="36"/>
      <c r="F15" s="36"/>
      <c r="G15" s="36"/>
    </row>
    <row r="16" spans="1:9" x14ac:dyDescent="0.25">
      <c r="B16" s="24" t="s">
        <v>296</v>
      </c>
      <c r="C16" s="12">
        <v>106</v>
      </c>
      <c r="D16" s="18"/>
      <c r="E16" s="36"/>
      <c r="F16" s="36"/>
      <c r="G16" s="36"/>
    </row>
    <row r="17" spans="2:8" x14ac:dyDescent="0.25">
      <c r="B17" s="24" t="s">
        <v>296</v>
      </c>
      <c r="C17" s="12">
        <v>107</v>
      </c>
      <c r="D17" s="18"/>
      <c r="E17" s="36"/>
      <c r="F17" s="36"/>
      <c r="G17" s="36"/>
    </row>
    <row r="18" spans="2:8" x14ac:dyDescent="0.25">
      <c r="B18" s="24" t="s">
        <v>296</v>
      </c>
      <c r="C18" s="12">
        <v>108</v>
      </c>
      <c r="D18" s="18"/>
      <c r="E18" s="36"/>
      <c r="F18" s="36"/>
      <c r="G18" s="36"/>
    </row>
    <row r="19" spans="2:8" x14ac:dyDescent="0.25">
      <c r="B19" s="90" t="s">
        <v>296</v>
      </c>
      <c r="C19" s="12">
        <v>109</v>
      </c>
      <c r="D19" s="18"/>
      <c r="E19" s="36"/>
      <c r="F19" s="36"/>
      <c r="G19" s="36"/>
    </row>
    <row r="20" spans="2:8" x14ac:dyDescent="0.25">
      <c r="B20" s="24" t="s">
        <v>296</v>
      </c>
      <c r="C20" s="12">
        <v>110</v>
      </c>
      <c r="D20" s="18"/>
      <c r="E20" s="36"/>
      <c r="F20" s="36"/>
      <c r="G20" s="36"/>
    </row>
    <row r="21" spans="2:8" x14ac:dyDescent="0.25">
      <c r="B21" s="24" t="s">
        <v>296</v>
      </c>
      <c r="C21" s="12">
        <v>111</v>
      </c>
      <c r="D21" s="18"/>
      <c r="E21" s="36"/>
      <c r="F21" s="36"/>
      <c r="G21" s="36"/>
    </row>
    <row r="22" spans="2:8" x14ac:dyDescent="0.25">
      <c r="B22" s="24" t="s">
        <v>296</v>
      </c>
      <c r="C22" s="12">
        <v>112</v>
      </c>
      <c r="D22" s="18"/>
      <c r="E22" s="36"/>
      <c r="F22" s="36"/>
      <c r="G22" s="36"/>
    </row>
    <row r="23" spans="2:8" x14ac:dyDescent="0.25">
      <c r="B23" s="24" t="s">
        <v>296</v>
      </c>
      <c r="C23" s="12">
        <v>113</v>
      </c>
      <c r="D23" s="18"/>
      <c r="E23" s="36"/>
      <c r="F23" s="36"/>
      <c r="G23" s="36"/>
    </row>
    <row r="24" spans="2:8" x14ac:dyDescent="0.25">
      <c r="B24" s="24" t="s">
        <v>296</v>
      </c>
      <c r="C24" s="12">
        <v>114</v>
      </c>
      <c r="D24" s="18"/>
      <c r="E24" s="36"/>
      <c r="F24" s="36"/>
      <c r="G24" s="36"/>
    </row>
    <row r="25" spans="2:8" x14ac:dyDescent="0.25">
      <c r="B25" s="24" t="s">
        <v>296</v>
      </c>
      <c r="C25" s="12">
        <v>115</v>
      </c>
      <c r="D25" s="18"/>
      <c r="E25" s="36"/>
      <c r="F25" s="36"/>
      <c r="G25" s="36"/>
    </row>
    <row r="26" spans="2:8" x14ac:dyDescent="0.25">
      <c r="B26" s="24" t="s">
        <v>296</v>
      </c>
      <c r="C26" s="12">
        <v>116</v>
      </c>
      <c r="D26" s="18"/>
      <c r="E26" s="36"/>
      <c r="F26" s="36"/>
      <c r="G26" s="36"/>
    </row>
    <row r="27" spans="2:8" x14ac:dyDescent="0.25">
      <c r="B27" s="24" t="s">
        <v>296</v>
      </c>
      <c r="C27" s="12">
        <v>117</v>
      </c>
      <c r="D27" s="18"/>
      <c r="E27" s="36"/>
      <c r="F27" s="36"/>
      <c r="G27" s="36"/>
    </row>
    <row r="28" spans="2:8" x14ac:dyDescent="0.25">
      <c r="B28" s="24" t="s">
        <v>296</v>
      </c>
      <c r="C28" s="12">
        <v>118</v>
      </c>
      <c r="D28" s="18"/>
      <c r="E28" s="36"/>
      <c r="F28" s="36"/>
      <c r="G28" s="36"/>
    </row>
    <row r="29" spans="2:8" x14ac:dyDescent="0.25">
      <c r="B29" s="24" t="s">
        <v>296</v>
      </c>
      <c r="C29" s="12">
        <v>119</v>
      </c>
      <c r="D29" s="18"/>
      <c r="E29" s="36"/>
      <c r="F29" s="36"/>
      <c r="G29" s="36"/>
    </row>
    <row r="30" spans="2:8" x14ac:dyDescent="0.25">
      <c r="B30" s="24" t="s">
        <v>296</v>
      </c>
      <c r="C30" s="12">
        <v>120</v>
      </c>
      <c r="D30" s="18"/>
      <c r="E30" s="36"/>
      <c r="F30" s="36"/>
      <c r="G30" s="36"/>
    </row>
    <row r="31" spans="2:8" x14ac:dyDescent="0.25">
      <c r="B31" s="24" t="s">
        <v>296</v>
      </c>
      <c r="C31" s="12">
        <v>121</v>
      </c>
      <c r="E31" s="37"/>
      <c r="F31" s="37"/>
      <c r="G31" s="37"/>
      <c r="H31" s="30"/>
    </row>
    <row r="32" spans="2:8" x14ac:dyDescent="0.25">
      <c r="B32" s="24" t="s">
        <v>296</v>
      </c>
      <c r="C32" s="12">
        <v>122</v>
      </c>
      <c r="D32" s="18"/>
      <c r="E32" s="36"/>
      <c r="F32" s="36"/>
      <c r="G32" s="36"/>
    </row>
    <row r="33" spans="2:8" x14ac:dyDescent="0.25">
      <c r="B33" s="24" t="s">
        <v>296</v>
      </c>
      <c r="C33" s="12">
        <v>123</v>
      </c>
      <c r="D33" s="18"/>
      <c r="E33" s="36"/>
      <c r="F33" s="36"/>
      <c r="G33" s="36"/>
    </row>
    <row r="34" spans="2:8" x14ac:dyDescent="0.25">
      <c r="B34" s="24" t="s">
        <v>296</v>
      </c>
      <c r="C34" s="12">
        <v>124</v>
      </c>
      <c r="D34" s="18"/>
      <c r="E34" s="36"/>
      <c r="F34" s="36"/>
      <c r="G34" s="36"/>
    </row>
    <row r="35" spans="2:8" x14ac:dyDescent="0.25">
      <c r="B35" s="24" t="s">
        <v>296</v>
      </c>
      <c r="C35" s="12">
        <v>125</v>
      </c>
      <c r="D35" s="18"/>
      <c r="E35" s="36"/>
      <c r="F35" s="36"/>
      <c r="G35" s="36"/>
      <c r="H35" s="29"/>
    </row>
    <row r="36" spans="2:8" x14ac:dyDescent="0.25">
      <c r="B36" s="25"/>
      <c r="C36" s="22"/>
      <c r="D36" s="17"/>
      <c r="E36" s="38"/>
      <c r="F36" s="38"/>
      <c r="G36" s="38"/>
    </row>
    <row r="37" spans="2:8" x14ac:dyDescent="0.25">
      <c r="B37" s="34" t="s">
        <v>297</v>
      </c>
      <c r="D37" s="18"/>
      <c r="E37" s="36"/>
      <c r="F37" s="36"/>
      <c r="G37" s="36"/>
    </row>
    <row r="38" spans="2:8" x14ac:dyDescent="0.25">
      <c r="B38" s="24" t="s">
        <v>296</v>
      </c>
      <c r="C38" s="12">
        <v>201</v>
      </c>
      <c r="D38" s="18"/>
      <c r="E38" s="36"/>
      <c r="F38" s="36"/>
      <c r="G38" s="36"/>
    </row>
    <row r="39" spans="2:8" x14ac:dyDescent="0.25">
      <c r="B39" s="24" t="s">
        <v>296</v>
      </c>
      <c r="C39" s="12">
        <v>202</v>
      </c>
      <c r="D39" s="18"/>
      <c r="E39" s="36"/>
      <c r="F39" s="36"/>
      <c r="G39" s="36"/>
    </row>
    <row r="40" spans="2:8" x14ac:dyDescent="0.25">
      <c r="B40" s="24" t="s">
        <v>296</v>
      </c>
      <c r="C40" s="12">
        <v>203</v>
      </c>
      <c r="D40" s="18"/>
      <c r="E40" s="36"/>
      <c r="F40" s="36"/>
      <c r="G40" s="36"/>
    </row>
    <row r="41" spans="2:8" x14ac:dyDescent="0.25">
      <c r="B41" s="24" t="s">
        <v>296</v>
      </c>
      <c r="C41" s="12">
        <v>204</v>
      </c>
      <c r="D41" s="18"/>
      <c r="E41" s="36"/>
      <c r="F41" s="36"/>
      <c r="G41" s="36"/>
    </row>
    <row r="42" spans="2:8" x14ac:dyDescent="0.25">
      <c r="B42" s="24" t="s">
        <v>296</v>
      </c>
      <c r="C42" s="12">
        <v>205</v>
      </c>
      <c r="D42" s="18"/>
      <c r="E42" s="36"/>
      <c r="F42" s="36"/>
      <c r="G42" s="36"/>
    </row>
    <row r="43" spans="2:8" x14ac:dyDescent="0.25">
      <c r="B43" s="24" t="s">
        <v>296</v>
      </c>
      <c r="C43" s="12">
        <v>206</v>
      </c>
      <c r="D43" s="18"/>
      <c r="E43" s="36"/>
      <c r="F43" s="36"/>
      <c r="G43" s="36"/>
    </row>
    <row r="44" spans="2:8" x14ac:dyDescent="0.25">
      <c r="B44" s="24" t="s">
        <v>296</v>
      </c>
      <c r="C44" s="12">
        <v>207</v>
      </c>
      <c r="D44" s="18"/>
      <c r="E44" s="36"/>
      <c r="F44" s="36"/>
      <c r="G44" s="36"/>
    </row>
    <row r="45" spans="2:8" x14ac:dyDescent="0.25">
      <c r="B45" s="24" t="s">
        <v>296</v>
      </c>
      <c r="C45" s="12">
        <v>208</v>
      </c>
      <c r="D45" s="18"/>
      <c r="E45" s="36"/>
      <c r="F45" s="36"/>
      <c r="G45" s="36"/>
    </row>
    <row r="46" spans="2:8" x14ac:dyDescent="0.25">
      <c r="B46" s="24" t="s">
        <v>296</v>
      </c>
      <c r="C46" s="12">
        <v>209</v>
      </c>
      <c r="D46" s="18"/>
      <c r="E46" s="36"/>
      <c r="F46" s="36"/>
      <c r="G46" s="36"/>
    </row>
    <row r="47" spans="2:8" x14ac:dyDescent="0.25">
      <c r="B47" s="24" t="s">
        <v>296</v>
      </c>
      <c r="C47" s="12">
        <v>210</v>
      </c>
      <c r="D47" s="18"/>
      <c r="E47" s="36"/>
      <c r="F47" s="36"/>
      <c r="G47" s="36"/>
    </row>
    <row r="48" spans="2:8" x14ac:dyDescent="0.25">
      <c r="B48" s="24" t="s">
        <v>296</v>
      </c>
      <c r="C48" s="12">
        <v>211</v>
      </c>
      <c r="D48" s="18"/>
      <c r="E48" s="36"/>
      <c r="F48" s="36"/>
      <c r="G48" s="36"/>
    </row>
    <row r="49" spans="2:7" x14ac:dyDescent="0.25">
      <c r="B49" s="24" t="s">
        <v>296</v>
      </c>
      <c r="C49" s="12">
        <v>212</v>
      </c>
      <c r="D49" s="18"/>
      <c r="E49" s="36"/>
      <c r="F49" s="36"/>
      <c r="G49" s="36"/>
    </row>
    <row r="50" spans="2:7" x14ac:dyDescent="0.25">
      <c r="B50" s="24" t="s">
        <v>296</v>
      </c>
      <c r="C50" s="12">
        <v>213</v>
      </c>
      <c r="D50" s="18"/>
      <c r="E50" s="36"/>
      <c r="F50" s="36"/>
      <c r="G50" s="36"/>
    </row>
    <row r="51" spans="2:7" x14ac:dyDescent="0.25">
      <c r="B51" s="24" t="s">
        <v>296</v>
      </c>
      <c r="C51" s="12">
        <v>214</v>
      </c>
      <c r="D51" s="18"/>
      <c r="E51" s="36"/>
      <c r="F51" s="36"/>
      <c r="G51" s="36"/>
    </row>
    <row r="52" spans="2:7" x14ac:dyDescent="0.25">
      <c r="B52" s="24" t="s">
        <v>296</v>
      </c>
      <c r="C52" s="12">
        <v>215</v>
      </c>
      <c r="D52" s="18"/>
      <c r="E52" s="36"/>
      <c r="F52" s="36"/>
      <c r="G52" s="36"/>
    </row>
    <row r="53" spans="2:7" x14ac:dyDescent="0.25">
      <c r="B53" s="24" t="s">
        <v>296</v>
      </c>
      <c r="C53" s="12">
        <v>216</v>
      </c>
      <c r="D53" s="18"/>
      <c r="E53" s="36"/>
      <c r="F53" s="36"/>
      <c r="G53" s="36"/>
    </row>
    <row r="54" spans="2:7" x14ac:dyDescent="0.25">
      <c r="B54" s="24" t="s">
        <v>296</v>
      </c>
      <c r="C54" s="12">
        <v>217</v>
      </c>
      <c r="D54" s="18"/>
      <c r="E54" s="36"/>
      <c r="F54" s="36"/>
      <c r="G54" s="36"/>
    </row>
    <row r="55" spans="2:7" x14ac:dyDescent="0.25">
      <c r="B55" s="24" t="s">
        <v>296</v>
      </c>
      <c r="C55" s="12">
        <v>218</v>
      </c>
      <c r="D55" s="18"/>
      <c r="E55" s="36"/>
      <c r="F55" s="36"/>
      <c r="G55" s="36"/>
    </row>
    <row r="56" spans="2:7" x14ac:dyDescent="0.25">
      <c r="B56" s="24" t="s">
        <v>296</v>
      </c>
      <c r="C56" s="12">
        <v>219</v>
      </c>
      <c r="D56" s="18"/>
      <c r="E56" s="36"/>
      <c r="F56" s="36"/>
      <c r="G56" s="36"/>
    </row>
    <row r="57" spans="2:7" x14ac:dyDescent="0.25">
      <c r="B57" s="24" t="s">
        <v>296</v>
      </c>
      <c r="C57" s="12">
        <v>220</v>
      </c>
      <c r="D57" s="18"/>
      <c r="E57" s="36"/>
      <c r="F57" s="36"/>
      <c r="G57" s="36"/>
    </row>
    <row r="58" spans="2:7" x14ac:dyDescent="0.25">
      <c r="B58" s="24" t="s">
        <v>296</v>
      </c>
      <c r="C58" s="12">
        <v>221</v>
      </c>
      <c r="D58" s="18"/>
      <c r="E58" s="36"/>
      <c r="F58" s="36"/>
      <c r="G58" s="36"/>
    </row>
    <row r="59" spans="2:7" x14ac:dyDescent="0.25">
      <c r="B59" s="24" t="s">
        <v>296</v>
      </c>
      <c r="C59" s="12">
        <v>222</v>
      </c>
      <c r="D59" s="18"/>
      <c r="E59" s="36"/>
      <c r="F59" s="36"/>
      <c r="G59" s="36"/>
    </row>
    <row r="60" spans="2:7" x14ac:dyDescent="0.25">
      <c r="B60" s="24" t="s">
        <v>296</v>
      </c>
      <c r="C60" s="12">
        <v>223</v>
      </c>
      <c r="D60" s="18"/>
      <c r="E60" s="36"/>
      <c r="F60" s="36"/>
      <c r="G60" s="36"/>
    </row>
    <row r="61" spans="2:7" x14ac:dyDescent="0.25">
      <c r="B61" s="24" t="s">
        <v>296</v>
      </c>
      <c r="C61" s="12">
        <v>224</v>
      </c>
      <c r="D61" s="18"/>
      <c r="E61" s="36"/>
      <c r="F61" s="36"/>
      <c r="G61" s="36"/>
    </row>
    <row r="62" spans="2:7" x14ac:dyDescent="0.25">
      <c r="B62" s="24" t="s">
        <v>296</v>
      </c>
      <c r="C62" s="12">
        <v>225</v>
      </c>
      <c r="D62" s="19"/>
      <c r="E62" s="39"/>
      <c r="F62" s="39"/>
      <c r="G62" s="39"/>
    </row>
    <row r="63" spans="2:7" x14ac:dyDescent="0.25">
      <c r="B63" s="25"/>
      <c r="C63" s="22"/>
      <c r="D63" s="17"/>
      <c r="E63" s="38"/>
      <c r="F63" s="38"/>
      <c r="G63" s="38"/>
    </row>
    <row r="64" spans="2:7" x14ac:dyDescent="0.25">
      <c r="B64" s="34" t="s">
        <v>298</v>
      </c>
      <c r="D64" s="18"/>
      <c r="E64" s="36"/>
      <c r="F64" s="36"/>
      <c r="G64" s="36"/>
    </row>
    <row r="65" spans="2:7" x14ac:dyDescent="0.25">
      <c r="B65" s="24" t="s">
        <v>296</v>
      </c>
      <c r="C65" s="12">
        <v>301</v>
      </c>
      <c r="D65" s="18"/>
      <c r="E65" s="36"/>
      <c r="F65" s="36"/>
      <c r="G65" s="36"/>
    </row>
    <row r="66" spans="2:7" x14ac:dyDescent="0.25">
      <c r="B66" s="24" t="s">
        <v>296</v>
      </c>
      <c r="C66" s="12">
        <v>302</v>
      </c>
      <c r="D66" s="18"/>
      <c r="E66" s="36"/>
      <c r="F66" s="36"/>
      <c r="G66" s="36"/>
    </row>
    <row r="67" spans="2:7" x14ac:dyDescent="0.25">
      <c r="B67" s="24" t="s">
        <v>296</v>
      </c>
      <c r="C67" s="12">
        <v>303</v>
      </c>
      <c r="D67" s="18"/>
      <c r="E67" s="36"/>
      <c r="F67" s="36"/>
      <c r="G67" s="36"/>
    </row>
    <row r="68" spans="2:7" x14ac:dyDescent="0.25">
      <c r="B68" s="24" t="s">
        <v>296</v>
      </c>
      <c r="C68" s="12">
        <v>304</v>
      </c>
      <c r="D68" s="18"/>
      <c r="E68" s="36"/>
      <c r="F68" s="36"/>
      <c r="G68" s="36"/>
    </row>
    <row r="69" spans="2:7" x14ac:dyDescent="0.25">
      <c r="B69" s="24" t="s">
        <v>296</v>
      </c>
      <c r="C69" s="12">
        <v>305</v>
      </c>
      <c r="D69" s="18"/>
      <c r="E69" s="36"/>
      <c r="F69" s="36"/>
      <c r="G69" s="36"/>
    </row>
    <row r="70" spans="2:7" x14ac:dyDescent="0.25">
      <c r="B70" s="24" t="s">
        <v>296</v>
      </c>
      <c r="C70" s="12">
        <v>306</v>
      </c>
      <c r="D70" s="18"/>
      <c r="E70" s="36"/>
      <c r="F70" s="36"/>
      <c r="G70" s="36"/>
    </row>
    <row r="71" spans="2:7" x14ac:dyDescent="0.25">
      <c r="B71" s="24" t="s">
        <v>296</v>
      </c>
      <c r="C71" s="12">
        <v>307</v>
      </c>
      <c r="D71" s="18"/>
      <c r="E71" s="36"/>
      <c r="F71" s="36"/>
      <c r="G71" s="36"/>
    </row>
    <row r="72" spans="2:7" x14ac:dyDescent="0.25">
      <c r="B72" s="24" t="s">
        <v>296</v>
      </c>
      <c r="C72" s="12">
        <v>308</v>
      </c>
      <c r="D72" s="18"/>
      <c r="E72" s="36"/>
      <c r="F72" s="36"/>
      <c r="G72" s="36"/>
    </row>
    <row r="73" spans="2:7" x14ac:dyDescent="0.25">
      <c r="B73" s="24" t="s">
        <v>296</v>
      </c>
      <c r="C73" s="12">
        <v>309</v>
      </c>
      <c r="D73" s="18"/>
      <c r="E73" s="36"/>
      <c r="F73" s="36"/>
      <c r="G73" s="36"/>
    </row>
    <row r="74" spans="2:7" x14ac:dyDescent="0.25">
      <c r="B74" s="24" t="s">
        <v>296</v>
      </c>
      <c r="C74" s="12">
        <v>310</v>
      </c>
      <c r="D74" s="18"/>
      <c r="E74" s="36"/>
      <c r="F74" s="36"/>
      <c r="G74" s="36"/>
    </row>
    <row r="75" spans="2:7" x14ac:dyDescent="0.25">
      <c r="B75" s="24" t="s">
        <v>296</v>
      </c>
      <c r="C75" s="12">
        <v>311</v>
      </c>
      <c r="D75" s="18"/>
      <c r="E75" s="36"/>
      <c r="F75" s="36"/>
      <c r="G75" s="36"/>
    </row>
    <row r="76" spans="2:7" x14ac:dyDescent="0.25">
      <c r="B76" s="24" t="s">
        <v>296</v>
      </c>
      <c r="C76" s="12">
        <v>312</v>
      </c>
      <c r="D76" s="18"/>
      <c r="E76" s="36"/>
      <c r="F76" s="36"/>
      <c r="G76" s="36"/>
    </row>
    <row r="77" spans="2:7" x14ac:dyDescent="0.25">
      <c r="B77" s="24" t="s">
        <v>296</v>
      </c>
      <c r="C77" s="12">
        <v>313</v>
      </c>
      <c r="D77" s="18"/>
      <c r="E77" s="36"/>
      <c r="F77" s="36"/>
      <c r="G77" s="36"/>
    </row>
    <row r="78" spans="2:7" x14ac:dyDescent="0.25">
      <c r="B78" s="24" t="s">
        <v>296</v>
      </c>
      <c r="C78" s="12">
        <v>314</v>
      </c>
      <c r="D78" s="18"/>
      <c r="E78" s="36"/>
      <c r="F78" s="36"/>
      <c r="G78" s="36"/>
    </row>
    <row r="79" spans="2:7" x14ac:dyDescent="0.25">
      <c r="B79" s="24" t="s">
        <v>296</v>
      </c>
      <c r="C79" s="12">
        <v>315</v>
      </c>
      <c r="D79" s="18"/>
      <c r="E79" s="36"/>
      <c r="F79" s="36"/>
      <c r="G79" s="36"/>
    </row>
    <row r="80" spans="2:7" x14ac:dyDescent="0.25">
      <c r="B80" s="24" t="s">
        <v>296</v>
      </c>
      <c r="C80" s="12">
        <v>316</v>
      </c>
      <c r="D80" s="18"/>
      <c r="E80" s="36"/>
      <c r="F80" s="36"/>
      <c r="G80" s="36"/>
    </row>
    <row r="81" spans="2:7" x14ac:dyDescent="0.25">
      <c r="B81" s="24" t="s">
        <v>296</v>
      </c>
      <c r="C81" s="12">
        <v>317</v>
      </c>
      <c r="D81" s="18"/>
      <c r="E81" s="36"/>
      <c r="F81" s="36"/>
      <c r="G81" s="36"/>
    </row>
    <row r="82" spans="2:7" x14ac:dyDescent="0.25">
      <c r="B82" s="24" t="s">
        <v>296</v>
      </c>
      <c r="C82" s="12">
        <v>318</v>
      </c>
      <c r="D82" s="18"/>
      <c r="E82" s="36"/>
      <c r="F82" s="36"/>
      <c r="G82" s="36"/>
    </row>
    <row r="83" spans="2:7" x14ac:dyDescent="0.25">
      <c r="B83" s="24" t="s">
        <v>296</v>
      </c>
      <c r="C83" s="12">
        <v>319</v>
      </c>
      <c r="D83" s="18"/>
      <c r="E83" s="36"/>
      <c r="F83" s="36"/>
      <c r="G83" s="36"/>
    </row>
    <row r="84" spans="2:7" x14ac:dyDescent="0.25">
      <c r="B84" s="24" t="s">
        <v>296</v>
      </c>
      <c r="C84" s="12">
        <v>320</v>
      </c>
      <c r="D84" s="18"/>
      <c r="E84" s="36"/>
      <c r="F84" s="36"/>
      <c r="G84" s="36"/>
    </row>
    <row r="85" spans="2:7" x14ac:dyDescent="0.25">
      <c r="B85" s="24" t="s">
        <v>296</v>
      </c>
      <c r="C85" s="12">
        <v>321</v>
      </c>
      <c r="D85" s="18"/>
      <c r="E85" s="36"/>
      <c r="F85" s="36"/>
      <c r="G85" s="36"/>
    </row>
    <row r="86" spans="2:7" x14ac:dyDescent="0.25">
      <c r="B86" s="24" t="s">
        <v>296</v>
      </c>
      <c r="C86" s="12">
        <v>322</v>
      </c>
      <c r="D86" s="18"/>
      <c r="E86" s="36"/>
      <c r="F86" s="36"/>
      <c r="G86" s="36"/>
    </row>
    <row r="87" spans="2:7" x14ac:dyDescent="0.25">
      <c r="B87" s="24" t="s">
        <v>296</v>
      </c>
      <c r="C87" s="12">
        <v>323</v>
      </c>
      <c r="D87" s="18"/>
      <c r="E87" s="36"/>
      <c r="F87" s="36"/>
      <c r="G87" s="36"/>
    </row>
    <row r="88" spans="2:7" x14ac:dyDescent="0.25">
      <c r="B88" s="24" t="s">
        <v>296</v>
      </c>
      <c r="C88" s="12">
        <v>324</v>
      </c>
      <c r="D88" s="18"/>
      <c r="E88" s="36"/>
      <c r="F88" s="36"/>
      <c r="G88" s="36"/>
    </row>
    <row r="89" spans="2:7" x14ac:dyDescent="0.25">
      <c r="B89" s="24" t="s">
        <v>296</v>
      </c>
      <c r="C89" s="12">
        <v>325</v>
      </c>
      <c r="D89" s="19"/>
      <c r="E89" s="39"/>
      <c r="F89" s="39"/>
      <c r="G89" s="39"/>
    </row>
    <row r="90" spans="2:7" x14ac:dyDescent="0.25">
      <c r="B90" s="25"/>
      <c r="C90" s="22"/>
      <c r="D90" s="17"/>
      <c r="E90" s="38"/>
      <c r="F90" s="38"/>
      <c r="G90" s="38"/>
    </row>
    <row r="91" spans="2:7" x14ac:dyDescent="0.25">
      <c r="B91" s="34" t="s">
        <v>299</v>
      </c>
      <c r="D91" s="18"/>
      <c r="E91" s="36"/>
      <c r="F91" s="36"/>
      <c r="G91" s="36"/>
    </row>
    <row r="92" spans="2:7" x14ac:dyDescent="0.25">
      <c r="B92" s="24" t="s">
        <v>296</v>
      </c>
      <c r="C92" s="12">
        <v>401</v>
      </c>
      <c r="D92" s="18"/>
      <c r="E92" s="36"/>
      <c r="F92" s="36"/>
      <c r="G92" s="36"/>
    </row>
    <row r="93" spans="2:7" x14ac:dyDescent="0.25">
      <c r="B93" s="24" t="s">
        <v>296</v>
      </c>
      <c r="C93" s="12">
        <v>402</v>
      </c>
      <c r="D93" s="18"/>
      <c r="E93" s="36"/>
      <c r="F93" s="36"/>
      <c r="G93" s="36"/>
    </row>
    <row r="94" spans="2:7" x14ac:dyDescent="0.25">
      <c r="B94" s="24" t="s">
        <v>296</v>
      </c>
      <c r="C94" s="12">
        <v>403</v>
      </c>
      <c r="D94" s="18"/>
      <c r="E94" s="36"/>
      <c r="F94" s="36"/>
      <c r="G94" s="36"/>
    </row>
    <row r="95" spans="2:7" x14ac:dyDescent="0.25">
      <c r="B95" s="24" t="s">
        <v>296</v>
      </c>
      <c r="C95" s="12">
        <v>404</v>
      </c>
      <c r="D95" s="18"/>
      <c r="E95" s="36"/>
      <c r="F95" s="36"/>
      <c r="G95" s="36"/>
    </row>
    <row r="96" spans="2:7" x14ac:dyDescent="0.25">
      <c r="B96" s="24" t="s">
        <v>296</v>
      </c>
      <c r="C96" s="12">
        <v>405</v>
      </c>
      <c r="D96" s="18"/>
      <c r="E96" s="36"/>
      <c r="F96" s="36"/>
      <c r="G96" s="36"/>
    </row>
    <row r="97" spans="2:7" x14ac:dyDescent="0.25">
      <c r="B97" s="24" t="s">
        <v>296</v>
      </c>
      <c r="C97" s="12">
        <v>406</v>
      </c>
      <c r="D97" s="18"/>
      <c r="E97" s="36"/>
      <c r="F97" s="36"/>
      <c r="G97" s="36"/>
    </row>
    <row r="98" spans="2:7" x14ac:dyDescent="0.25">
      <c r="B98" s="24" t="s">
        <v>296</v>
      </c>
      <c r="C98" s="12">
        <v>407</v>
      </c>
      <c r="D98" s="18"/>
      <c r="E98" s="36"/>
      <c r="F98" s="36"/>
      <c r="G98" s="36"/>
    </row>
    <row r="99" spans="2:7" x14ac:dyDescent="0.25">
      <c r="B99" s="24" t="s">
        <v>296</v>
      </c>
      <c r="C99" s="12">
        <v>408</v>
      </c>
      <c r="D99" s="18"/>
      <c r="E99" s="36"/>
      <c r="F99" s="36"/>
      <c r="G99" s="36"/>
    </row>
    <row r="100" spans="2:7" x14ac:dyDescent="0.25">
      <c r="B100" s="24" t="s">
        <v>296</v>
      </c>
      <c r="C100" s="12">
        <v>409</v>
      </c>
      <c r="D100" s="18"/>
      <c r="E100" s="36"/>
      <c r="F100" s="36"/>
      <c r="G100" s="36"/>
    </row>
    <row r="101" spans="2:7" x14ac:dyDescent="0.25">
      <c r="B101" s="24" t="s">
        <v>296</v>
      </c>
      <c r="C101" s="12">
        <v>410</v>
      </c>
      <c r="D101" s="18"/>
      <c r="E101" s="36"/>
      <c r="F101" s="36"/>
      <c r="G101" s="36"/>
    </row>
    <row r="102" spans="2:7" x14ac:dyDescent="0.25">
      <c r="B102" s="24" t="s">
        <v>296</v>
      </c>
      <c r="C102" s="12">
        <v>411</v>
      </c>
      <c r="D102" s="18"/>
      <c r="E102" s="36"/>
      <c r="F102" s="36"/>
      <c r="G102" s="36"/>
    </row>
    <row r="103" spans="2:7" x14ac:dyDescent="0.25">
      <c r="B103" s="24" t="s">
        <v>296</v>
      </c>
      <c r="C103" s="12">
        <v>412</v>
      </c>
      <c r="D103" s="18"/>
      <c r="E103" s="36"/>
      <c r="F103" s="36"/>
      <c r="G103" s="36"/>
    </row>
    <row r="104" spans="2:7" x14ac:dyDescent="0.25">
      <c r="B104" s="24" t="s">
        <v>296</v>
      </c>
      <c r="C104" s="12">
        <v>413</v>
      </c>
      <c r="D104" s="18"/>
      <c r="E104" s="36"/>
      <c r="F104" s="36"/>
      <c r="G104" s="36"/>
    </row>
    <row r="105" spans="2:7" x14ac:dyDescent="0.25">
      <c r="B105" s="24" t="s">
        <v>296</v>
      </c>
      <c r="C105" s="12">
        <v>414</v>
      </c>
      <c r="D105" s="18"/>
      <c r="E105" s="36"/>
      <c r="F105" s="36"/>
      <c r="G105" s="36"/>
    </row>
    <row r="106" spans="2:7" x14ac:dyDescent="0.25">
      <c r="B106" s="24" t="s">
        <v>296</v>
      </c>
      <c r="C106" s="12">
        <v>415</v>
      </c>
      <c r="D106" s="18"/>
      <c r="E106" s="36"/>
      <c r="F106" s="36"/>
      <c r="G106" s="36"/>
    </row>
    <row r="107" spans="2:7" x14ac:dyDescent="0.25">
      <c r="B107" s="24" t="s">
        <v>296</v>
      </c>
      <c r="C107" s="12">
        <v>416</v>
      </c>
      <c r="D107" s="18"/>
      <c r="E107" s="36"/>
      <c r="F107" s="36"/>
      <c r="G107" s="36"/>
    </row>
    <row r="108" spans="2:7" x14ac:dyDescent="0.25">
      <c r="B108" s="24" t="s">
        <v>296</v>
      </c>
      <c r="C108" s="12">
        <v>417</v>
      </c>
      <c r="D108" s="18"/>
      <c r="E108" s="36"/>
      <c r="F108" s="36"/>
      <c r="G108" s="36"/>
    </row>
    <row r="109" spans="2:7" x14ac:dyDescent="0.25">
      <c r="B109" s="24" t="s">
        <v>296</v>
      </c>
      <c r="C109" s="12">
        <v>418</v>
      </c>
      <c r="D109" s="18"/>
      <c r="E109" s="36"/>
      <c r="F109" s="36"/>
      <c r="G109" s="36"/>
    </row>
    <row r="110" spans="2:7" x14ac:dyDescent="0.25">
      <c r="B110" s="24" t="s">
        <v>296</v>
      </c>
      <c r="C110" s="12">
        <v>419</v>
      </c>
      <c r="D110" s="18"/>
      <c r="E110" s="36"/>
      <c r="F110" s="36"/>
      <c r="G110" s="36"/>
    </row>
    <row r="111" spans="2:7" x14ac:dyDescent="0.25">
      <c r="B111" s="24" t="s">
        <v>296</v>
      </c>
      <c r="C111" s="12">
        <v>420</v>
      </c>
      <c r="D111" s="18"/>
      <c r="E111" s="36"/>
      <c r="F111" s="36"/>
      <c r="G111" s="36"/>
    </row>
    <row r="112" spans="2:7" x14ac:dyDescent="0.25">
      <c r="B112" s="24" t="s">
        <v>296</v>
      </c>
      <c r="C112" s="12">
        <v>421</v>
      </c>
      <c r="D112" s="18"/>
      <c r="E112" s="36"/>
      <c r="F112" s="36"/>
      <c r="G112" s="36"/>
    </row>
    <row r="113" spans="2:7" x14ac:dyDescent="0.25">
      <c r="B113" s="24" t="s">
        <v>296</v>
      </c>
      <c r="C113" s="12">
        <v>422</v>
      </c>
      <c r="D113" s="18"/>
      <c r="E113" s="36"/>
      <c r="F113" s="36"/>
      <c r="G113" s="36"/>
    </row>
    <row r="114" spans="2:7" x14ac:dyDescent="0.25">
      <c r="B114" s="24" t="s">
        <v>296</v>
      </c>
      <c r="C114" s="12">
        <v>423</v>
      </c>
      <c r="D114" s="18"/>
      <c r="E114" s="36"/>
      <c r="F114" s="36"/>
      <c r="G114" s="36"/>
    </row>
    <row r="115" spans="2:7" x14ac:dyDescent="0.25">
      <c r="B115" s="24" t="s">
        <v>296</v>
      </c>
      <c r="C115" s="12">
        <v>424</v>
      </c>
      <c r="D115" s="18"/>
      <c r="E115" s="36"/>
      <c r="F115" s="36"/>
      <c r="G115" s="36"/>
    </row>
    <row r="116" spans="2:7" x14ac:dyDescent="0.25">
      <c r="B116" s="24" t="s">
        <v>296</v>
      </c>
      <c r="C116" s="12">
        <v>425</v>
      </c>
      <c r="D116" s="19"/>
      <c r="E116" s="39"/>
      <c r="F116" s="39"/>
      <c r="G116" s="39"/>
    </row>
    <row r="117" spans="2:7" x14ac:dyDescent="0.25">
      <c r="B117" s="25"/>
      <c r="C117" s="22"/>
      <c r="D117" s="17"/>
      <c r="E117" s="38"/>
      <c r="F117" s="38"/>
      <c r="G117" s="38"/>
    </row>
    <row r="118" spans="2:7" x14ac:dyDescent="0.25">
      <c r="B118" s="34" t="s">
        <v>300</v>
      </c>
      <c r="D118" s="18"/>
      <c r="E118" s="36"/>
      <c r="F118" s="36"/>
      <c r="G118" s="36"/>
    </row>
    <row r="119" spans="2:7" x14ac:dyDescent="0.25">
      <c r="B119" s="24" t="s">
        <v>296</v>
      </c>
      <c r="C119" s="12">
        <v>501</v>
      </c>
      <c r="D119" s="18"/>
      <c r="E119" s="36"/>
      <c r="F119" s="36"/>
      <c r="G119" s="36"/>
    </row>
    <row r="120" spans="2:7" x14ac:dyDescent="0.25">
      <c r="B120" s="24" t="s">
        <v>296</v>
      </c>
      <c r="C120" s="12">
        <v>502</v>
      </c>
      <c r="D120" s="18"/>
      <c r="E120" s="36"/>
      <c r="F120" s="36"/>
      <c r="G120" s="36"/>
    </row>
    <row r="121" spans="2:7" x14ac:dyDescent="0.25">
      <c r="B121" s="24" t="s">
        <v>296</v>
      </c>
      <c r="C121" s="12">
        <v>503</v>
      </c>
      <c r="D121" s="18"/>
      <c r="E121" s="36"/>
      <c r="F121" s="36"/>
      <c r="G121" s="36"/>
    </row>
    <row r="122" spans="2:7" x14ac:dyDescent="0.25">
      <c r="B122" s="24" t="s">
        <v>296</v>
      </c>
      <c r="C122" s="12">
        <v>504</v>
      </c>
      <c r="D122" s="18"/>
      <c r="E122" s="36"/>
      <c r="F122" s="36"/>
      <c r="G122" s="36"/>
    </row>
    <row r="123" spans="2:7" x14ac:dyDescent="0.25">
      <c r="B123" s="24" t="s">
        <v>296</v>
      </c>
      <c r="C123" s="12">
        <v>505</v>
      </c>
      <c r="D123" s="18"/>
      <c r="E123" s="36"/>
      <c r="F123" s="36"/>
      <c r="G123" s="36"/>
    </row>
    <row r="124" spans="2:7" x14ac:dyDescent="0.25">
      <c r="B124" s="24" t="s">
        <v>296</v>
      </c>
      <c r="C124" s="12">
        <v>506</v>
      </c>
      <c r="D124" s="18"/>
      <c r="E124" s="36"/>
      <c r="F124" s="36"/>
      <c r="G124" s="36"/>
    </row>
    <row r="125" spans="2:7" x14ac:dyDescent="0.25">
      <c r="B125" s="24" t="s">
        <v>296</v>
      </c>
      <c r="C125" s="12">
        <v>507</v>
      </c>
      <c r="D125" s="18"/>
      <c r="E125" s="36"/>
      <c r="F125" s="36"/>
      <c r="G125" s="36"/>
    </row>
    <row r="126" spans="2:7" x14ac:dyDescent="0.25">
      <c r="B126" s="24" t="s">
        <v>296</v>
      </c>
      <c r="C126" s="12">
        <v>508</v>
      </c>
      <c r="D126" s="18"/>
      <c r="E126" s="36"/>
      <c r="F126" s="36"/>
      <c r="G126" s="36"/>
    </row>
    <row r="127" spans="2:7" x14ac:dyDescent="0.25">
      <c r="B127" s="24" t="s">
        <v>296</v>
      </c>
      <c r="C127" s="12">
        <v>509</v>
      </c>
      <c r="D127" s="18"/>
      <c r="E127" s="36"/>
      <c r="F127" s="36"/>
      <c r="G127" s="36"/>
    </row>
    <row r="128" spans="2:7" x14ac:dyDescent="0.25">
      <c r="B128" s="24" t="s">
        <v>296</v>
      </c>
      <c r="C128" s="12">
        <v>510</v>
      </c>
      <c r="D128" s="18"/>
      <c r="E128" s="36"/>
      <c r="F128" s="36"/>
      <c r="G128" s="36"/>
    </row>
    <row r="129" spans="2:7" x14ac:dyDescent="0.25">
      <c r="B129" s="24" t="s">
        <v>296</v>
      </c>
      <c r="C129" s="12">
        <v>511</v>
      </c>
      <c r="D129" s="18"/>
      <c r="E129" s="36"/>
      <c r="F129" s="36"/>
      <c r="G129" s="36"/>
    </row>
    <row r="130" spans="2:7" x14ac:dyDescent="0.25">
      <c r="B130" s="24" t="s">
        <v>296</v>
      </c>
      <c r="C130" s="12">
        <v>512</v>
      </c>
      <c r="D130" s="18"/>
      <c r="E130" s="36"/>
      <c r="F130" s="36"/>
      <c r="G130" s="36"/>
    </row>
    <row r="131" spans="2:7" x14ac:dyDescent="0.25">
      <c r="B131" s="24" t="s">
        <v>296</v>
      </c>
      <c r="C131" s="12">
        <v>513</v>
      </c>
      <c r="D131" s="18"/>
      <c r="E131" s="36"/>
      <c r="F131" s="36"/>
      <c r="G131" s="36"/>
    </row>
    <row r="132" spans="2:7" x14ac:dyDescent="0.25">
      <c r="B132" s="24" t="s">
        <v>296</v>
      </c>
      <c r="C132" s="12">
        <v>514</v>
      </c>
      <c r="D132" s="18"/>
      <c r="E132" s="36"/>
      <c r="F132" s="36"/>
      <c r="G132" s="36"/>
    </row>
    <row r="133" spans="2:7" x14ac:dyDescent="0.25">
      <c r="B133" s="24" t="s">
        <v>296</v>
      </c>
      <c r="C133" s="12">
        <v>515</v>
      </c>
      <c r="D133" s="18"/>
      <c r="E133" s="36"/>
      <c r="F133" s="36"/>
      <c r="G133" s="36"/>
    </row>
    <row r="134" spans="2:7" x14ac:dyDescent="0.25">
      <c r="B134" s="24" t="s">
        <v>296</v>
      </c>
      <c r="C134" s="12">
        <v>516</v>
      </c>
      <c r="D134" s="18"/>
      <c r="E134" s="36"/>
      <c r="F134" s="36"/>
      <c r="G134" s="36"/>
    </row>
    <row r="135" spans="2:7" x14ac:dyDescent="0.25">
      <c r="B135" s="24" t="s">
        <v>296</v>
      </c>
      <c r="C135" s="12">
        <v>517</v>
      </c>
      <c r="D135" s="18"/>
      <c r="E135" s="36"/>
      <c r="F135" s="36"/>
      <c r="G135" s="36"/>
    </row>
    <row r="136" spans="2:7" x14ac:dyDescent="0.25">
      <c r="B136" s="24" t="s">
        <v>296</v>
      </c>
      <c r="C136" s="12">
        <v>518</v>
      </c>
      <c r="D136" s="18"/>
      <c r="E136" s="36"/>
      <c r="F136" s="36"/>
      <c r="G136" s="36"/>
    </row>
    <row r="137" spans="2:7" x14ac:dyDescent="0.25">
      <c r="B137" s="24" t="s">
        <v>296</v>
      </c>
      <c r="C137" s="12">
        <v>519</v>
      </c>
      <c r="D137" s="18"/>
      <c r="E137" s="36"/>
      <c r="F137" s="36"/>
      <c r="G137" s="36"/>
    </row>
    <row r="138" spans="2:7" x14ac:dyDescent="0.25">
      <c r="B138" s="24" t="s">
        <v>296</v>
      </c>
      <c r="C138" s="12">
        <v>520</v>
      </c>
      <c r="D138" s="18"/>
      <c r="E138" s="36"/>
      <c r="F138" s="36"/>
      <c r="G138" s="36"/>
    </row>
    <row r="139" spans="2:7" x14ac:dyDescent="0.25">
      <c r="B139" s="24" t="s">
        <v>296</v>
      </c>
      <c r="C139" s="12">
        <v>521</v>
      </c>
      <c r="D139" s="18"/>
      <c r="E139" s="36"/>
      <c r="F139" s="36"/>
      <c r="G139" s="36"/>
    </row>
    <row r="140" spans="2:7" x14ac:dyDescent="0.25">
      <c r="B140" s="24" t="s">
        <v>296</v>
      </c>
      <c r="C140" s="12">
        <v>522</v>
      </c>
      <c r="D140" s="18"/>
      <c r="E140" s="36"/>
      <c r="F140" s="36"/>
      <c r="G140" s="36"/>
    </row>
    <row r="141" spans="2:7" x14ac:dyDescent="0.25">
      <c r="B141" s="24" t="s">
        <v>296</v>
      </c>
      <c r="C141" s="12">
        <v>523</v>
      </c>
      <c r="D141" s="18"/>
      <c r="E141" s="36"/>
      <c r="F141" s="36"/>
      <c r="G141" s="36"/>
    </row>
    <row r="142" spans="2:7" x14ac:dyDescent="0.25">
      <c r="B142" s="24" t="s">
        <v>296</v>
      </c>
      <c r="C142" s="12">
        <v>524</v>
      </c>
      <c r="D142" s="18"/>
      <c r="E142" s="36"/>
      <c r="F142" s="36"/>
      <c r="G142" s="36"/>
    </row>
    <row r="143" spans="2:7" x14ac:dyDescent="0.25">
      <c r="B143" s="24" t="s">
        <v>296</v>
      </c>
      <c r="C143" s="12">
        <v>525</v>
      </c>
      <c r="D143" s="19"/>
      <c r="E143" s="39"/>
      <c r="F143" s="39"/>
      <c r="G143" s="39"/>
    </row>
    <row r="144" spans="2:7" x14ac:dyDescent="0.25">
      <c r="B144" s="25"/>
      <c r="C144" s="22"/>
      <c r="D144" s="17"/>
      <c r="E144" s="38"/>
      <c r="F144" s="38"/>
      <c r="G144" s="38"/>
    </row>
    <row r="145" spans="2:7" x14ac:dyDescent="0.25">
      <c r="B145" s="34" t="s">
        <v>301</v>
      </c>
      <c r="D145" s="18"/>
      <c r="E145" s="36"/>
      <c r="F145" s="36"/>
      <c r="G145" s="36"/>
    </row>
    <row r="146" spans="2:7" x14ac:dyDescent="0.25">
      <c r="B146" s="24" t="s">
        <v>296</v>
      </c>
      <c r="C146" s="12">
        <v>601</v>
      </c>
      <c r="D146" s="18"/>
      <c r="E146" s="36"/>
      <c r="F146" s="36"/>
      <c r="G146" s="36"/>
    </row>
    <row r="147" spans="2:7" x14ac:dyDescent="0.25">
      <c r="B147" s="24" t="s">
        <v>296</v>
      </c>
      <c r="C147" s="12">
        <v>602</v>
      </c>
      <c r="D147" s="18"/>
      <c r="E147" s="36"/>
      <c r="F147" s="36"/>
      <c r="G147" s="36"/>
    </row>
    <row r="148" spans="2:7" x14ac:dyDescent="0.25">
      <c r="B148" s="24" t="s">
        <v>296</v>
      </c>
      <c r="C148" s="12">
        <v>603</v>
      </c>
      <c r="D148" s="18"/>
      <c r="E148" s="36"/>
      <c r="F148" s="36"/>
      <c r="G148" s="36"/>
    </row>
    <row r="149" spans="2:7" x14ac:dyDescent="0.25">
      <c r="B149" s="24" t="s">
        <v>296</v>
      </c>
      <c r="C149" s="12">
        <v>604</v>
      </c>
      <c r="D149" s="18"/>
      <c r="E149" s="36"/>
      <c r="F149" s="36"/>
      <c r="G149" s="36"/>
    </row>
    <row r="150" spans="2:7" x14ac:dyDescent="0.25">
      <c r="B150" s="24" t="s">
        <v>296</v>
      </c>
      <c r="C150" s="12">
        <v>605</v>
      </c>
      <c r="D150" s="18"/>
      <c r="E150" s="36"/>
      <c r="F150" s="36"/>
      <c r="G150" s="36"/>
    </row>
    <row r="151" spans="2:7" x14ac:dyDescent="0.25">
      <c r="B151" s="24" t="s">
        <v>296</v>
      </c>
      <c r="C151" s="12">
        <v>606</v>
      </c>
      <c r="D151" s="18"/>
      <c r="E151" s="36"/>
      <c r="F151" s="36"/>
      <c r="G151" s="36"/>
    </row>
    <row r="152" spans="2:7" x14ac:dyDescent="0.25">
      <c r="B152" s="24" t="s">
        <v>296</v>
      </c>
      <c r="C152" s="12">
        <v>607</v>
      </c>
      <c r="D152" s="18"/>
      <c r="E152" s="36"/>
      <c r="F152" s="36"/>
      <c r="G152" s="36"/>
    </row>
    <row r="153" spans="2:7" x14ac:dyDescent="0.25">
      <c r="B153" s="24" t="s">
        <v>296</v>
      </c>
      <c r="C153" s="12">
        <v>608</v>
      </c>
      <c r="D153" s="18"/>
      <c r="E153" s="36"/>
      <c r="F153" s="36"/>
      <c r="G153" s="36"/>
    </row>
    <row r="154" spans="2:7" x14ac:dyDescent="0.25">
      <c r="B154" s="24" t="s">
        <v>296</v>
      </c>
      <c r="C154" s="12">
        <v>609</v>
      </c>
      <c r="D154" s="18"/>
      <c r="E154" s="36"/>
      <c r="F154" s="36"/>
      <c r="G154" s="36"/>
    </row>
    <row r="155" spans="2:7" x14ac:dyDescent="0.25">
      <c r="B155" s="24" t="s">
        <v>296</v>
      </c>
      <c r="C155" s="12">
        <v>610</v>
      </c>
      <c r="D155" s="18"/>
      <c r="E155" s="36"/>
      <c r="F155" s="36"/>
      <c r="G155" s="36"/>
    </row>
    <row r="156" spans="2:7" x14ac:dyDescent="0.25">
      <c r="B156" s="24" t="s">
        <v>296</v>
      </c>
      <c r="C156" s="12">
        <v>611</v>
      </c>
      <c r="D156" s="18"/>
      <c r="E156" s="36"/>
      <c r="F156" s="36"/>
      <c r="G156" s="36"/>
    </row>
    <row r="157" spans="2:7" x14ac:dyDescent="0.25">
      <c r="B157" s="24" t="s">
        <v>296</v>
      </c>
      <c r="C157" s="12">
        <v>612</v>
      </c>
      <c r="D157" s="18"/>
      <c r="E157" s="36"/>
      <c r="F157" s="36"/>
      <c r="G157" s="36"/>
    </row>
    <row r="158" spans="2:7" x14ac:dyDescent="0.25">
      <c r="B158" s="24" t="s">
        <v>296</v>
      </c>
      <c r="C158" s="12">
        <v>613</v>
      </c>
      <c r="D158" s="18"/>
      <c r="E158" s="36"/>
      <c r="F158" s="36"/>
      <c r="G158" s="36"/>
    </row>
    <row r="159" spans="2:7" x14ac:dyDescent="0.25">
      <c r="B159" s="24" t="s">
        <v>296</v>
      </c>
      <c r="C159" s="12">
        <v>614</v>
      </c>
      <c r="D159" s="18"/>
      <c r="E159" s="36"/>
      <c r="F159" s="36"/>
      <c r="G159" s="36"/>
    </row>
    <row r="160" spans="2:7" x14ac:dyDescent="0.25">
      <c r="B160" s="24" t="s">
        <v>296</v>
      </c>
      <c r="C160" s="12">
        <v>615</v>
      </c>
      <c r="D160" s="18"/>
      <c r="E160" s="36"/>
      <c r="F160" s="36"/>
      <c r="G160" s="36"/>
    </row>
    <row r="161" spans="2:7" x14ac:dyDescent="0.25">
      <c r="B161" s="24" t="s">
        <v>296</v>
      </c>
      <c r="C161" s="12">
        <v>616</v>
      </c>
      <c r="D161" s="18"/>
      <c r="E161" s="36"/>
      <c r="F161" s="36"/>
      <c r="G161" s="36"/>
    </row>
    <row r="162" spans="2:7" x14ac:dyDescent="0.25">
      <c r="B162" s="24" t="s">
        <v>296</v>
      </c>
      <c r="C162" s="12">
        <v>617</v>
      </c>
      <c r="D162" s="18"/>
      <c r="E162" s="36"/>
      <c r="F162" s="36"/>
      <c r="G162" s="36"/>
    </row>
    <row r="163" spans="2:7" x14ac:dyDescent="0.25">
      <c r="B163" s="24" t="s">
        <v>296</v>
      </c>
      <c r="C163" s="12">
        <v>618</v>
      </c>
      <c r="D163" s="18"/>
      <c r="E163" s="36"/>
      <c r="F163" s="36"/>
      <c r="G163" s="36"/>
    </row>
    <row r="164" spans="2:7" x14ac:dyDescent="0.25">
      <c r="B164" s="24" t="s">
        <v>296</v>
      </c>
      <c r="C164" s="12">
        <v>619</v>
      </c>
      <c r="D164" s="18"/>
      <c r="E164" s="36"/>
      <c r="F164" s="36"/>
      <c r="G164" s="36"/>
    </row>
    <row r="165" spans="2:7" x14ac:dyDescent="0.25">
      <c r="B165" s="24" t="s">
        <v>296</v>
      </c>
      <c r="C165" s="12">
        <v>620</v>
      </c>
      <c r="D165" s="18"/>
      <c r="E165" s="36"/>
      <c r="F165" s="36"/>
      <c r="G165" s="36"/>
    </row>
    <row r="166" spans="2:7" x14ac:dyDescent="0.25">
      <c r="B166" s="24" t="s">
        <v>296</v>
      </c>
      <c r="C166" s="12">
        <v>621</v>
      </c>
      <c r="D166" s="18"/>
      <c r="E166" s="36"/>
      <c r="F166" s="36"/>
      <c r="G166" s="36"/>
    </row>
    <row r="167" spans="2:7" x14ac:dyDescent="0.25">
      <c r="B167" s="24" t="s">
        <v>296</v>
      </c>
      <c r="C167" s="12">
        <v>622</v>
      </c>
      <c r="D167" s="18"/>
      <c r="E167" s="36"/>
      <c r="F167" s="36"/>
      <c r="G167" s="36"/>
    </row>
    <row r="168" spans="2:7" x14ac:dyDescent="0.25">
      <c r="B168" s="24" t="s">
        <v>296</v>
      </c>
      <c r="C168" s="12">
        <v>623</v>
      </c>
      <c r="D168" s="18"/>
      <c r="E168" s="36"/>
      <c r="F168" s="36"/>
      <c r="G168" s="36"/>
    </row>
    <row r="169" spans="2:7" x14ac:dyDescent="0.25">
      <c r="B169" s="24" t="s">
        <v>296</v>
      </c>
      <c r="C169" s="12">
        <v>624</v>
      </c>
      <c r="D169" s="18"/>
      <c r="E169" s="36"/>
      <c r="F169" s="36"/>
      <c r="G169" s="36"/>
    </row>
    <row r="170" spans="2:7" x14ac:dyDescent="0.25">
      <c r="B170" s="24" t="s">
        <v>296</v>
      </c>
      <c r="C170" s="12">
        <v>625</v>
      </c>
      <c r="D170" s="19"/>
      <c r="E170" s="39"/>
      <c r="F170" s="39"/>
      <c r="G170" s="39"/>
    </row>
    <row r="171" spans="2:7" x14ac:dyDescent="0.25">
      <c r="B171" s="25"/>
      <c r="C171" s="22"/>
      <c r="D171" s="17"/>
      <c r="E171" s="38"/>
      <c r="F171" s="38"/>
      <c r="G171" s="38"/>
    </row>
    <row r="172" spans="2:7" x14ac:dyDescent="0.25">
      <c r="B172" s="34" t="s">
        <v>302</v>
      </c>
      <c r="D172" s="18"/>
      <c r="E172" s="36"/>
      <c r="F172" s="36"/>
      <c r="G172" s="36"/>
    </row>
    <row r="173" spans="2:7" x14ac:dyDescent="0.25">
      <c r="B173" s="24" t="s">
        <v>296</v>
      </c>
      <c r="C173" s="12">
        <v>701</v>
      </c>
      <c r="D173" s="18"/>
      <c r="E173" s="36"/>
      <c r="F173" s="36"/>
      <c r="G173" s="36"/>
    </row>
    <row r="174" spans="2:7" x14ac:dyDescent="0.25">
      <c r="B174" s="24" t="s">
        <v>296</v>
      </c>
      <c r="C174" s="12">
        <v>702</v>
      </c>
      <c r="D174" s="18"/>
      <c r="E174" s="36"/>
      <c r="F174" s="36"/>
      <c r="G174" s="36"/>
    </row>
    <row r="175" spans="2:7" x14ac:dyDescent="0.25">
      <c r="B175" s="24" t="s">
        <v>296</v>
      </c>
      <c r="C175" s="12">
        <v>703</v>
      </c>
      <c r="D175" s="18"/>
      <c r="E175" s="36"/>
      <c r="F175" s="36"/>
      <c r="G175" s="36"/>
    </row>
    <row r="176" spans="2:7" x14ac:dyDescent="0.25">
      <c r="B176" s="24" t="s">
        <v>296</v>
      </c>
      <c r="C176" s="12">
        <v>704</v>
      </c>
      <c r="D176" s="18"/>
      <c r="E176" s="36"/>
      <c r="F176" s="36"/>
      <c r="G176" s="36"/>
    </row>
    <row r="177" spans="2:7" x14ac:dyDescent="0.25">
      <c r="B177" s="24" t="s">
        <v>296</v>
      </c>
      <c r="C177" s="12">
        <v>705</v>
      </c>
      <c r="D177" s="18"/>
      <c r="E177" s="36"/>
      <c r="F177" s="36"/>
      <c r="G177" s="36"/>
    </row>
    <row r="178" spans="2:7" x14ac:dyDescent="0.25">
      <c r="B178" s="24" t="s">
        <v>296</v>
      </c>
      <c r="C178" s="12">
        <v>706</v>
      </c>
      <c r="D178" s="18"/>
      <c r="E178" s="36"/>
      <c r="F178" s="36"/>
      <c r="G178" s="36"/>
    </row>
    <row r="179" spans="2:7" x14ac:dyDescent="0.25">
      <c r="B179" s="24" t="s">
        <v>296</v>
      </c>
      <c r="C179" s="12">
        <v>707</v>
      </c>
      <c r="D179" s="18"/>
      <c r="E179" s="36"/>
      <c r="F179" s="36"/>
      <c r="G179" s="36"/>
    </row>
    <row r="180" spans="2:7" x14ac:dyDescent="0.25">
      <c r="B180" s="24" t="s">
        <v>296</v>
      </c>
      <c r="C180" s="12">
        <v>708</v>
      </c>
      <c r="D180" s="18"/>
      <c r="E180" s="36"/>
      <c r="F180" s="36"/>
      <c r="G180" s="36"/>
    </row>
    <row r="181" spans="2:7" x14ac:dyDescent="0.25">
      <c r="B181" s="24" t="s">
        <v>296</v>
      </c>
      <c r="C181" s="12">
        <v>709</v>
      </c>
      <c r="D181" s="18"/>
      <c r="E181" s="36"/>
      <c r="F181" s="36"/>
      <c r="G181" s="36"/>
    </row>
    <row r="182" spans="2:7" x14ac:dyDescent="0.25">
      <c r="B182" s="24" t="s">
        <v>296</v>
      </c>
      <c r="C182" s="12">
        <v>710</v>
      </c>
      <c r="D182" s="18"/>
      <c r="E182" s="36"/>
      <c r="F182" s="36"/>
      <c r="G182" s="36"/>
    </row>
    <row r="183" spans="2:7" x14ac:dyDescent="0.25">
      <c r="B183" s="24" t="s">
        <v>296</v>
      </c>
      <c r="C183" s="12">
        <v>711</v>
      </c>
      <c r="D183" s="18"/>
      <c r="E183" s="36"/>
      <c r="F183" s="36"/>
      <c r="G183" s="36"/>
    </row>
    <row r="184" spans="2:7" x14ac:dyDescent="0.25">
      <c r="B184" s="24" t="s">
        <v>296</v>
      </c>
      <c r="C184" s="12">
        <v>712</v>
      </c>
      <c r="D184" s="18"/>
      <c r="E184" s="36"/>
      <c r="F184" s="36"/>
      <c r="G184" s="36"/>
    </row>
    <row r="185" spans="2:7" x14ac:dyDescent="0.25">
      <c r="B185" s="24" t="s">
        <v>296</v>
      </c>
      <c r="C185" s="12">
        <v>713</v>
      </c>
      <c r="D185" s="18"/>
      <c r="E185" s="36"/>
      <c r="F185" s="36"/>
      <c r="G185" s="36"/>
    </row>
    <row r="186" spans="2:7" x14ac:dyDescent="0.25">
      <c r="B186" s="24" t="s">
        <v>296</v>
      </c>
      <c r="C186" s="12">
        <v>714</v>
      </c>
      <c r="D186" s="18"/>
      <c r="E186" s="36"/>
      <c r="F186" s="36"/>
      <c r="G186" s="36"/>
    </row>
    <row r="187" spans="2:7" x14ac:dyDescent="0.25">
      <c r="B187" s="24" t="s">
        <v>296</v>
      </c>
      <c r="C187" s="12">
        <v>715</v>
      </c>
      <c r="D187" s="18"/>
      <c r="E187" s="36"/>
      <c r="F187" s="36"/>
      <c r="G187" s="36"/>
    </row>
    <row r="188" spans="2:7" x14ac:dyDescent="0.25">
      <c r="B188" s="24" t="s">
        <v>296</v>
      </c>
      <c r="C188" s="12">
        <v>716</v>
      </c>
      <c r="D188" s="18"/>
      <c r="E188" s="36"/>
      <c r="F188" s="36"/>
      <c r="G188" s="36"/>
    </row>
    <row r="189" spans="2:7" x14ac:dyDescent="0.25">
      <c r="B189" s="24" t="s">
        <v>296</v>
      </c>
      <c r="C189" s="12">
        <v>717</v>
      </c>
      <c r="D189" s="18"/>
      <c r="E189" s="36"/>
      <c r="F189" s="36"/>
      <c r="G189" s="36"/>
    </row>
    <row r="190" spans="2:7" x14ac:dyDescent="0.25">
      <c r="B190" s="24" t="s">
        <v>296</v>
      </c>
      <c r="C190" s="12">
        <v>718</v>
      </c>
      <c r="D190" s="18"/>
      <c r="E190" s="36"/>
      <c r="F190" s="36"/>
      <c r="G190" s="36"/>
    </row>
    <row r="191" spans="2:7" x14ac:dyDescent="0.25">
      <c r="B191" s="24" t="s">
        <v>296</v>
      </c>
      <c r="C191" s="12">
        <v>719</v>
      </c>
      <c r="D191" s="18"/>
      <c r="E191" s="36"/>
      <c r="F191" s="36"/>
      <c r="G191" s="36"/>
    </row>
    <row r="192" spans="2:7" x14ac:dyDescent="0.25">
      <c r="B192" s="24" t="s">
        <v>296</v>
      </c>
      <c r="C192" s="12">
        <v>720</v>
      </c>
      <c r="D192" s="18"/>
      <c r="E192" s="36"/>
      <c r="F192" s="36"/>
      <c r="G192" s="36"/>
    </row>
    <row r="193" spans="2:7" x14ac:dyDescent="0.25">
      <c r="B193" s="24" t="s">
        <v>296</v>
      </c>
      <c r="C193" s="12">
        <v>721</v>
      </c>
      <c r="D193" s="18"/>
      <c r="E193" s="36"/>
      <c r="F193" s="36"/>
      <c r="G193" s="36"/>
    </row>
    <row r="194" spans="2:7" x14ac:dyDescent="0.25">
      <c r="B194" s="24" t="s">
        <v>296</v>
      </c>
      <c r="C194" s="12">
        <v>722</v>
      </c>
      <c r="D194" s="18"/>
      <c r="E194" s="36"/>
      <c r="F194" s="36"/>
      <c r="G194" s="36"/>
    </row>
    <row r="195" spans="2:7" x14ac:dyDescent="0.25">
      <c r="B195" s="24" t="s">
        <v>296</v>
      </c>
      <c r="C195" s="12">
        <v>723</v>
      </c>
      <c r="D195" s="18"/>
      <c r="E195" s="36"/>
      <c r="F195" s="36"/>
      <c r="G195" s="36"/>
    </row>
    <row r="196" spans="2:7" x14ac:dyDescent="0.25">
      <c r="B196" s="24" t="s">
        <v>296</v>
      </c>
      <c r="C196" s="12">
        <v>724</v>
      </c>
      <c r="D196" s="18"/>
      <c r="E196" s="36"/>
      <c r="F196" s="36"/>
      <c r="G196" s="36"/>
    </row>
    <row r="197" spans="2:7" x14ac:dyDescent="0.25">
      <c r="B197" s="24" t="s">
        <v>296</v>
      </c>
      <c r="C197" s="12">
        <v>725</v>
      </c>
      <c r="D197" s="18"/>
      <c r="E197" s="36"/>
      <c r="F197" s="36"/>
      <c r="G197" s="36"/>
    </row>
    <row r="198" spans="2:7" x14ac:dyDescent="0.25">
      <c r="B198" s="25"/>
      <c r="C198" s="22"/>
      <c r="D198" s="17"/>
      <c r="E198" s="38"/>
      <c r="F198" s="38"/>
      <c r="G198" s="38"/>
    </row>
    <row r="199" spans="2:7" x14ac:dyDescent="0.25">
      <c r="B199" s="34" t="s">
        <v>303</v>
      </c>
      <c r="D199" s="18"/>
      <c r="E199" s="36"/>
      <c r="F199" s="36"/>
      <c r="G199" s="36"/>
    </row>
    <row r="200" spans="2:7" x14ac:dyDescent="0.25">
      <c r="B200" s="24" t="s">
        <v>296</v>
      </c>
      <c r="C200" s="12">
        <v>801</v>
      </c>
      <c r="D200" s="18"/>
      <c r="E200" s="36"/>
      <c r="F200" s="36"/>
      <c r="G200" s="36"/>
    </row>
    <row r="201" spans="2:7" x14ac:dyDescent="0.25">
      <c r="B201" s="24" t="s">
        <v>296</v>
      </c>
      <c r="C201" s="12">
        <v>802</v>
      </c>
      <c r="D201" s="18"/>
      <c r="E201" s="36"/>
      <c r="F201" s="36"/>
      <c r="G201" s="36"/>
    </row>
    <row r="202" spans="2:7" x14ac:dyDescent="0.25">
      <c r="B202" s="24" t="s">
        <v>296</v>
      </c>
      <c r="C202" s="12">
        <v>803</v>
      </c>
      <c r="D202" s="18"/>
      <c r="E202" s="36"/>
      <c r="F202" s="36"/>
      <c r="G202" s="36"/>
    </row>
    <row r="203" spans="2:7" x14ac:dyDescent="0.25">
      <c r="B203" s="24" t="s">
        <v>296</v>
      </c>
      <c r="C203" s="12">
        <v>804</v>
      </c>
      <c r="D203" s="18"/>
      <c r="E203" s="36"/>
      <c r="F203" s="36"/>
      <c r="G203" s="36"/>
    </row>
    <row r="204" spans="2:7" x14ac:dyDescent="0.25">
      <c r="B204" s="24" t="s">
        <v>296</v>
      </c>
      <c r="C204" s="12">
        <v>805</v>
      </c>
      <c r="D204" s="18"/>
      <c r="E204" s="36"/>
      <c r="F204" s="36"/>
      <c r="G204" s="36"/>
    </row>
    <row r="205" spans="2:7" x14ac:dyDescent="0.25">
      <c r="B205" s="24" t="s">
        <v>296</v>
      </c>
      <c r="C205" s="12">
        <v>806</v>
      </c>
      <c r="D205" s="18"/>
      <c r="E205" s="36"/>
      <c r="F205" s="36"/>
      <c r="G205" s="36"/>
    </row>
    <row r="206" spans="2:7" x14ac:dyDescent="0.25">
      <c r="B206" s="24" t="s">
        <v>296</v>
      </c>
      <c r="C206" s="12">
        <v>807</v>
      </c>
      <c r="D206" s="18"/>
      <c r="E206" s="36"/>
      <c r="F206" s="36"/>
      <c r="G206" s="36"/>
    </row>
    <row r="207" spans="2:7" x14ac:dyDescent="0.25">
      <c r="B207" s="24" t="s">
        <v>296</v>
      </c>
      <c r="C207" s="12">
        <v>808</v>
      </c>
      <c r="D207" s="18"/>
      <c r="E207" s="36"/>
      <c r="F207" s="36"/>
      <c r="G207" s="36"/>
    </row>
    <row r="208" spans="2:7" x14ac:dyDescent="0.25">
      <c r="B208" s="24" t="s">
        <v>296</v>
      </c>
      <c r="C208" s="12">
        <v>809</v>
      </c>
      <c r="D208" s="18"/>
      <c r="E208" s="36"/>
      <c r="F208" s="36"/>
      <c r="G208" s="36"/>
    </row>
    <row r="209" spans="2:7" x14ac:dyDescent="0.25">
      <c r="B209" s="24" t="s">
        <v>296</v>
      </c>
      <c r="C209" s="12">
        <v>810</v>
      </c>
      <c r="D209" s="18"/>
      <c r="E209" s="36"/>
      <c r="F209" s="36"/>
      <c r="G209" s="36"/>
    </row>
    <row r="210" spans="2:7" x14ac:dyDescent="0.25">
      <c r="B210" s="24" t="s">
        <v>296</v>
      </c>
      <c r="C210" s="12">
        <v>811</v>
      </c>
      <c r="D210" s="18"/>
      <c r="E210" s="36"/>
      <c r="F210" s="36"/>
      <c r="G210" s="36"/>
    </row>
    <row r="211" spans="2:7" x14ac:dyDescent="0.25">
      <c r="B211" s="24" t="s">
        <v>296</v>
      </c>
      <c r="C211" s="12">
        <v>812</v>
      </c>
      <c r="D211" s="18"/>
      <c r="E211" s="36"/>
      <c r="F211" s="36"/>
      <c r="G211" s="36"/>
    </row>
    <row r="212" spans="2:7" x14ac:dyDescent="0.25">
      <c r="B212" s="24" t="s">
        <v>296</v>
      </c>
      <c r="C212" s="12">
        <v>813</v>
      </c>
      <c r="D212" s="18"/>
      <c r="E212" s="36"/>
      <c r="F212" s="36"/>
      <c r="G212" s="36"/>
    </row>
    <row r="213" spans="2:7" x14ac:dyDescent="0.25">
      <c r="B213" s="24" t="s">
        <v>296</v>
      </c>
      <c r="C213" s="12">
        <v>814</v>
      </c>
      <c r="D213" s="18"/>
      <c r="E213" s="36"/>
      <c r="F213" s="36"/>
      <c r="G213" s="36"/>
    </row>
    <row r="214" spans="2:7" x14ac:dyDescent="0.25">
      <c r="B214" s="24" t="s">
        <v>296</v>
      </c>
      <c r="C214" s="12">
        <v>815</v>
      </c>
      <c r="D214" s="18"/>
      <c r="E214" s="36"/>
      <c r="F214" s="36"/>
      <c r="G214" s="36"/>
    </row>
    <row r="215" spans="2:7" x14ac:dyDescent="0.25">
      <c r="B215" s="24" t="s">
        <v>296</v>
      </c>
      <c r="C215" s="12">
        <v>816</v>
      </c>
      <c r="D215" s="18"/>
      <c r="E215" s="36"/>
      <c r="F215" s="36"/>
      <c r="G215" s="36"/>
    </row>
    <row r="216" spans="2:7" x14ac:dyDescent="0.25">
      <c r="B216" s="24" t="s">
        <v>296</v>
      </c>
      <c r="C216" s="12">
        <v>817</v>
      </c>
      <c r="D216" s="18"/>
      <c r="E216" s="36"/>
      <c r="F216" s="36"/>
      <c r="G216" s="36"/>
    </row>
    <row r="217" spans="2:7" x14ac:dyDescent="0.25">
      <c r="B217" s="24" t="s">
        <v>296</v>
      </c>
      <c r="C217" s="12">
        <v>818</v>
      </c>
      <c r="D217" s="18"/>
      <c r="E217" s="36"/>
      <c r="F217" s="36"/>
      <c r="G217" s="36"/>
    </row>
    <row r="218" spans="2:7" x14ac:dyDescent="0.25">
      <c r="B218" s="24" t="s">
        <v>296</v>
      </c>
      <c r="C218" s="12">
        <v>819</v>
      </c>
      <c r="D218" s="18"/>
      <c r="E218" s="36"/>
      <c r="F218" s="36"/>
      <c r="G218" s="36"/>
    </row>
    <row r="219" spans="2:7" x14ac:dyDescent="0.25">
      <c r="B219" s="24" t="s">
        <v>296</v>
      </c>
      <c r="C219" s="12">
        <v>820</v>
      </c>
      <c r="D219" s="18"/>
      <c r="E219" s="36"/>
      <c r="F219" s="36"/>
      <c r="G219" s="36"/>
    </row>
    <row r="220" spans="2:7" x14ac:dyDescent="0.25">
      <c r="B220" s="24" t="s">
        <v>296</v>
      </c>
      <c r="C220" s="12">
        <v>821</v>
      </c>
      <c r="D220" s="18"/>
      <c r="E220" s="36"/>
      <c r="F220" s="36"/>
      <c r="G220" s="36"/>
    </row>
    <row r="221" spans="2:7" x14ac:dyDescent="0.25">
      <c r="B221" s="24" t="s">
        <v>296</v>
      </c>
      <c r="C221" s="12">
        <v>822</v>
      </c>
      <c r="D221" s="18"/>
      <c r="E221" s="36"/>
      <c r="F221" s="36"/>
      <c r="G221" s="36"/>
    </row>
    <row r="222" spans="2:7" x14ac:dyDescent="0.25">
      <c r="B222" s="24" t="s">
        <v>296</v>
      </c>
      <c r="C222" s="12">
        <v>823</v>
      </c>
      <c r="D222" s="18"/>
      <c r="E222" s="36"/>
      <c r="F222" s="36"/>
      <c r="G222" s="36"/>
    </row>
    <row r="223" spans="2:7" x14ac:dyDescent="0.25">
      <c r="B223" s="24" t="s">
        <v>296</v>
      </c>
      <c r="C223" s="12">
        <v>824</v>
      </c>
      <c r="D223" s="18"/>
      <c r="E223" s="36"/>
      <c r="F223" s="36"/>
      <c r="G223" s="36"/>
    </row>
    <row r="224" spans="2:7" x14ac:dyDescent="0.25">
      <c r="B224" s="24" t="s">
        <v>296</v>
      </c>
      <c r="C224" s="12">
        <v>825</v>
      </c>
      <c r="D224" s="19"/>
      <c r="E224" s="39"/>
      <c r="F224" s="39"/>
      <c r="G224" s="39"/>
    </row>
  </sheetData>
  <sheetProtection algorithmName="SHA-512" hashValue="hS/dFyGm7AI4CfGIKuEdyaI9wcnSzxODn2ecwOkvUVS1gcpyMSc9W+qMzPPNGQ/wg5qE6y/kVi5/z5jG2Sfw7A==" saltValue="O8890OphKtVRx2YTB7dMk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6"/>
  <sheetViews>
    <sheetView showGridLines="0" zoomScale="85" zoomScaleNormal="85" workbookViewId="0">
      <selection activeCell="A4" sqref="A4"/>
    </sheetView>
  </sheetViews>
  <sheetFormatPr defaultColWidth="10" defaultRowHeight="13.2" x14ac:dyDescent="0.25"/>
  <cols>
    <col min="1" max="1" width="31.77734375" style="27" customWidth="1"/>
    <col min="2" max="48" width="22.77734375" style="27" customWidth="1"/>
    <col min="49" max="16384" width="10" style="27"/>
  </cols>
  <sheetData>
    <row r="1" spans="1:48" ht="21" x14ac:dyDescent="0.4">
      <c r="A1" s="40" t="s">
        <v>227</v>
      </c>
      <c r="B1" s="41"/>
      <c r="C1" s="41"/>
      <c r="D1" s="41"/>
      <c r="E1" s="41"/>
      <c r="F1" s="41"/>
      <c r="G1" s="41"/>
      <c r="H1" s="41"/>
      <c r="I1" s="41"/>
    </row>
    <row r="2" spans="1:48" ht="15.6" x14ac:dyDescent="0.3">
      <c r="A2" s="42" t="str">
        <f>IF(title="&gt; Enter workbook title here","Enter workbook title in Cover sheet",title)</f>
        <v>Fire Wales - Consolidated Factor Spreadsheet</v>
      </c>
      <c r="B2" s="43"/>
      <c r="C2" s="43"/>
      <c r="D2" s="43"/>
      <c r="E2" s="43"/>
      <c r="F2" s="43"/>
      <c r="G2" s="43"/>
      <c r="H2" s="43"/>
      <c r="I2" s="43"/>
    </row>
    <row r="3" spans="1:48" ht="15.6" x14ac:dyDescent="0.3">
      <c r="A3" s="44" t="str">
        <f>TABLE_FACTOR_TYPE_1&amp;" - x-"&amp;TABLE_SERIES_NUMBER_1</f>
        <v>Pension Debit - x-325</v>
      </c>
      <c r="B3" s="43"/>
      <c r="C3" s="43"/>
      <c r="D3" s="43"/>
      <c r="E3" s="43"/>
      <c r="F3" s="43"/>
      <c r="G3" s="43"/>
      <c r="H3" s="43"/>
      <c r="I3" s="43"/>
    </row>
    <row r="4" spans="1:48" x14ac:dyDescent="0.25">
      <c r="A4" s="45"/>
    </row>
    <row r="6" spans="1:48"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row>
    <row r="7" spans="1:48"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row>
    <row r="8" spans="1:48" x14ac:dyDescent="0.25">
      <c r="A8" s="79" t="s">
        <v>306</v>
      </c>
      <c r="B8" s="152">
        <v>2007</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row>
    <row r="9" spans="1:48" x14ac:dyDescent="0.25">
      <c r="A9" s="79" t="s">
        <v>307</v>
      </c>
      <c r="B9" s="152" t="s">
        <v>402</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row>
    <row r="10" spans="1:48" x14ac:dyDescent="0.25">
      <c r="A10" s="79" t="s">
        <v>233</v>
      </c>
      <c r="B10" s="152" t="s">
        <v>425</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row>
    <row r="11" spans="1:48"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row>
    <row r="12" spans="1:48" x14ac:dyDescent="0.25">
      <c r="A12" s="79" t="s">
        <v>309</v>
      </c>
      <c r="B12" s="152" t="s">
        <v>415</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row>
    <row r="13" spans="1:48" x14ac:dyDescent="0.25">
      <c r="A13" s="79" t="s">
        <v>566</v>
      </c>
      <c r="B13" s="152">
        <v>1</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row>
    <row r="14" spans="1:48" x14ac:dyDescent="0.25">
      <c r="A14" s="79" t="s">
        <v>311</v>
      </c>
      <c r="B14" s="152">
        <v>325</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48" x14ac:dyDescent="0.25">
      <c r="A15" s="79" t="s">
        <v>569</v>
      </c>
      <c r="B15" s="152" t="s">
        <v>426</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row>
    <row r="16" spans="1:48" x14ac:dyDescent="0.25">
      <c r="A16" s="79" t="s">
        <v>313</v>
      </c>
      <c r="B16" s="152" t="s">
        <v>413</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row>
    <row r="17" spans="1:48"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row>
    <row r="18" spans="1:48" x14ac:dyDescent="0.25">
      <c r="A18" s="79" t="s">
        <v>315</v>
      </c>
      <c r="B18" s="154">
        <v>45070</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row>
    <row r="19" spans="1:48" x14ac:dyDescent="0.25">
      <c r="A19" s="79" t="s">
        <v>316</v>
      </c>
      <c r="B19" s="154">
        <v>45014</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row>
    <row r="20" spans="1:48"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row>
    <row r="21" spans="1:48"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row>
    <row r="23" spans="1:48" x14ac:dyDescent="0.25">
      <c r="B23" s="96" t="str">
        <f>HYPERLINK("#'Factor List'!A1","Back to Factor List")</f>
        <v>Back to Factor List</v>
      </c>
    </row>
    <row r="24" spans="1:48" x14ac:dyDescent="0.25">
      <c r="B24" s="96" t="str">
        <f>HYPERLINK("#'Assumptions'!A1","Assumptions")</f>
        <v>Assumptions</v>
      </c>
    </row>
    <row r="26" spans="1:48"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c r="AR26" s="92">
        <v>60</v>
      </c>
      <c r="AS26" s="92">
        <v>61</v>
      </c>
      <c r="AT26" s="92">
        <v>62</v>
      </c>
      <c r="AU26" s="92">
        <v>63</v>
      </c>
      <c r="AV26" s="92">
        <v>64</v>
      </c>
    </row>
    <row r="27" spans="1:48" x14ac:dyDescent="0.25">
      <c r="A27" s="93">
        <v>0</v>
      </c>
      <c r="B27" s="95">
        <v>0.21199999999999999</v>
      </c>
      <c r="C27" s="95">
        <v>0.216</v>
      </c>
      <c r="D27" s="95">
        <v>0.221</v>
      </c>
      <c r="E27" s="95">
        <v>0.22700000000000001</v>
      </c>
      <c r="F27" s="95">
        <v>0.23200000000000001</v>
      </c>
      <c r="G27" s="95">
        <v>0.23699999999999999</v>
      </c>
      <c r="H27" s="95">
        <v>0.24299999999999999</v>
      </c>
      <c r="I27" s="95">
        <v>0.249</v>
      </c>
      <c r="J27" s="95">
        <v>0.255</v>
      </c>
      <c r="K27" s="95">
        <v>0.26100000000000001</v>
      </c>
      <c r="L27" s="95">
        <v>0.26700000000000002</v>
      </c>
      <c r="M27" s="95">
        <v>0.27400000000000002</v>
      </c>
      <c r="N27" s="95">
        <v>0.28100000000000003</v>
      </c>
      <c r="O27" s="95">
        <v>0.28799999999999998</v>
      </c>
      <c r="P27" s="95">
        <v>0.29599999999999999</v>
      </c>
      <c r="Q27" s="95">
        <v>0.30399999999999999</v>
      </c>
      <c r="R27" s="95">
        <v>0.312</v>
      </c>
      <c r="S27" s="95">
        <v>0.32100000000000001</v>
      </c>
      <c r="T27" s="95">
        <v>0.33</v>
      </c>
      <c r="U27" s="95">
        <v>0.33900000000000002</v>
      </c>
      <c r="V27" s="95">
        <v>0.34899999999999998</v>
      </c>
      <c r="W27" s="95">
        <v>0.35899999999999999</v>
      </c>
      <c r="X27" s="95">
        <v>0.36899999999999999</v>
      </c>
      <c r="Y27" s="95">
        <v>0.38100000000000001</v>
      </c>
      <c r="Z27" s="95">
        <v>0.39200000000000002</v>
      </c>
      <c r="AA27" s="95">
        <v>0.40500000000000003</v>
      </c>
      <c r="AB27" s="95">
        <v>0.41799999999999998</v>
      </c>
      <c r="AC27" s="95">
        <v>0.43099999999999999</v>
      </c>
      <c r="AD27" s="95">
        <v>0.44600000000000001</v>
      </c>
      <c r="AE27" s="95">
        <v>0.46100000000000002</v>
      </c>
      <c r="AF27" s="95">
        <v>0.47699999999999998</v>
      </c>
      <c r="AG27" s="95">
        <v>0.49399999999999999</v>
      </c>
      <c r="AH27" s="95">
        <v>0.51200000000000001</v>
      </c>
      <c r="AI27" s="95">
        <v>0.53100000000000003</v>
      </c>
      <c r="AJ27" s="95">
        <v>0.55100000000000005</v>
      </c>
      <c r="AK27" s="95">
        <v>0.57199999999999995</v>
      </c>
      <c r="AL27" s="95">
        <v>0.59499999999999997</v>
      </c>
      <c r="AM27" s="95">
        <v>0.62</v>
      </c>
      <c r="AN27" s="95">
        <v>0.64600000000000002</v>
      </c>
      <c r="AO27" s="95">
        <v>0.67400000000000004</v>
      </c>
      <c r="AP27" s="95">
        <v>0.70499999999999996</v>
      </c>
      <c r="AQ27" s="95">
        <v>0.73699999999999999</v>
      </c>
      <c r="AR27" s="95">
        <v>0.77200000000000002</v>
      </c>
      <c r="AS27" s="95">
        <v>0.81100000000000005</v>
      </c>
      <c r="AT27" s="95">
        <v>0.85199999999999998</v>
      </c>
      <c r="AU27" s="95">
        <v>0.89700000000000002</v>
      </c>
      <c r="AV27" s="95">
        <v>0.94599999999999995</v>
      </c>
    </row>
    <row r="28" spans="1:48" x14ac:dyDescent="0.25">
      <c r="A28" s="93">
        <v>1</v>
      </c>
      <c r="B28" s="95">
        <v>0.21199999999999999</v>
      </c>
      <c r="C28" s="95">
        <v>0.217</v>
      </c>
      <c r="D28" s="95">
        <v>0.222</v>
      </c>
      <c r="E28" s="95">
        <v>0.22700000000000001</v>
      </c>
      <c r="F28" s="95">
        <v>0.23200000000000001</v>
      </c>
      <c r="G28" s="95">
        <v>0.23799999999999999</v>
      </c>
      <c r="H28" s="95">
        <v>0.24299999999999999</v>
      </c>
      <c r="I28" s="95">
        <v>0.249</v>
      </c>
      <c r="J28" s="95">
        <v>0.255</v>
      </c>
      <c r="K28" s="95">
        <v>0.26200000000000001</v>
      </c>
      <c r="L28" s="95">
        <v>0.26800000000000002</v>
      </c>
      <c r="M28" s="95">
        <v>0.27500000000000002</v>
      </c>
      <c r="N28" s="95">
        <v>0.28199999999999997</v>
      </c>
      <c r="O28" s="95">
        <v>0.28899999999999998</v>
      </c>
      <c r="P28" s="95">
        <v>0.29699999999999999</v>
      </c>
      <c r="Q28" s="95">
        <v>0.30499999999999999</v>
      </c>
      <c r="R28" s="95">
        <v>0.313</v>
      </c>
      <c r="S28" s="95">
        <v>0.32100000000000001</v>
      </c>
      <c r="T28" s="95">
        <v>0.33</v>
      </c>
      <c r="U28" s="95">
        <v>0.34</v>
      </c>
      <c r="V28" s="95">
        <v>0.35</v>
      </c>
      <c r="W28" s="95">
        <v>0.36</v>
      </c>
      <c r="X28" s="95">
        <v>0.37</v>
      </c>
      <c r="Y28" s="95">
        <v>0.38200000000000001</v>
      </c>
      <c r="Z28" s="95">
        <v>0.39300000000000002</v>
      </c>
      <c r="AA28" s="95">
        <v>0.40600000000000003</v>
      </c>
      <c r="AB28" s="95">
        <v>0.41899999999999998</v>
      </c>
      <c r="AC28" s="95">
        <v>0.432</v>
      </c>
      <c r="AD28" s="95">
        <v>0.44700000000000001</v>
      </c>
      <c r="AE28" s="95">
        <v>0.46200000000000002</v>
      </c>
      <c r="AF28" s="95">
        <v>0.47799999999999998</v>
      </c>
      <c r="AG28" s="95">
        <v>0.495</v>
      </c>
      <c r="AH28" s="95">
        <v>0.51300000000000001</v>
      </c>
      <c r="AI28" s="95">
        <v>0.53200000000000003</v>
      </c>
      <c r="AJ28" s="95">
        <v>0.55300000000000005</v>
      </c>
      <c r="AK28" s="95">
        <v>0.57399999999999995</v>
      </c>
      <c r="AL28" s="95">
        <v>0.59699999999999998</v>
      </c>
      <c r="AM28" s="95">
        <v>0.622</v>
      </c>
      <c r="AN28" s="95">
        <v>0.64800000000000002</v>
      </c>
      <c r="AO28" s="95">
        <v>0.67700000000000005</v>
      </c>
      <c r="AP28" s="95">
        <v>0.70699999999999996</v>
      </c>
      <c r="AQ28" s="95">
        <v>0.74</v>
      </c>
      <c r="AR28" s="95">
        <v>0.77600000000000002</v>
      </c>
      <c r="AS28" s="95">
        <v>0.81399999999999995</v>
      </c>
      <c r="AT28" s="95">
        <v>0.85599999999999998</v>
      </c>
      <c r="AU28" s="95">
        <v>0.90100000000000002</v>
      </c>
      <c r="AV28" s="95">
        <v>0.95099999999999996</v>
      </c>
    </row>
    <row r="29" spans="1:48" x14ac:dyDescent="0.25">
      <c r="A29" s="93">
        <v>2</v>
      </c>
      <c r="B29" s="95">
        <v>0.21299999999999999</v>
      </c>
      <c r="C29" s="95">
        <v>0.217</v>
      </c>
      <c r="D29" s="95">
        <v>0.222</v>
      </c>
      <c r="E29" s="95">
        <v>0.22700000000000001</v>
      </c>
      <c r="F29" s="95">
        <v>0.23300000000000001</v>
      </c>
      <c r="G29" s="95">
        <v>0.23799999999999999</v>
      </c>
      <c r="H29" s="95">
        <v>0.24399999999999999</v>
      </c>
      <c r="I29" s="95">
        <v>0.25</v>
      </c>
      <c r="J29" s="95">
        <v>0.25600000000000001</v>
      </c>
      <c r="K29" s="95">
        <v>0.26200000000000001</v>
      </c>
      <c r="L29" s="95">
        <v>0.26900000000000002</v>
      </c>
      <c r="M29" s="95">
        <v>0.27500000000000002</v>
      </c>
      <c r="N29" s="95">
        <v>0.28199999999999997</v>
      </c>
      <c r="O29" s="95">
        <v>0.28999999999999998</v>
      </c>
      <c r="P29" s="95">
        <v>0.29699999999999999</v>
      </c>
      <c r="Q29" s="95">
        <v>0.30499999999999999</v>
      </c>
      <c r="R29" s="95">
        <v>0.314</v>
      </c>
      <c r="S29" s="95">
        <v>0.32200000000000001</v>
      </c>
      <c r="T29" s="95">
        <v>0.33100000000000002</v>
      </c>
      <c r="U29" s="95">
        <v>0.34100000000000003</v>
      </c>
      <c r="V29" s="95">
        <v>0.35</v>
      </c>
      <c r="W29" s="95">
        <v>0.36099999999999999</v>
      </c>
      <c r="X29" s="95">
        <v>0.371</v>
      </c>
      <c r="Y29" s="95">
        <v>0.38300000000000001</v>
      </c>
      <c r="Z29" s="95">
        <v>0.39400000000000002</v>
      </c>
      <c r="AA29" s="95">
        <v>0.40699999999999997</v>
      </c>
      <c r="AB29" s="95">
        <v>0.42</v>
      </c>
      <c r="AC29" s="95">
        <v>0.434</v>
      </c>
      <c r="AD29" s="95">
        <v>0.44800000000000001</v>
      </c>
      <c r="AE29" s="95">
        <v>0.46300000000000002</v>
      </c>
      <c r="AF29" s="95">
        <v>0.48</v>
      </c>
      <c r="AG29" s="95">
        <v>0.497</v>
      </c>
      <c r="AH29" s="95">
        <v>0.51500000000000001</v>
      </c>
      <c r="AI29" s="95">
        <v>0.53400000000000003</v>
      </c>
      <c r="AJ29" s="95">
        <v>0.55400000000000005</v>
      </c>
      <c r="AK29" s="95">
        <v>0.57599999999999996</v>
      </c>
      <c r="AL29" s="95">
        <v>0.59899999999999998</v>
      </c>
      <c r="AM29" s="95">
        <v>0.624</v>
      </c>
      <c r="AN29" s="95">
        <v>0.65100000000000002</v>
      </c>
      <c r="AO29" s="95">
        <v>0.67900000000000005</v>
      </c>
      <c r="AP29" s="95">
        <v>0.71</v>
      </c>
      <c r="AQ29" s="95">
        <v>0.74299999999999999</v>
      </c>
      <c r="AR29" s="95">
        <v>0.77900000000000003</v>
      </c>
      <c r="AS29" s="95">
        <v>0.81699999999999995</v>
      </c>
      <c r="AT29" s="95">
        <v>0.85899999999999999</v>
      </c>
      <c r="AU29" s="95">
        <v>0.90500000000000003</v>
      </c>
      <c r="AV29" s="95">
        <v>0.95499999999999996</v>
      </c>
    </row>
    <row r="30" spans="1:48" x14ac:dyDescent="0.25">
      <c r="A30" s="93">
        <v>3</v>
      </c>
      <c r="B30" s="95">
        <v>0.21299999999999999</v>
      </c>
      <c r="C30" s="95">
        <v>0.218</v>
      </c>
      <c r="D30" s="95">
        <v>0.223</v>
      </c>
      <c r="E30" s="95">
        <v>0.22800000000000001</v>
      </c>
      <c r="F30" s="95">
        <v>0.23300000000000001</v>
      </c>
      <c r="G30" s="95">
        <v>0.23899999999999999</v>
      </c>
      <c r="H30" s="95">
        <v>0.24399999999999999</v>
      </c>
      <c r="I30" s="95">
        <v>0.25</v>
      </c>
      <c r="J30" s="95">
        <v>0.25600000000000001</v>
      </c>
      <c r="K30" s="95">
        <v>0.26300000000000001</v>
      </c>
      <c r="L30" s="95">
        <v>0.26900000000000002</v>
      </c>
      <c r="M30" s="95">
        <v>0.27600000000000002</v>
      </c>
      <c r="N30" s="95">
        <v>0.28299999999999997</v>
      </c>
      <c r="O30" s="95">
        <v>0.28999999999999998</v>
      </c>
      <c r="P30" s="95">
        <v>0.29799999999999999</v>
      </c>
      <c r="Q30" s="95">
        <v>0.30599999999999999</v>
      </c>
      <c r="R30" s="95">
        <v>0.314</v>
      </c>
      <c r="S30" s="95">
        <v>0.32300000000000001</v>
      </c>
      <c r="T30" s="95">
        <v>0.33200000000000002</v>
      </c>
      <c r="U30" s="95">
        <v>0.34100000000000003</v>
      </c>
      <c r="V30" s="95">
        <v>0.35099999999999998</v>
      </c>
      <c r="W30" s="95">
        <v>0.36199999999999999</v>
      </c>
      <c r="X30" s="95">
        <v>0.372</v>
      </c>
      <c r="Y30" s="95">
        <v>0.38400000000000001</v>
      </c>
      <c r="Z30" s="95">
        <v>0.39500000000000002</v>
      </c>
      <c r="AA30" s="95">
        <v>0.40799999999999997</v>
      </c>
      <c r="AB30" s="95">
        <v>0.42099999999999999</v>
      </c>
      <c r="AC30" s="95">
        <v>0.435</v>
      </c>
      <c r="AD30" s="95">
        <v>0.44900000000000001</v>
      </c>
      <c r="AE30" s="95">
        <v>0.46500000000000002</v>
      </c>
      <c r="AF30" s="95">
        <v>0.48099999999999998</v>
      </c>
      <c r="AG30" s="95">
        <v>0.498</v>
      </c>
      <c r="AH30" s="95">
        <v>0.51600000000000001</v>
      </c>
      <c r="AI30" s="95">
        <v>0.53600000000000003</v>
      </c>
      <c r="AJ30" s="95">
        <v>0.55600000000000005</v>
      </c>
      <c r="AK30" s="95">
        <v>0.57799999999999996</v>
      </c>
      <c r="AL30" s="95">
        <v>0.60099999999999998</v>
      </c>
      <c r="AM30" s="95">
        <v>0.626</v>
      </c>
      <c r="AN30" s="95">
        <v>0.65300000000000002</v>
      </c>
      <c r="AO30" s="95">
        <v>0.68200000000000005</v>
      </c>
      <c r="AP30" s="95">
        <v>0.71299999999999997</v>
      </c>
      <c r="AQ30" s="95">
        <v>0.746</v>
      </c>
      <c r="AR30" s="95">
        <v>0.78200000000000003</v>
      </c>
      <c r="AS30" s="95">
        <v>0.82099999999999995</v>
      </c>
      <c r="AT30" s="95">
        <v>0.86299999999999999</v>
      </c>
      <c r="AU30" s="95">
        <v>0.90900000000000003</v>
      </c>
      <c r="AV30" s="95">
        <v>0.96</v>
      </c>
    </row>
    <row r="31" spans="1:48" x14ac:dyDescent="0.25">
      <c r="A31" s="93">
        <v>4</v>
      </c>
      <c r="B31" s="95">
        <v>0.21299999999999999</v>
      </c>
      <c r="C31" s="95">
        <v>0.218</v>
      </c>
      <c r="D31" s="95">
        <v>0.223</v>
      </c>
      <c r="E31" s="95">
        <v>0.22800000000000001</v>
      </c>
      <c r="F31" s="95">
        <v>0.23400000000000001</v>
      </c>
      <c r="G31" s="95">
        <v>0.23899999999999999</v>
      </c>
      <c r="H31" s="95">
        <v>0.245</v>
      </c>
      <c r="I31" s="95">
        <v>0.251</v>
      </c>
      <c r="J31" s="95">
        <v>0.25700000000000001</v>
      </c>
      <c r="K31" s="95">
        <v>0.26300000000000001</v>
      </c>
      <c r="L31" s="95">
        <v>0.27</v>
      </c>
      <c r="M31" s="95">
        <v>0.27700000000000002</v>
      </c>
      <c r="N31" s="95">
        <v>0.28399999999999997</v>
      </c>
      <c r="O31" s="95">
        <v>0.29099999999999998</v>
      </c>
      <c r="P31" s="95">
        <v>0.29899999999999999</v>
      </c>
      <c r="Q31" s="95">
        <v>0.307</v>
      </c>
      <c r="R31" s="95">
        <v>0.315</v>
      </c>
      <c r="S31" s="95">
        <v>0.32400000000000001</v>
      </c>
      <c r="T31" s="95">
        <v>0.33300000000000002</v>
      </c>
      <c r="U31" s="95">
        <v>0.34200000000000003</v>
      </c>
      <c r="V31" s="95">
        <v>0.35199999999999998</v>
      </c>
      <c r="W31" s="95">
        <v>0.36199999999999999</v>
      </c>
      <c r="X31" s="95">
        <v>0.373</v>
      </c>
      <c r="Y31" s="95">
        <v>0.38500000000000001</v>
      </c>
      <c r="Z31" s="95">
        <v>0.39600000000000002</v>
      </c>
      <c r="AA31" s="95">
        <v>0.40899999999999997</v>
      </c>
      <c r="AB31" s="95">
        <v>0.42199999999999999</v>
      </c>
      <c r="AC31" s="95">
        <v>0.436</v>
      </c>
      <c r="AD31" s="95">
        <v>0.45100000000000001</v>
      </c>
      <c r="AE31" s="95">
        <v>0.46600000000000003</v>
      </c>
      <c r="AF31" s="95">
        <v>0.48199999999999998</v>
      </c>
      <c r="AG31" s="95">
        <v>0.5</v>
      </c>
      <c r="AH31" s="95">
        <v>0.51800000000000002</v>
      </c>
      <c r="AI31" s="95">
        <v>0.53700000000000003</v>
      </c>
      <c r="AJ31" s="95">
        <v>0.55800000000000005</v>
      </c>
      <c r="AK31" s="95">
        <v>0.57999999999999996</v>
      </c>
      <c r="AL31" s="95">
        <v>0.60299999999999998</v>
      </c>
      <c r="AM31" s="95">
        <v>0.629</v>
      </c>
      <c r="AN31" s="95">
        <v>0.65600000000000003</v>
      </c>
      <c r="AO31" s="95">
        <v>0.68400000000000005</v>
      </c>
      <c r="AP31" s="95">
        <v>0.71499999999999997</v>
      </c>
      <c r="AQ31" s="95">
        <v>0.749</v>
      </c>
      <c r="AR31" s="95">
        <v>0.78500000000000003</v>
      </c>
      <c r="AS31" s="95">
        <v>0.82399999999999995</v>
      </c>
      <c r="AT31" s="95">
        <v>0.86699999999999999</v>
      </c>
      <c r="AU31" s="95">
        <v>0.91300000000000003</v>
      </c>
      <c r="AV31" s="95">
        <v>0.96399999999999997</v>
      </c>
    </row>
    <row r="32" spans="1:48" x14ac:dyDescent="0.25">
      <c r="A32" s="93">
        <v>5</v>
      </c>
      <c r="B32" s="95">
        <v>0.214</v>
      </c>
      <c r="C32" s="95">
        <v>0.219</v>
      </c>
      <c r="D32" s="95">
        <v>0.224</v>
      </c>
      <c r="E32" s="95">
        <v>0.22900000000000001</v>
      </c>
      <c r="F32" s="95">
        <v>0.23400000000000001</v>
      </c>
      <c r="G32" s="95">
        <v>0.24</v>
      </c>
      <c r="H32" s="95">
        <v>0.245</v>
      </c>
      <c r="I32" s="95">
        <v>0.251</v>
      </c>
      <c r="J32" s="95">
        <v>0.25700000000000001</v>
      </c>
      <c r="K32" s="95">
        <v>0.26400000000000001</v>
      </c>
      <c r="L32" s="95">
        <v>0.27</v>
      </c>
      <c r="M32" s="95">
        <v>0.27700000000000002</v>
      </c>
      <c r="N32" s="95">
        <v>0.28399999999999997</v>
      </c>
      <c r="O32" s="95">
        <v>0.29199999999999998</v>
      </c>
      <c r="P32" s="95">
        <v>0.29899999999999999</v>
      </c>
      <c r="Q32" s="95">
        <v>0.307</v>
      </c>
      <c r="R32" s="95">
        <v>0.316</v>
      </c>
      <c r="S32" s="95">
        <v>0.32400000000000001</v>
      </c>
      <c r="T32" s="95">
        <v>0.33300000000000002</v>
      </c>
      <c r="U32" s="95">
        <v>0.34300000000000003</v>
      </c>
      <c r="V32" s="95">
        <v>0.35299999999999998</v>
      </c>
      <c r="W32" s="95">
        <v>0.36299999999999999</v>
      </c>
      <c r="X32" s="95">
        <v>0.374</v>
      </c>
      <c r="Y32" s="95">
        <v>0.38600000000000001</v>
      </c>
      <c r="Z32" s="95">
        <v>0.39800000000000002</v>
      </c>
      <c r="AA32" s="95">
        <v>0.41</v>
      </c>
      <c r="AB32" s="95">
        <v>0.42299999999999999</v>
      </c>
      <c r="AC32" s="95">
        <v>0.437</v>
      </c>
      <c r="AD32" s="95">
        <v>0.45200000000000001</v>
      </c>
      <c r="AE32" s="95">
        <v>0.46700000000000003</v>
      </c>
      <c r="AF32" s="95">
        <v>0.48399999999999999</v>
      </c>
      <c r="AG32" s="95">
        <v>0.501</v>
      </c>
      <c r="AH32" s="95">
        <v>0.52</v>
      </c>
      <c r="AI32" s="95">
        <v>0.53900000000000003</v>
      </c>
      <c r="AJ32" s="95">
        <v>0.56000000000000005</v>
      </c>
      <c r="AK32" s="95">
        <v>0.58199999999999996</v>
      </c>
      <c r="AL32" s="95">
        <v>0.60599999999999998</v>
      </c>
      <c r="AM32" s="95">
        <v>0.63100000000000001</v>
      </c>
      <c r="AN32" s="95">
        <v>0.65800000000000003</v>
      </c>
      <c r="AO32" s="95">
        <v>0.68700000000000006</v>
      </c>
      <c r="AP32" s="95">
        <v>0.71799999999999997</v>
      </c>
      <c r="AQ32" s="95">
        <v>0.752</v>
      </c>
      <c r="AR32" s="95">
        <v>0.78800000000000003</v>
      </c>
      <c r="AS32" s="95">
        <v>0.82799999999999996</v>
      </c>
      <c r="AT32" s="95">
        <v>0.871</v>
      </c>
      <c r="AU32" s="95">
        <v>0.91700000000000004</v>
      </c>
      <c r="AV32" s="95">
        <v>0.96899999999999997</v>
      </c>
    </row>
    <row r="33" spans="1:48" x14ac:dyDescent="0.25">
      <c r="A33" s="93">
        <v>6</v>
      </c>
      <c r="B33" s="95">
        <v>0.214</v>
      </c>
      <c r="C33" s="95">
        <v>0.219</v>
      </c>
      <c r="D33" s="95">
        <v>0.224</v>
      </c>
      <c r="E33" s="95">
        <v>0.22900000000000001</v>
      </c>
      <c r="F33" s="95">
        <v>0.23400000000000001</v>
      </c>
      <c r="G33" s="95">
        <v>0.24</v>
      </c>
      <c r="H33" s="95">
        <v>0.246</v>
      </c>
      <c r="I33" s="95">
        <v>0.252</v>
      </c>
      <c r="J33" s="95">
        <v>0.25800000000000001</v>
      </c>
      <c r="K33" s="95">
        <v>0.26400000000000001</v>
      </c>
      <c r="L33" s="95">
        <v>0.27100000000000002</v>
      </c>
      <c r="M33" s="95">
        <v>0.27800000000000002</v>
      </c>
      <c r="N33" s="95">
        <v>0.28499999999999998</v>
      </c>
      <c r="O33" s="95">
        <v>0.29199999999999998</v>
      </c>
      <c r="P33" s="95">
        <v>0.3</v>
      </c>
      <c r="Q33" s="95">
        <v>0.308</v>
      </c>
      <c r="R33" s="95">
        <v>0.316</v>
      </c>
      <c r="S33" s="95">
        <v>0.32500000000000001</v>
      </c>
      <c r="T33" s="95">
        <v>0.33400000000000002</v>
      </c>
      <c r="U33" s="95">
        <v>0.34399999999999997</v>
      </c>
      <c r="V33" s="95">
        <v>0.35399999999999998</v>
      </c>
      <c r="W33" s="95">
        <v>0.36399999999999999</v>
      </c>
      <c r="X33" s="95">
        <v>0.375</v>
      </c>
      <c r="Y33" s="95">
        <v>0.38700000000000001</v>
      </c>
      <c r="Z33" s="95">
        <v>0.39900000000000002</v>
      </c>
      <c r="AA33" s="95">
        <v>0.41099999999999998</v>
      </c>
      <c r="AB33" s="95">
        <v>0.42399999999999999</v>
      </c>
      <c r="AC33" s="95">
        <v>0.438</v>
      </c>
      <c r="AD33" s="95">
        <v>0.45300000000000001</v>
      </c>
      <c r="AE33" s="95">
        <v>0.46899999999999997</v>
      </c>
      <c r="AF33" s="95">
        <v>0.48499999999999999</v>
      </c>
      <c r="AG33" s="95">
        <v>0.503</v>
      </c>
      <c r="AH33" s="95">
        <v>0.52100000000000002</v>
      </c>
      <c r="AI33" s="95">
        <v>0.54100000000000004</v>
      </c>
      <c r="AJ33" s="95">
        <v>0.56200000000000006</v>
      </c>
      <c r="AK33" s="95">
        <v>0.58399999999999996</v>
      </c>
      <c r="AL33" s="95">
        <v>0.60799999999999998</v>
      </c>
      <c r="AM33" s="95">
        <v>0.63300000000000001</v>
      </c>
      <c r="AN33" s="95">
        <v>0.66</v>
      </c>
      <c r="AO33" s="95">
        <v>0.68899999999999995</v>
      </c>
      <c r="AP33" s="95">
        <v>0.72099999999999997</v>
      </c>
      <c r="AQ33" s="95">
        <v>0.755</v>
      </c>
      <c r="AR33" s="95">
        <v>0.79100000000000004</v>
      </c>
      <c r="AS33" s="95">
        <v>0.83099999999999996</v>
      </c>
      <c r="AT33" s="95">
        <v>0.874</v>
      </c>
      <c r="AU33" s="95">
        <v>0.92200000000000004</v>
      </c>
      <c r="AV33" s="95">
        <v>0.97299999999999998</v>
      </c>
    </row>
    <row r="34" spans="1:48" x14ac:dyDescent="0.25">
      <c r="A34" s="93">
        <v>7</v>
      </c>
      <c r="B34" s="95">
        <v>0.215</v>
      </c>
      <c r="C34" s="95">
        <v>0.219</v>
      </c>
      <c r="D34" s="95">
        <v>0.224</v>
      </c>
      <c r="E34" s="95">
        <v>0.23</v>
      </c>
      <c r="F34" s="95">
        <v>0.23499999999999999</v>
      </c>
      <c r="G34" s="95">
        <v>0.24</v>
      </c>
      <c r="H34" s="95">
        <v>0.246</v>
      </c>
      <c r="I34" s="95">
        <v>0.252</v>
      </c>
      <c r="J34" s="95">
        <v>0.25800000000000001</v>
      </c>
      <c r="K34" s="95">
        <v>0.26500000000000001</v>
      </c>
      <c r="L34" s="95">
        <v>0.27100000000000002</v>
      </c>
      <c r="M34" s="95">
        <v>0.27800000000000002</v>
      </c>
      <c r="N34" s="95">
        <v>0.28499999999999998</v>
      </c>
      <c r="O34" s="95">
        <v>0.29299999999999998</v>
      </c>
      <c r="P34" s="95">
        <v>0.30099999999999999</v>
      </c>
      <c r="Q34" s="95">
        <v>0.309</v>
      </c>
      <c r="R34" s="95">
        <v>0.317</v>
      </c>
      <c r="S34" s="95">
        <v>0.32600000000000001</v>
      </c>
      <c r="T34" s="95">
        <v>0.33500000000000002</v>
      </c>
      <c r="U34" s="95">
        <v>0.34499999999999997</v>
      </c>
      <c r="V34" s="95">
        <v>0.35499999999999998</v>
      </c>
      <c r="W34" s="95">
        <v>0.36499999999999999</v>
      </c>
      <c r="X34" s="95">
        <v>0.376</v>
      </c>
      <c r="Y34" s="95">
        <v>0.38800000000000001</v>
      </c>
      <c r="Z34" s="95">
        <v>0.4</v>
      </c>
      <c r="AA34" s="95">
        <v>0.41199999999999998</v>
      </c>
      <c r="AB34" s="95">
        <v>0.42599999999999999</v>
      </c>
      <c r="AC34" s="95">
        <v>0.44</v>
      </c>
      <c r="AD34" s="95">
        <v>0.45400000000000001</v>
      </c>
      <c r="AE34" s="95">
        <v>0.47</v>
      </c>
      <c r="AF34" s="95">
        <v>0.48699999999999999</v>
      </c>
      <c r="AG34" s="95">
        <v>0.504</v>
      </c>
      <c r="AH34" s="95">
        <v>0.52300000000000002</v>
      </c>
      <c r="AI34" s="95">
        <v>0.54200000000000004</v>
      </c>
      <c r="AJ34" s="95">
        <v>0.56299999999999994</v>
      </c>
      <c r="AK34" s="95">
        <v>0.58599999999999997</v>
      </c>
      <c r="AL34" s="95">
        <v>0.61</v>
      </c>
      <c r="AM34" s="95">
        <v>0.63500000000000001</v>
      </c>
      <c r="AN34" s="95">
        <v>0.66300000000000003</v>
      </c>
      <c r="AO34" s="95">
        <v>0.69199999999999995</v>
      </c>
      <c r="AP34" s="95">
        <v>0.72399999999999998</v>
      </c>
      <c r="AQ34" s="95">
        <v>0.75800000000000001</v>
      </c>
      <c r="AR34" s="95">
        <v>0.79500000000000004</v>
      </c>
      <c r="AS34" s="95">
        <v>0.83499999999999996</v>
      </c>
      <c r="AT34" s="95">
        <v>0.878</v>
      </c>
      <c r="AU34" s="95">
        <v>0.92600000000000005</v>
      </c>
      <c r="AV34" s="95">
        <v>0.97799999999999998</v>
      </c>
    </row>
    <row r="35" spans="1:48" x14ac:dyDescent="0.25">
      <c r="A35" s="93">
        <v>8</v>
      </c>
      <c r="B35" s="95">
        <v>0.215</v>
      </c>
      <c r="C35" s="95">
        <v>0.22</v>
      </c>
      <c r="D35" s="95">
        <v>0.22500000000000001</v>
      </c>
      <c r="E35" s="95">
        <v>0.23</v>
      </c>
      <c r="F35" s="95">
        <v>0.23499999999999999</v>
      </c>
      <c r="G35" s="95">
        <v>0.24099999999999999</v>
      </c>
      <c r="H35" s="95">
        <v>0.247</v>
      </c>
      <c r="I35" s="95">
        <v>0.253</v>
      </c>
      <c r="J35" s="95">
        <v>0.25900000000000001</v>
      </c>
      <c r="K35" s="95">
        <v>0.26500000000000001</v>
      </c>
      <c r="L35" s="95">
        <v>0.27200000000000002</v>
      </c>
      <c r="M35" s="95">
        <v>0.27900000000000003</v>
      </c>
      <c r="N35" s="95">
        <v>0.28599999999999998</v>
      </c>
      <c r="O35" s="95">
        <v>0.29399999999999998</v>
      </c>
      <c r="P35" s="95">
        <v>0.30099999999999999</v>
      </c>
      <c r="Q35" s="95">
        <v>0.309</v>
      </c>
      <c r="R35" s="95">
        <v>0.318</v>
      </c>
      <c r="S35" s="95">
        <v>0.32700000000000001</v>
      </c>
      <c r="T35" s="95">
        <v>0.33600000000000002</v>
      </c>
      <c r="U35" s="95">
        <v>0.34499999999999997</v>
      </c>
      <c r="V35" s="95">
        <v>0.35499999999999998</v>
      </c>
      <c r="W35" s="95">
        <v>0.36599999999999999</v>
      </c>
      <c r="X35" s="95">
        <v>0.377</v>
      </c>
      <c r="Y35" s="95">
        <v>0.38800000000000001</v>
      </c>
      <c r="Z35" s="95">
        <v>0.40100000000000002</v>
      </c>
      <c r="AA35" s="95">
        <v>0.41299999999999998</v>
      </c>
      <c r="AB35" s="95">
        <v>0.42699999999999999</v>
      </c>
      <c r="AC35" s="95">
        <v>0.441</v>
      </c>
      <c r="AD35" s="95">
        <v>0.45600000000000002</v>
      </c>
      <c r="AE35" s="95">
        <v>0.47099999999999997</v>
      </c>
      <c r="AF35" s="95">
        <v>0.48799999999999999</v>
      </c>
      <c r="AG35" s="95">
        <v>0.50600000000000001</v>
      </c>
      <c r="AH35" s="95">
        <v>0.52400000000000002</v>
      </c>
      <c r="AI35" s="95">
        <v>0.54400000000000004</v>
      </c>
      <c r="AJ35" s="95">
        <v>0.56499999999999995</v>
      </c>
      <c r="AK35" s="95">
        <v>0.58799999999999997</v>
      </c>
      <c r="AL35" s="95">
        <v>0.61199999999999999</v>
      </c>
      <c r="AM35" s="95">
        <v>0.63700000000000001</v>
      </c>
      <c r="AN35" s="95">
        <v>0.66500000000000004</v>
      </c>
      <c r="AO35" s="95">
        <v>0.69399999999999995</v>
      </c>
      <c r="AP35" s="95">
        <v>0.72599999999999998</v>
      </c>
      <c r="AQ35" s="95">
        <v>0.76100000000000001</v>
      </c>
      <c r="AR35" s="95">
        <v>0.79800000000000004</v>
      </c>
      <c r="AS35" s="95">
        <v>0.83799999999999997</v>
      </c>
      <c r="AT35" s="95">
        <v>0.88200000000000001</v>
      </c>
      <c r="AU35" s="95">
        <v>0.93</v>
      </c>
      <c r="AV35" s="95">
        <v>0.98199999999999998</v>
      </c>
    </row>
    <row r="36" spans="1:48" x14ac:dyDescent="0.25">
      <c r="A36" s="93">
        <v>9</v>
      </c>
      <c r="B36" s="95">
        <v>0.215</v>
      </c>
      <c r="C36" s="95">
        <v>0.22</v>
      </c>
      <c r="D36" s="95">
        <v>0.22500000000000001</v>
      </c>
      <c r="E36" s="95">
        <v>0.23</v>
      </c>
      <c r="F36" s="95">
        <v>0.23599999999999999</v>
      </c>
      <c r="G36" s="95">
        <v>0.24099999999999999</v>
      </c>
      <c r="H36" s="95">
        <v>0.247</v>
      </c>
      <c r="I36" s="95">
        <v>0.253</v>
      </c>
      <c r="J36" s="95">
        <v>0.25900000000000001</v>
      </c>
      <c r="K36" s="95">
        <v>0.26600000000000001</v>
      </c>
      <c r="L36" s="95">
        <v>0.27300000000000002</v>
      </c>
      <c r="M36" s="95">
        <v>0.27900000000000003</v>
      </c>
      <c r="N36" s="95">
        <v>0.28699999999999998</v>
      </c>
      <c r="O36" s="95">
        <v>0.29399999999999998</v>
      </c>
      <c r="P36" s="95">
        <v>0.30199999999999999</v>
      </c>
      <c r="Q36" s="95">
        <v>0.31</v>
      </c>
      <c r="R36" s="95">
        <v>0.31900000000000001</v>
      </c>
      <c r="S36" s="95">
        <v>0.32700000000000001</v>
      </c>
      <c r="T36" s="95">
        <v>0.33700000000000002</v>
      </c>
      <c r="U36" s="95">
        <v>0.34599999999999997</v>
      </c>
      <c r="V36" s="95">
        <v>0.35599999999999998</v>
      </c>
      <c r="W36" s="95">
        <v>0.36699999999999999</v>
      </c>
      <c r="X36" s="95">
        <v>0.378</v>
      </c>
      <c r="Y36" s="95">
        <v>0.38900000000000001</v>
      </c>
      <c r="Z36" s="95">
        <v>0.40200000000000002</v>
      </c>
      <c r="AA36" s="95">
        <v>0.41399999999999998</v>
      </c>
      <c r="AB36" s="95">
        <v>0.42799999999999999</v>
      </c>
      <c r="AC36" s="95">
        <v>0.442</v>
      </c>
      <c r="AD36" s="95">
        <v>0.45700000000000002</v>
      </c>
      <c r="AE36" s="95">
        <v>0.47299999999999998</v>
      </c>
      <c r="AF36" s="95">
        <v>0.48899999999999999</v>
      </c>
      <c r="AG36" s="95">
        <v>0.50700000000000001</v>
      </c>
      <c r="AH36" s="95">
        <v>0.52600000000000002</v>
      </c>
      <c r="AI36" s="95">
        <v>0.54600000000000004</v>
      </c>
      <c r="AJ36" s="95">
        <v>0.56699999999999995</v>
      </c>
      <c r="AK36" s="95">
        <v>0.59</v>
      </c>
      <c r="AL36" s="95">
        <v>0.61399999999999999</v>
      </c>
      <c r="AM36" s="95">
        <v>0.64</v>
      </c>
      <c r="AN36" s="95">
        <v>0.66700000000000004</v>
      </c>
      <c r="AO36" s="95">
        <v>0.69699999999999995</v>
      </c>
      <c r="AP36" s="95">
        <v>0.72899999999999998</v>
      </c>
      <c r="AQ36" s="95">
        <v>0.76400000000000001</v>
      </c>
      <c r="AR36" s="95">
        <v>0.80100000000000005</v>
      </c>
      <c r="AS36" s="95">
        <v>0.84199999999999997</v>
      </c>
      <c r="AT36" s="95">
        <v>0.88600000000000001</v>
      </c>
      <c r="AU36" s="95">
        <v>0.93400000000000005</v>
      </c>
      <c r="AV36" s="95">
        <v>0.98699999999999999</v>
      </c>
    </row>
    <row r="37" spans="1:48" x14ac:dyDescent="0.25">
      <c r="A37" s="93">
        <v>10</v>
      </c>
      <c r="B37" s="95">
        <v>0.216</v>
      </c>
      <c r="C37" s="95">
        <v>0.221</v>
      </c>
      <c r="D37" s="95">
        <v>0.22600000000000001</v>
      </c>
      <c r="E37" s="95">
        <v>0.23100000000000001</v>
      </c>
      <c r="F37" s="95">
        <v>0.23599999999999999</v>
      </c>
      <c r="G37" s="95">
        <v>0.24199999999999999</v>
      </c>
      <c r="H37" s="95">
        <v>0.248</v>
      </c>
      <c r="I37" s="95">
        <v>0.254</v>
      </c>
      <c r="J37" s="95">
        <v>0.26</v>
      </c>
      <c r="K37" s="95">
        <v>0.26600000000000001</v>
      </c>
      <c r="L37" s="95">
        <v>0.27300000000000002</v>
      </c>
      <c r="M37" s="95">
        <v>0.28000000000000003</v>
      </c>
      <c r="N37" s="95">
        <v>0.28699999999999998</v>
      </c>
      <c r="O37" s="95">
        <v>0.29499999999999998</v>
      </c>
      <c r="P37" s="95">
        <v>0.30299999999999999</v>
      </c>
      <c r="Q37" s="95">
        <v>0.311</v>
      </c>
      <c r="R37" s="95">
        <v>0.31900000000000001</v>
      </c>
      <c r="S37" s="95">
        <v>0.32800000000000001</v>
      </c>
      <c r="T37" s="95">
        <v>0.33700000000000002</v>
      </c>
      <c r="U37" s="95">
        <v>0.34699999999999998</v>
      </c>
      <c r="V37" s="95">
        <v>0.35699999999999998</v>
      </c>
      <c r="W37" s="95">
        <v>0.36799999999999999</v>
      </c>
      <c r="X37" s="95">
        <v>0.379</v>
      </c>
      <c r="Y37" s="95">
        <v>0.39</v>
      </c>
      <c r="Z37" s="95">
        <v>0.40300000000000002</v>
      </c>
      <c r="AA37" s="95">
        <v>0.41499999999999998</v>
      </c>
      <c r="AB37" s="95">
        <v>0.42899999999999999</v>
      </c>
      <c r="AC37" s="95">
        <v>0.443</v>
      </c>
      <c r="AD37" s="95">
        <v>0.45800000000000002</v>
      </c>
      <c r="AE37" s="95">
        <v>0.47399999999999998</v>
      </c>
      <c r="AF37" s="95">
        <v>0.49099999999999999</v>
      </c>
      <c r="AG37" s="95">
        <v>0.50900000000000001</v>
      </c>
      <c r="AH37" s="95">
        <v>0.52700000000000002</v>
      </c>
      <c r="AI37" s="95">
        <v>0.54700000000000004</v>
      </c>
      <c r="AJ37" s="95">
        <v>0.56899999999999995</v>
      </c>
      <c r="AK37" s="95">
        <v>0.59099999999999997</v>
      </c>
      <c r="AL37" s="95">
        <v>0.61599999999999999</v>
      </c>
      <c r="AM37" s="95">
        <v>0.64200000000000002</v>
      </c>
      <c r="AN37" s="95">
        <v>0.67</v>
      </c>
      <c r="AO37" s="95">
        <v>0.7</v>
      </c>
      <c r="AP37" s="95">
        <v>0.73199999999999998</v>
      </c>
      <c r="AQ37" s="95">
        <v>0.76700000000000002</v>
      </c>
      <c r="AR37" s="95">
        <v>0.80400000000000005</v>
      </c>
      <c r="AS37" s="95">
        <v>0.84499999999999997</v>
      </c>
      <c r="AT37" s="95">
        <v>0.88900000000000001</v>
      </c>
      <c r="AU37" s="95">
        <v>0.93799999999999994</v>
      </c>
      <c r="AV37" s="95">
        <v>0.99099999999999999</v>
      </c>
    </row>
    <row r="38" spans="1:48" x14ac:dyDescent="0.25">
      <c r="A38" s="93">
        <v>11</v>
      </c>
      <c r="B38" s="95">
        <v>0.216</v>
      </c>
      <c r="C38" s="95">
        <v>0.221</v>
      </c>
      <c r="D38" s="95">
        <v>0.22600000000000001</v>
      </c>
      <c r="E38" s="95">
        <v>0.23100000000000001</v>
      </c>
      <c r="F38" s="95">
        <v>0.23699999999999999</v>
      </c>
      <c r="G38" s="95">
        <v>0.24199999999999999</v>
      </c>
      <c r="H38" s="95">
        <v>0.248</v>
      </c>
      <c r="I38" s="95">
        <v>0.254</v>
      </c>
      <c r="J38" s="95">
        <v>0.26</v>
      </c>
      <c r="K38" s="95">
        <v>0.26700000000000002</v>
      </c>
      <c r="L38" s="95">
        <v>0.27400000000000002</v>
      </c>
      <c r="M38" s="95">
        <v>0.28100000000000003</v>
      </c>
      <c r="N38" s="95">
        <v>0.28799999999999998</v>
      </c>
      <c r="O38" s="95">
        <v>0.29499999999999998</v>
      </c>
      <c r="P38" s="95">
        <v>0.30299999999999999</v>
      </c>
      <c r="Q38" s="95">
        <v>0.311</v>
      </c>
      <c r="R38" s="95">
        <v>0.32</v>
      </c>
      <c r="S38" s="95">
        <v>0.32900000000000001</v>
      </c>
      <c r="T38" s="95">
        <v>0.33800000000000002</v>
      </c>
      <c r="U38" s="95">
        <v>0.34799999999999998</v>
      </c>
      <c r="V38" s="95">
        <v>0.35799999999999998</v>
      </c>
      <c r="W38" s="95">
        <v>0.36899999999999999</v>
      </c>
      <c r="X38" s="95">
        <v>0.38</v>
      </c>
      <c r="Y38" s="95">
        <v>0.39100000000000001</v>
      </c>
      <c r="Z38" s="95">
        <v>0.40400000000000003</v>
      </c>
      <c r="AA38" s="95">
        <v>0.41699999999999998</v>
      </c>
      <c r="AB38" s="95">
        <v>0.43</v>
      </c>
      <c r="AC38" s="95">
        <v>0.44400000000000001</v>
      </c>
      <c r="AD38" s="95">
        <v>0.45900000000000002</v>
      </c>
      <c r="AE38" s="95">
        <v>0.47499999999999998</v>
      </c>
      <c r="AF38" s="95">
        <v>0.49199999999999999</v>
      </c>
      <c r="AG38" s="95">
        <v>0.51</v>
      </c>
      <c r="AH38" s="95">
        <v>0.52900000000000003</v>
      </c>
      <c r="AI38" s="95">
        <v>0.54900000000000004</v>
      </c>
      <c r="AJ38" s="95">
        <v>0.57099999999999995</v>
      </c>
      <c r="AK38" s="95">
        <v>0.59299999999999997</v>
      </c>
      <c r="AL38" s="95">
        <v>0.61799999999999999</v>
      </c>
      <c r="AM38" s="95">
        <v>0.64400000000000002</v>
      </c>
      <c r="AN38" s="95">
        <v>0.67200000000000004</v>
      </c>
      <c r="AO38" s="95">
        <v>0.70199999999999996</v>
      </c>
      <c r="AP38" s="95">
        <v>0.73399999999999999</v>
      </c>
      <c r="AQ38" s="95">
        <v>0.76900000000000002</v>
      </c>
      <c r="AR38" s="95">
        <v>0.80700000000000005</v>
      </c>
      <c r="AS38" s="95">
        <v>0.84799999999999998</v>
      </c>
      <c r="AT38" s="95">
        <v>0.89300000000000002</v>
      </c>
      <c r="AU38" s="95">
        <v>0.94199999999999995</v>
      </c>
      <c r="AV38" s="95">
        <v>0.996</v>
      </c>
    </row>
    <row r="44" spans="1:48" ht="39.6" customHeight="1" x14ac:dyDescent="0.25"/>
    <row r="46" spans="1:48" ht="27.6" customHeight="1" x14ac:dyDescent="0.25"/>
  </sheetData>
  <sheetProtection algorithmName="SHA-512" hashValue="lWfouHQCpf4eOWGSGQVT7qb6xPbZn22eZjxE5YftmIgovspJAJI34i3PEMd1ecaMsQHxP00jO+n6anX9HRduhQ==" saltValue="Rm9M2yjblwzPIsxbjI7h3A==" spinCount="100000" sheet="1" objects="1" scenarios="1"/>
  <conditionalFormatting sqref="A6:A21">
    <cfRule type="expression" dxfId="489" priority="17" stopIfTrue="1">
      <formula>MOD(ROW(),2)=0</formula>
    </cfRule>
    <cfRule type="expression" dxfId="488" priority="18" stopIfTrue="1">
      <formula>MOD(ROW(),2)&lt;&gt;0</formula>
    </cfRule>
  </conditionalFormatting>
  <conditionalFormatting sqref="A26:A38">
    <cfRule type="expression" dxfId="487" priority="5" stopIfTrue="1">
      <formula>MOD(ROW(),2)=0</formula>
    </cfRule>
    <cfRule type="expression" dxfId="486" priority="6" stopIfTrue="1">
      <formula>MOD(ROW(),2)&lt;&gt;0</formula>
    </cfRule>
  </conditionalFormatting>
  <conditionalFormatting sqref="B17:C21">
    <cfRule type="expression" dxfId="485" priority="1" stopIfTrue="1">
      <formula>MOD(ROW(),2)=0</formula>
    </cfRule>
    <cfRule type="expression" dxfId="484" priority="2" stopIfTrue="1">
      <formula>MOD(ROW(),2)&lt;&gt;0</formula>
    </cfRule>
  </conditionalFormatting>
  <conditionalFormatting sqref="B6:AV21">
    <cfRule type="expression" dxfId="483" priority="27" stopIfTrue="1">
      <formula>MOD(ROW(),2)=0</formula>
    </cfRule>
    <cfRule type="expression" dxfId="482" priority="28" stopIfTrue="1">
      <formula>MOD(ROW(),2)&lt;&gt;0</formula>
    </cfRule>
  </conditionalFormatting>
  <conditionalFormatting sqref="B26:AV38">
    <cfRule type="expression" dxfId="481" priority="7" stopIfTrue="1">
      <formula>MOD(ROW(),2)=0</formula>
    </cfRule>
    <cfRule type="expression" dxfId="48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6"/>
  <sheetViews>
    <sheetView showGridLines="0" zoomScale="85" zoomScaleNormal="85" workbookViewId="0">
      <selection activeCell="A4" sqref="A4"/>
    </sheetView>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TABLE_FACTOR_TYPE_1&amp;" - x-"&amp;TABLE_SERIES_NUMBER_1</f>
        <v>Pension Debit - x-326</v>
      </c>
      <c r="B3" s="43"/>
      <c r="C3" s="43"/>
      <c r="D3" s="43"/>
      <c r="E3" s="43"/>
      <c r="F3" s="43"/>
      <c r="G3" s="43"/>
      <c r="H3" s="43"/>
      <c r="I3" s="43"/>
    </row>
    <row r="4" spans="1:43" x14ac:dyDescent="0.25">
      <c r="A4" s="45"/>
    </row>
    <row r="6" spans="1:43"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row>
    <row r="7" spans="1:43"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row>
    <row r="8" spans="1:43" x14ac:dyDescent="0.25">
      <c r="A8" s="79" t="s">
        <v>306</v>
      </c>
      <c r="B8" s="152">
        <v>2007</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row>
    <row r="9" spans="1:43" x14ac:dyDescent="0.25">
      <c r="A9" s="79" t="s">
        <v>307</v>
      </c>
      <c r="B9" s="152" t="s">
        <v>402</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row>
    <row r="10" spans="1:43" x14ac:dyDescent="0.25">
      <c r="A10" s="79" t="s">
        <v>233</v>
      </c>
      <c r="B10" s="152" t="s">
        <v>427</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row>
    <row r="11" spans="1:43"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row>
    <row r="12" spans="1:43" x14ac:dyDescent="0.25">
      <c r="A12" s="79" t="s">
        <v>309</v>
      </c>
      <c r="B12" s="152" t="s">
        <v>415</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row>
    <row r="13" spans="1:43" x14ac:dyDescent="0.25">
      <c r="A13" s="79" t="s">
        <v>566</v>
      </c>
      <c r="B13" s="152">
        <v>1</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row>
    <row r="14" spans="1:43" x14ac:dyDescent="0.25">
      <c r="A14" s="79" t="s">
        <v>311</v>
      </c>
      <c r="B14" s="152">
        <v>326</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row>
    <row r="15" spans="1:43" x14ac:dyDescent="0.25">
      <c r="A15" s="79" t="s">
        <v>569</v>
      </c>
      <c r="B15" s="152" t="s">
        <v>428</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row>
    <row r="16" spans="1:43" x14ac:dyDescent="0.25">
      <c r="A16" s="79" t="s">
        <v>313</v>
      </c>
      <c r="B16" s="152" t="s">
        <v>429</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row>
    <row r="17" spans="1:43"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row>
    <row r="18" spans="1:43" x14ac:dyDescent="0.25">
      <c r="A18" s="79" t="s">
        <v>315</v>
      </c>
      <c r="B18" s="154">
        <v>45070</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row>
    <row r="19" spans="1:43" x14ac:dyDescent="0.25">
      <c r="A19" s="79" t="s">
        <v>316</v>
      </c>
      <c r="B19" s="154">
        <v>45014</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row>
    <row r="20" spans="1:43"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row>
    <row r="21" spans="1:43"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row>
    <row r="23" spans="1:43" x14ac:dyDescent="0.25">
      <c r="B23" s="96" t="str">
        <f>HYPERLINK("#'Factor List'!A1","Back to Factor List")</f>
        <v>Back to Factor List</v>
      </c>
    </row>
    <row r="24" spans="1:43" x14ac:dyDescent="0.25">
      <c r="B24" s="96" t="str">
        <f>HYPERLINK("#'Assumptions'!A1","Assumptions")</f>
        <v>Assumptions</v>
      </c>
    </row>
    <row r="26" spans="1:43"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row>
    <row r="27" spans="1:43" x14ac:dyDescent="0.25">
      <c r="A27" s="93">
        <v>0</v>
      </c>
      <c r="B27" s="95">
        <v>0.26700000000000002</v>
      </c>
      <c r="C27" s="95">
        <v>0.27300000000000002</v>
      </c>
      <c r="D27" s="95">
        <v>0.27900000000000003</v>
      </c>
      <c r="E27" s="95">
        <v>0.28599999999999998</v>
      </c>
      <c r="F27" s="95">
        <v>0.29299999999999998</v>
      </c>
      <c r="G27" s="95">
        <v>0.3</v>
      </c>
      <c r="H27" s="95">
        <v>0.307</v>
      </c>
      <c r="I27" s="95">
        <v>0.315</v>
      </c>
      <c r="J27" s="95">
        <v>0.32200000000000001</v>
      </c>
      <c r="K27" s="95">
        <v>0.33</v>
      </c>
      <c r="L27" s="95">
        <v>0.33900000000000002</v>
      </c>
      <c r="M27" s="95">
        <v>0.34799999999999998</v>
      </c>
      <c r="N27" s="95">
        <v>0.35699999999999998</v>
      </c>
      <c r="O27" s="95">
        <v>0.36599999999999999</v>
      </c>
      <c r="P27" s="95">
        <v>0.376</v>
      </c>
      <c r="Q27" s="95">
        <v>0.38600000000000001</v>
      </c>
      <c r="R27" s="95">
        <v>0.39700000000000002</v>
      </c>
      <c r="S27" s="95">
        <v>0.40799999999999997</v>
      </c>
      <c r="T27" s="95">
        <v>0.42</v>
      </c>
      <c r="U27" s="95">
        <v>0.432</v>
      </c>
      <c r="V27" s="95">
        <v>0.44500000000000001</v>
      </c>
      <c r="W27" s="95">
        <v>0.45800000000000002</v>
      </c>
      <c r="X27" s="95">
        <v>0.47199999999999998</v>
      </c>
      <c r="Y27" s="95">
        <v>0.48599999999999999</v>
      </c>
      <c r="Z27" s="95">
        <v>0.502</v>
      </c>
      <c r="AA27" s="95">
        <v>0.51800000000000002</v>
      </c>
      <c r="AB27" s="95">
        <v>0.53500000000000003</v>
      </c>
      <c r="AC27" s="95">
        <v>0.55200000000000005</v>
      </c>
      <c r="AD27" s="95">
        <v>0.57099999999999995</v>
      </c>
      <c r="AE27" s="95">
        <v>0.59099999999999997</v>
      </c>
      <c r="AF27" s="95">
        <v>0.61199999999999999</v>
      </c>
      <c r="AG27" s="95">
        <v>0.63400000000000001</v>
      </c>
      <c r="AH27" s="95">
        <v>0.65800000000000003</v>
      </c>
      <c r="AI27" s="95">
        <v>0.68300000000000005</v>
      </c>
      <c r="AJ27" s="95">
        <v>0.70899999999999996</v>
      </c>
      <c r="AK27" s="95">
        <v>0.73699999999999999</v>
      </c>
      <c r="AL27" s="95">
        <v>0.76700000000000002</v>
      </c>
      <c r="AM27" s="95">
        <v>0.8</v>
      </c>
      <c r="AN27" s="95">
        <v>0.83399999999999996</v>
      </c>
      <c r="AO27" s="95">
        <v>0.871</v>
      </c>
      <c r="AP27" s="95">
        <v>0.91100000000000003</v>
      </c>
      <c r="AQ27" s="95">
        <v>0.95399999999999996</v>
      </c>
    </row>
    <row r="28" spans="1:43" x14ac:dyDescent="0.25">
      <c r="A28" s="93">
        <v>1</v>
      </c>
      <c r="B28" s="95">
        <v>0.26700000000000002</v>
      </c>
      <c r="C28" s="95">
        <v>0.27300000000000002</v>
      </c>
      <c r="D28" s="95">
        <v>0.28000000000000003</v>
      </c>
      <c r="E28" s="95">
        <v>0.28599999999999998</v>
      </c>
      <c r="F28" s="95">
        <v>0.29299999999999998</v>
      </c>
      <c r="G28" s="95">
        <v>0.3</v>
      </c>
      <c r="H28" s="95">
        <v>0.308</v>
      </c>
      <c r="I28" s="95">
        <v>0.315</v>
      </c>
      <c r="J28" s="95">
        <v>0.32300000000000001</v>
      </c>
      <c r="K28" s="95">
        <v>0.33100000000000002</v>
      </c>
      <c r="L28" s="95">
        <v>0.34</v>
      </c>
      <c r="M28" s="95">
        <v>0.34799999999999998</v>
      </c>
      <c r="N28" s="95">
        <v>0.35799999999999998</v>
      </c>
      <c r="O28" s="95">
        <v>0.36699999999999999</v>
      </c>
      <c r="P28" s="95">
        <v>0.377</v>
      </c>
      <c r="Q28" s="95">
        <v>0.38700000000000001</v>
      </c>
      <c r="R28" s="95">
        <v>0.39800000000000002</v>
      </c>
      <c r="S28" s="95">
        <v>0.40899999999999997</v>
      </c>
      <c r="T28" s="95">
        <v>0.42099999999999999</v>
      </c>
      <c r="U28" s="95">
        <v>0.433</v>
      </c>
      <c r="V28" s="95">
        <v>0.44600000000000001</v>
      </c>
      <c r="W28" s="95">
        <v>0.45900000000000002</v>
      </c>
      <c r="X28" s="95">
        <v>0.47299999999999998</v>
      </c>
      <c r="Y28" s="95">
        <v>0.48799999999999999</v>
      </c>
      <c r="Z28" s="95">
        <v>0.503</v>
      </c>
      <c r="AA28" s="95">
        <v>0.51900000000000002</v>
      </c>
      <c r="AB28" s="95">
        <v>0.53600000000000003</v>
      </c>
      <c r="AC28" s="95">
        <v>0.55400000000000005</v>
      </c>
      <c r="AD28" s="95">
        <v>0.57299999999999995</v>
      </c>
      <c r="AE28" s="95">
        <v>0.59299999999999997</v>
      </c>
      <c r="AF28" s="95">
        <v>0.61399999999999999</v>
      </c>
      <c r="AG28" s="95">
        <v>0.63600000000000001</v>
      </c>
      <c r="AH28" s="95">
        <v>0.66</v>
      </c>
      <c r="AI28" s="95">
        <v>0.68500000000000005</v>
      </c>
      <c r="AJ28" s="95">
        <v>0.71099999999999997</v>
      </c>
      <c r="AK28" s="95">
        <v>0.74</v>
      </c>
      <c r="AL28" s="95">
        <v>0.77</v>
      </c>
      <c r="AM28" s="95">
        <v>0.80200000000000005</v>
      </c>
      <c r="AN28" s="95">
        <v>0.83699999999999997</v>
      </c>
      <c r="AO28" s="95">
        <v>0.874</v>
      </c>
      <c r="AP28" s="95">
        <v>0.91400000000000003</v>
      </c>
      <c r="AQ28" s="95">
        <v>0.95799999999999996</v>
      </c>
    </row>
    <row r="29" spans="1:43" x14ac:dyDescent="0.25">
      <c r="A29" s="93">
        <v>2</v>
      </c>
      <c r="B29" s="95">
        <v>0.26800000000000002</v>
      </c>
      <c r="C29" s="95">
        <v>0.27400000000000002</v>
      </c>
      <c r="D29" s="95">
        <v>0.28000000000000003</v>
      </c>
      <c r="E29" s="95">
        <v>0.28699999999999998</v>
      </c>
      <c r="F29" s="95">
        <v>0.29399999999999998</v>
      </c>
      <c r="G29" s="95">
        <v>0.30099999999999999</v>
      </c>
      <c r="H29" s="95">
        <v>0.308</v>
      </c>
      <c r="I29" s="95">
        <v>0.316</v>
      </c>
      <c r="J29" s="95">
        <v>0.32400000000000001</v>
      </c>
      <c r="K29" s="95">
        <v>0.33200000000000002</v>
      </c>
      <c r="L29" s="95">
        <v>0.34</v>
      </c>
      <c r="M29" s="95">
        <v>0.34899999999999998</v>
      </c>
      <c r="N29" s="95">
        <v>0.35799999999999998</v>
      </c>
      <c r="O29" s="95">
        <v>0.36799999999999999</v>
      </c>
      <c r="P29" s="95">
        <v>0.378</v>
      </c>
      <c r="Q29" s="95">
        <v>0.38800000000000001</v>
      </c>
      <c r="R29" s="95">
        <v>0.39900000000000002</v>
      </c>
      <c r="S29" s="95">
        <v>0.41</v>
      </c>
      <c r="T29" s="95">
        <v>0.42199999999999999</v>
      </c>
      <c r="U29" s="95">
        <v>0.434</v>
      </c>
      <c r="V29" s="95">
        <v>0.44700000000000001</v>
      </c>
      <c r="W29" s="95">
        <v>0.46</v>
      </c>
      <c r="X29" s="95">
        <v>0.47399999999999998</v>
      </c>
      <c r="Y29" s="95">
        <v>0.48899999999999999</v>
      </c>
      <c r="Z29" s="95">
        <v>0.504</v>
      </c>
      <c r="AA29" s="95">
        <v>0.52100000000000002</v>
      </c>
      <c r="AB29" s="95">
        <v>0.53800000000000003</v>
      </c>
      <c r="AC29" s="95">
        <v>0.55600000000000005</v>
      </c>
      <c r="AD29" s="95">
        <v>0.57399999999999995</v>
      </c>
      <c r="AE29" s="95">
        <v>0.59399999999999997</v>
      </c>
      <c r="AF29" s="95">
        <v>0.61599999999999999</v>
      </c>
      <c r="AG29" s="95">
        <v>0.63800000000000001</v>
      </c>
      <c r="AH29" s="95">
        <v>0.66200000000000003</v>
      </c>
      <c r="AI29" s="95">
        <v>0.68700000000000006</v>
      </c>
      <c r="AJ29" s="95">
        <v>0.71399999999999997</v>
      </c>
      <c r="AK29" s="95">
        <v>0.74199999999999999</v>
      </c>
      <c r="AL29" s="95">
        <v>0.77300000000000002</v>
      </c>
      <c r="AM29" s="95">
        <v>0.80500000000000005</v>
      </c>
      <c r="AN29" s="95">
        <v>0.84</v>
      </c>
      <c r="AO29" s="95">
        <v>0.878</v>
      </c>
      <c r="AP29" s="95">
        <v>0.91800000000000004</v>
      </c>
      <c r="AQ29" s="95">
        <v>0.96099999999999997</v>
      </c>
    </row>
    <row r="30" spans="1:43" x14ac:dyDescent="0.25">
      <c r="A30" s="93">
        <v>3</v>
      </c>
      <c r="B30" s="95">
        <v>0.26800000000000002</v>
      </c>
      <c r="C30" s="95">
        <v>0.27500000000000002</v>
      </c>
      <c r="D30" s="95">
        <v>0.28100000000000003</v>
      </c>
      <c r="E30" s="95">
        <v>0.28799999999999998</v>
      </c>
      <c r="F30" s="95">
        <v>0.29399999999999998</v>
      </c>
      <c r="G30" s="95">
        <v>0.30199999999999999</v>
      </c>
      <c r="H30" s="95">
        <v>0.309</v>
      </c>
      <c r="I30" s="95">
        <v>0.316</v>
      </c>
      <c r="J30" s="95">
        <v>0.32400000000000001</v>
      </c>
      <c r="K30" s="95">
        <v>0.33300000000000002</v>
      </c>
      <c r="L30" s="95">
        <v>0.34100000000000003</v>
      </c>
      <c r="M30" s="95">
        <v>0.35</v>
      </c>
      <c r="N30" s="95">
        <v>0.35899999999999999</v>
      </c>
      <c r="O30" s="95">
        <v>0.36899999999999999</v>
      </c>
      <c r="P30" s="95">
        <v>0.379</v>
      </c>
      <c r="Q30" s="95">
        <v>0.38900000000000001</v>
      </c>
      <c r="R30" s="95">
        <v>0.4</v>
      </c>
      <c r="S30" s="95">
        <v>0.41099999999999998</v>
      </c>
      <c r="T30" s="95">
        <v>0.42299999999999999</v>
      </c>
      <c r="U30" s="95">
        <v>0.435</v>
      </c>
      <c r="V30" s="95">
        <v>0.44800000000000001</v>
      </c>
      <c r="W30" s="95">
        <v>0.46100000000000002</v>
      </c>
      <c r="X30" s="95">
        <v>0.47499999999999998</v>
      </c>
      <c r="Y30" s="95">
        <v>0.49</v>
      </c>
      <c r="Z30" s="95">
        <v>0.50600000000000001</v>
      </c>
      <c r="AA30" s="95">
        <v>0.52200000000000002</v>
      </c>
      <c r="AB30" s="95">
        <v>0.53900000000000003</v>
      </c>
      <c r="AC30" s="95">
        <v>0.55700000000000005</v>
      </c>
      <c r="AD30" s="95">
        <v>0.57599999999999996</v>
      </c>
      <c r="AE30" s="95">
        <v>0.59599999999999997</v>
      </c>
      <c r="AF30" s="95">
        <v>0.61699999999999999</v>
      </c>
      <c r="AG30" s="95">
        <v>0.64</v>
      </c>
      <c r="AH30" s="95">
        <v>0.66400000000000003</v>
      </c>
      <c r="AI30" s="95">
        <v>0.68899999999999995</v>
      </c>
      <c r="AJ30" s="95">
        <v>0.71599999999999997</v>
      </c>
      <c r="AK30" s="95">
        <v>0.745</v>
      </c>
      <c r="AL30" s="95">
        <v>0.77500000000000002</v>
      </c>
      <c r="AM30" s="95">
        <v>0.80800000000000005</v>
      </c>
      <c r="AN30" s="95">
        <v>0.84299999999999997</v>
      </c>
      <c r="AO30" s="95">
        <v>0.88100000000000001</v>
      </c>
      <c r="AP30" s="95">
        <v>0.92200000000000004</v>
      </c>
      <c r="AQ30" s="95">
        <v>0.96499999999999997</v>
      </c>
    </row>
    <row r="31" spans="1:43" x14ac:dyDescent="0.25">
      <c r="A31" s="93">
        <v>4</v>
      </c>
      <c r="B31" s="95">
        <v>0.26900000000000002</v>
      </c>
      <c r="C31" s="95">
        <v>0.27500000000000002</v>
      </c>
      <c r="D31" s="95">
        <v>0.28100000000000003</v>
      </c>
      <c r="E31" s="95">
        <v>0.28799999999999998</v>
      </c>
      <c r="F31" s="95">
        <v>0.29499999999999998</v>
      </c>
      <c r="G31" s="95">
        <v>0.30199999999999999</v>
      </c>
      <c r="H31" s="95">
        <v>0.31</v>
      </c>
      <c r="I31" s="95">
        <v>0.317</v>
      </c>
      <c r="J31" s="95">
        <v>0.32500000000000001</v>
      </c>
      <c r="K31" s="95">
        <v>0.33300000000000002</v>
      </c>
      <c r="L31" s="95">
        <v>0.34200000000000003</v>
      </c>
      <c r="M31" s="95">
        <v>0.35099999999999998</v>
      </c>
      <c r="N31" s="95">
        <v>0.36</v>
      </c>
      <c r="O31" s="95">
        <v>0.36899999999999999</v>
      </c>
      <c r="P31" s="95">
        <v>0.379</v>
      </c>
      <c r="Q31" s="95">
        <v>0.39</v>
      </c>
      <c r="R31" s="95">
        <v>0.40100000000000002</v>
      </c>
      <c r="S31" s="95">
        <v>0.41199999999999998</v>
      </c>
      <c r="T31" s="95">
        <v>0.42399999999999999</v>
      </c>
      <c r="U31" s="95">
        <v>0.436</v>
      </c>
      <c r="V31" s="95">
        <v>0.44900000000000001</v>
      </c>
      <c r="W31" s="95">
        <v>0.46200000000000002</v>
      </c>
      <c r="X31" s="95">
        <v>0.47699999999999998</v>
      </c>
      <c r="Y31" s="95">
        <v>0.49099999999999999</v>
      </c>
      <c r="Z31" s="95">
        <v>0.50700000000000001</v>
      </c>
      <c r="AA31" s="95">
        <v>0.52300000000000002</v>
      </c>
      <c r="AB31" s="95">
        <v>0.54100000000000004</v>
      </c>
      <c r="AC31" s="95">
        <v>0.55900000000000005</v>
      </c>
      <c r="AD31" s="95">
        <v>0.57799999999999996</v>
      </c>
      <c r="AE31" s="95">
        <v>0.59799999999999998</v>
      </c>
      <c r="AF31" s="95">
        <v>0.61899999999999999</v>
      </c>
      <c r="AG31" s="95">
        <v>0.64200000000000002</v>
      </c>
      <c r="AH31" s="95">
        <v>0.66600000000000004</v>
      </c>
      <c r="AI31" s="95">
        <v>0.69099999999999995</v>
      </c>
      <c r="AJ31" s="95">
        <v>0.71799999999999997</v>
      </c>
      <c r="AK31" s="95">
        <v>0.747</v>
      </c>
      <c r="AL31" s="95">
        <v>0.77800000000000002</v>
      </c>
      <c r="AM31" s="95">
        <v>0.81100000000000005</v>
      </c>
      <c r="AN31" s="95">
        <v>0.84599999999999997</v>
      </c>
      <c r="AO31" s="95">
        <v>0.88400000000000001</v>
      </c>
      <c r="AP31" s="95">
        <v>0.92500000000000004</v>
      </c>
      <c r="AQ31" s="95">
        <v>0.96899999999999997</v>
      </c>
    </row>
    <row r="32" spans="1:43" x14ac:dyDescent="0.25">
      <c r="A32" s="93">
        <v>5</v>
      </c>
      <c r="B32" s="95">
        <v>0.26900000000000002</v>
      </c>
      <c r="C32" s="95">
        <v>0.27600000000000002</v>
      </c>
      <c r="D32" s="95">
        <v>0.28199999999999997</v>
      </c>
      <c r="E32" s="95">
        <v>0.28899999999999998</v>
      </c>
      <c r="F32" s="95">
        <v>0.29599999999999999</v>
      </c>
      <c r="G32" s="95">
        <v>0.30299999999999999</v>
      </c>
      <c r="H32" s="95">
        <v>0.31</v>
      </c>
      <c r="I32" s="95">
        <v>0.318</v>
      </c>
      <c r="J32" s="95">
        <v>0.32600000000000001</v>
      </c>
      <c r="K32" s="95">
        <v>0.33400000000000002</v>
      </c>
      <c r="L32" s="95">
        <v>0.34300000000000003</v>
      </c>
      <c r="M32" s="95">
        <v>0.35099999999999998</v>
      </c>
      <c r="N32" s="95">
        <v>0.36099999999999999</v>
      </c>
      <c r="O32" s="95">
        <v>0.37</v>
      </c>
      <c r="P32" s="95">
        <v>0.38</v>
      </c>
      <c r="Q32" s="95">
        <v>0.39100000000000001</v>
      </c>
      <c r="R32" s="95">
        <v>0.40200000000000002</v>
      </c>
      <c r="S32" s="95">
        <v>0.41299999999999998</v>
      </c>
      <c r="T32" s="95">
        <v>0.42499999999999999</v>
      </c>
      <c r="U32" s="95">
        <v>0.437</v>
      </c>
      <c r="V32" s="95">
        <v>0.45</v>
      </c>
      <c r="W32" s="95">
        <v>0.46400000000000002</v>
      </c>
      <c r="X32" s="95">
        <v>0.47799999999999998</v>
      </c>
      <c r="Y32" s="95">
        <v>0.49299999999999999</v>
      </c>
      <c r="Z32" s="95">
        <v>0.50800000000000001</v>
      </c>
      <c r="AA32" s="95">
        <v>0.52500000000000002</v>
      </c>
      <c r="AB32" s="95">
        <v>0.54200000000000004</v>
      </c>
      <c r="AC32" s="95">
        <v>0.56000000000000005</v>
      </c>
      <c r="AD32" s="95">
        <v>0.57899999999999996</v>
      </c>
      <c r="AE32" s="95">
        <v>0.6</v>
      </c>
      <c r="AF32" s="95">
        <v>0.621</v>
      </c>
      <c r="AG32" s="95">
        <v>0.64400000000000002</v>
      </c>
      <c r="AH32" s="95">
        <v>0.66800000000000004</v>
      </c>
      <c r="AI32" s="95">
        <v>0.69399999999999995</v>
      </c>
      <c r="AJ32" s="95">
        <v>0.72099999999999997</v>
      </c>
      <c r="AK32" s="95">
        <v>0.75</v>
      </c>
      <c r="AL32" s="95">
        <v>0.78100000000000003</v>
      </c>
      <c r="AM32" s="95">
        <v>0.81399999999999995</v>
      </c>
      <c r="AN32" s="95">
        <v>0.84899999999999998</v>
      </c>
      <c r="AO32" s="95">
        <v>0.88800000000000001</v>
      </c>
      <c r="AP32" s="95">
        <v>0.92900000000000005</v>
      </c>
      <c r="AQ32" s="95">
        <v>0.97299999999999998</v>
      </c>
    </row>
    <row r="33" spans="1:43" x14ac:dyDescent="0.25">
      <c r="A33" s="93">
        <v>6</v>
      </c>
      <c r="B33" s="95">
        <v>0.27</v>
      </c>
      <c r="C33" s="95">
        <v>0.27600000000000002</v>
      </c>
      <c r="D33" s="95">
        <v>0.28299999999999997</v>
      </c>
      <c r="E33" s="95">
        <v>0.28899999999999998</v>
      </c>
      <c r="F33" s="95">
        <v>0.29599999999999999</v>
      </c>
      <c r="G33" s="95">
        <v>0.30299999999999999</v>
      </c>
      <c r="H33" s="95">
        <v>0.311</v>
      </c>
      <c r="I33" s="95">
        <v>0.318</v>
      </c>
      <c r="J33" s="95">
        <v>0.32600000000000001</v>
      </c>
      <c r="K33" s="95">
        <v>0.33500000000000002</v>
      </c>
      <c r="L33" s="95">
        <v>0.34300000000000003</v>
      </c>
      <c r="M33" s="95">
        <v>0.35199999999999998</v>
      </c>
      <c r="N33" s="95">
        <v>0.36099999999999999</v>
      </c>
      <c r="O33" s="95">
        <v>0.371</v>
      </c>
      <c r="P33" s="95">
        <v>0.38100000000000001</v>
      </c>
      <c r="Q33" s="95">
        <v>0.39200000000000002</v>
      </c>
      <c r="R33" s="95">
        <v>0.40300000000000002</v>
      </c>
      <c r="S33" s="95">
        <v>0.41399999999999998</v>
      </c>
      <c r="T33" s="95">
        <v>0.42599999999999999</v>
      </c>
      <c r="U33" s="95">
        <v>0.438</v>
      </c>
      <c r="V33" s="95">
        <v>0.45100000000000001</v>
      </c>
      <c r="W33" s="95">
        <v>0.46500000000000002</v>
      </c>
      <c r="X33" s="95">
        <v>0.47899999999999998</v>
      </c>
      <c r="Y33" s="95">
        <v>0.49399999999999999</v>
      </c>
      <c r="Z33" s="95">
        <v>0.51</v>
      </c>
      <c r="AA33" s="95">
        <v>0.52600000000000002</v>
      </c>
      <c r="AB33" s="95">
        <v>0.54400000000000004</v>
      </c>
      <c r="AC33" s="95">
        <v>0.56200000000000006</v>
      </c>
      <c r="AD33" s="95">
        <v>0.58099999999999996</v>
      </c>
      <c r="AE33" s="95">
        <v>0.60099999999999998</v>
      </c>
      <c r="AF33" s="95">
        <v>0.623</v>
      </c>
      <c r="AG33" s="95">
        <v>0.64600000000000002</v>
      </c>
      <c r="AH33" s="95">
        <v>0.67</v>
      </c>
      <c r="AI33" s="95">
        <v>0.69599999999999995</v>
      </c>
      <c r="AJ33" s="95">
        <v>0.72299999999999998</v>
      </c>
      <c r="AK33" s="95">
        <v>0.752</v>
      </c>
      <c r="AL33" s="95">
        <v>0.78300000000000003</v>
      </c>
      <c r="AM33" s="95">
        <v>0.81699999999999995</v>
      </c>
      <c r="AN33" s="95">
        <v>0.85299999999999998</v>
      </c>
      <c r="AO33" s="95">
        <v>0.89100000000000001</v>
      </c>
      <c r="AP33" s="95">
        <v>0.93200000000000005</v>
      </c>
      <c r="AQ33" s="95">
        <v>0.97699999999999998</v>
      </c>
    </row>
    <row r="34" spans="1:43" x14ac:dyDescent="0.25">
      <c r="A34" s="93">
        <v>7</v>
      </c>
      <c r="B34" s="95">
        <v>0.27</v>
      </c>
      <c r="C34" s="95">
        <v>0.27700000000000002</v>
      </c>
      <c r="D34" s="95">
        <v>0.28299999999999997</v>
      </c>
      <c r="E34" s="95">
        <v>0.28999999999999998</v>
      </c>
      <c r="F34" s="95">
        <v>0.29699999999999999</v>
      </c>
      <c r="G34" s="95">
        <v>0.30399999999999999</v>
      </c>
      <c r="H34" s="95">
        <v>0.311</v>
      </c>
      <c r="I34" s="95">
        <v>0.31900000000000001</v>
      </c>
      <c r="J34" s="95">
        <v>0.32700000000000001</v>
      </c>
      <c r="K34" s="95">
        <v>0.33500000000000002</v>
      </c>
      <c r="L34" s="95">
        <v>0.34399999999999997</v>
      </c>
      <c r="M34" s="95">
        <v>0.35299999999999998</v>
      </c>
      <c r="N34" s="95">
        <v>0.36199999999999999</v>
      </c>
      <c r="O34" s="95">
        <v>0.372</v>
      </c>
      <c r="P34" s="95">
        <v>0.38200000000000001</v>
      </c>
      <c r="Q34" s="95">
        <v>0.39300000000000002</v>
      </c>
      <c r="R34" s="95">
        <v>0.40300000000000002</v>
      </c>
      <c r="S34" s="95">
        <v>0.41499999999999998</v>
      </c>
      <c r="T34" s="95">
        <v>0.42699999999999999</v>
      </c>
      <c r="U34" s="95">
        <v>0.439</v>
      </c>
      <c r="V34" s="95">
        <v>0.45200000000000001</v>
      </c>
      <c r="W34" s="95">
        <v>0.46600000000000003</v>
      </c>
      <c r="X34" s="95">
        <v>0.48</v>
      </c>
      <c r="Y34" s="95">
        <v>0.495</v>
      </c>
      <c r="Z34" s="95">
        <v>0.51100000000000001</v>
      </c>
      <c r="AA34" s="95">
        <v>0.52800000000000002</v>
      </c>
      <c r="AB34" s="95">
        <v>0.54500000000000004</v>
      </c>
      <c r="AC34" s="95">
        <v>0.56299999999999994</v>
      </c>
      <c r="AD34" s="95">
        <v>0.58299999999999996</v>
      </c>
      <c r="AE34" s="95">
        <v>0.60299999999999998</v>
      </c>
      <c r="AF34" s="95">
        <v>0.625</v>
      </c>
      <c r="AG34" s="95">
        <v>0.64800000000000002</v>
      </c>
      <c r="AH34" s="95">
        <v>0.67200000000000004</v>
      </c>
      <c r="AI34" s="95">
        <v>0.69799999999999995</v>
      </c>
      <c r="AJ34" s="95">
        <v>0.72499999999999998</v>
      </c>
      <c r="AK34" s="95">
        <v>0.755</v>
      </c>
      <c r="AL34" s="95">
        <v>0.78600000000000003</v>
      </c>
      <c r="AM34" s="95">
        <v>0.82</v>
      </c>
      <c r="AN34" s="95">
        <v>0.85599999999999998</v>
      </c>
      <c r="AO34" s="95">
        <v>0.89400000000000002</v>
      </c>
      <c r="AP34" s="95">
        <v>0.93600000000000005</v>
      </c>
      <c r="AQ34" s="95">
        <v>0.98099999999999998</v>
      </c>
    </row>
    <row r="35" spans="1:43" x14ac:dyDescent="0.25">
      <c r="A35" s="93">
        <v>8</v>
      </c>
      <c r="B35" s="95">
        <v>0.27100000000000002</v>
      </c>
      <c r="C35" s="95">
        <v>0.27700000000000002</v>
      </c>
      <c r="D35" s="95">
        <v>0.28399999999999997</v>
      </c>
      <c r="E35" s="95">
        <v>0.28999999999999998</v>
      </c>
      <c r="F35" s="95">
        <v>0.29699999999999999</v>
      </c>
      <c r="G35" s="95">
        <v>0.30499999999999999</v>
      </c>
      <c r="H35" s="95">
        <v>0.312</v>
      </c>
      <c r="I35" s="95">
        <v>0.32</v>
      </c>
      <c r="J35" s="95">
        <v>0.32800000000000001</v>
      </c>
      <c r="K35" s="95">
        <v>0.33600000000000002</v>
      </c>
      <c r="L35" s="95">
        <v>0.34499999999999997</v>
      </c>
      <c r="M35" s="95">
        <v>0.35399999999999998</v>
      </c>
      <c r="N35" s="95">
        <v>0.36299999999999999</v>
      </c>
      <c r="O35" s="95">
        <v>0.373</v>
      </c>
      <c r="P35" s="95">
        <v>0.38300000000000001</v>
      </c>
      <c r="Q35" s="95">
        <v>0.39300000000000002</v>
      </c>
      <c r="R35" s="95">
        <v>0.40400000000000003</v>
      </c>
      <c r="S35" s="95">
        <v>0.41599999999999998</v>
      </c>
      <c r="T35" s="95">
        <v>0.42799999999999999</v>
      </c>
      <c r="U35" s="95">
        <v>0.44</v>
      </c>
      <c r="V35" s="95">
        <v>0.45300000000000001</v>
      </c>
      <c r="W35" s="95">
        <v>0.46700000000000003</v>
      </c>
      <c r="X35" s="95">
        <v>0.48099999999999998</v>
      </c>
      <c r="Y35" s="95">
        <v>0.497</v>
      </c>
      <c r="Z35" s="95">
        <v>0.51200000000000001</v>
      </c>
      <c r="AA35" s="95">
        <v>0.52900000000000003</v>
      </c>
      <c r="AB35" s="95">
        <v>0.54600000000000004</v>
      </c>
      <c r="AC35" s="95">
        <v>0.56499999999999995</v>
      </c>
      <c r="AD35" s="95">
        <v>0.58399999999999996</v>
      </c>
      <c r="AE35" s="95">
        <v>0.60499999999999998</v>
      </c>
      <c r="AF35" s="95">
        <v>0.627</v>
      </c>
      <c r="AG35" s="95">
        <v>0.65</v>
      </c>
      <c r="AH35" s="95">
        <v>0.67400000000000004</v>
      </c>
      <c r="AI35" s="95">
        <v>0.7</v>
      </c>
      <c r="AJ35" s="95">
        <v>0.72799999999999998</v>
      </c>
      <c r="AK35" s="95">
        <v>0.75700000000000001</v>
      </c>
      <c r="AL35" s="95">
        <v>0.78900000000000003</v>
      </c>
      <c r="AM35" s="95">
        <v>0.82299999999999995</v>
      </c>
      <c r="AN35" s="95">
        <v>0.85899999999999999</v>
      </c>
      <c r="AO35" s="95">
        <v>0.89800000000000002</v>
      </c>
      <c r="AP35" s="95">
        <v>0.93899999999999995</v>
      </c>
      <c r="AQ35" s="95">
        <v>0.98499999999999999</v>
      </c>
    </row>
    <row r="36" spans="1:43" x14ac:dyDescent="0.25">
      <c r="A36" s="93">
        <v>9</v>
      </c>
      <c r="B36" s="95">
        <v>0.27100000000000002</v>
      </c>
      <c r="C36" s="95">
        <v>0.27800000000000002</v>
      </c>
      <c r="D36" s="95">
        <v>0.28399999999999997</v>
      </c>
      <c r="E36" s="95">
        <v>0.29099999999999998</v>
      </c>
      <c r="F36" s="95">
        <v>0.29799999999999999</v>
      </c>
      <c r="G36" s="95">
        <v>0.30499999999999999</v>
      </c>
      <c r="H36" s="95">
        <v>0.313</v>
      </c>
      <c r="I36" s="95">
        <v>0.32</v>
      </c>
      <c r="J36" s="95">
        <v>0.32800000000000001</v>
      </c>
      <c r="K36" s="95">
        <v>0.33700000000000002</v>
      </c>
      <c r="L36" s="95">
        <v>0.34499999999999997</v>
      </c>
      <c r="M36" s="95">
        <v>0.35399999999999998</v>
      </c>
      <c r="N36" s="95">
        <v>0.36399999999999999</v>
      </c>
      <c r="O36" s="95">
        <v>0.374</v>
      </c>
      <c r="P36" s="95">
        <v>0.38400000000000001</v>
      </c>
      <c r="Q36" s="95">
        <v>0.39400000000000002</v>
      </c>
      <c r="R36" s="95">
        <v>0.40500000000000003</v>
      </c>
      <c r="S36" s="95">
        <v>0.41699999999999998</v>
      </c>
      <c r="T36" s="95">
        <v>0.42899999999999999</v>
      </c>
      <c r="U36" s="95">
        <v>0.441</v>
      </c>
      <c r="V36" s="95">
        <v>0.45500000000000002</v>
      </c>
      <c r="W36" s="95">
        <v>0.46800000000000003</v>
      </c>
      <c r="X36" s="95">
        <v>0.48299999999999998</v>
      </c>
      <c r="Y36" s="95">
        <v>0.498</v>
      </c>
      <c r="Z36" s="95">
        <v>0.51400000000000001</v>
      </c>
      <c r="AA36" s="95">
        <v>0.53</v>
      </c>
      <c r="AB36" s="95">
        <v>0.54800000000000004</v>
      </c>
      <c r="AC36" s="95">
        <v>0.56599999999999995</v>
      </c>
      <c r="AD36" s="95">
        <v>0.58599999999999997</v>
      </c>
      <c r="AE36" s="95">
        <v>0.60699999999999998</v>
      </c>
      <c r="AF36" s="95">
        <v>0.629</v>
      </c>
      <c r="AG36" s="95">
        <v>0.65200000000000002</v>
      </c>
      <c r="AH36" s="95">
        <v>0.67600000000000005</v>
      </c>
      <c r="AI36" s="95">
        <v>0.70199999999999996</v>
      </c>
      <c r="AJ36" s="95">
        <v>0.73</v>
      </c>
      <c r="AK36" s="95">
        <v>0.76</v>
      </c>
      <c r="AL36" s="95">
        <v>0.79200000000000004</v>
      </c>
      <c r="AM36" s="95">
        <v>0.82499999999999996</v>
      </c>
      <c r="AN36" s="95">
        <v>0.86199999999999999</v>
      </c>
      <c r="AO36" s="95">
        <v>0.90100000000000002</v>
      </c>
      <c r="AP36" s="95">
        <v>0.94299999999999995</v>
      </c>
      <c r="AQ36" s="95">
        <v>0.98799999999999999</v>
      </c>
    </row>
    <row r="37" spans="1:43" x14ac:dyDescent="0.25">
      <c r="A37" s="93">
        <v>10</v>
      </c>
      <c r="B37" s="95">
        <v>0.27200000000000002</v>
      </c>
      <c r="C37" s="95">
        <v>0.27800000000000002</v>
      </c>
      <c r="D37" s="95">
        <v>0.28499999999999998</v>
      </c>
      <c r="E37" s="95">
        <v>0.29199999999999998</v>
      </c>
      <c r="F37" s="95">
        <v>0.29899999999999999</v>
      </c>
      <c r="G37" s="95">
        <v>0.30599999999999999</v>
      </c>
      <c r="H37" s="95">
        <v>0.313</v>
      </c>
      <c r="I37" s="95">
        <v>0.32100000000000001</v>
      </c>
      <c r="J37" s="95">
        <v>0.32900000000000001</v>
      </c>
      <c r="K37" s="95">
        <v>0.33800000000000002</v>
      </c>
      <c r="L37" s="95">
        <v>0.34599999999999997</v>
      </c>
      <c r="M37" s="95">
        <v>0.35499999999999998</v>
      </c>
      <c r="N37" s="95">
        <v>0.36499999999999999</v>
      </c>
      <c r="O37" s="95">
        <v>0.374</v>
      </c>
      <c r="P37" s="95">
        <v>0.38500000000000001</v>
      </c>
      <c r="Q37" s="95">
        <v>0.39500000000000002</v>
      </c>
      <c r="R37" s="95">
        <v>0.40600000000000003</v>
      </c>
      <c r="S37" s="95">
        <v>0.41799999999999998</v>
      </c>
      <c r="T37" s="95">
        <v>0.43</v>
      </c>
      <c r="U37" s="95">
        <v>0.442</v>
      </c>
      <c r="V37" s="95">
        <v>0.45600000000000002</v>
      </c>
      <c r="W37" s="95">
        <v>0.46899999999999997</v>
      </c>
      <c r="X37" s="95">
        <v>0.48399999999999999</v>
      </c>
      <c r="Y37" s="95">
        <v>0.499</v>
      </c>
      <c r="Z37" s="95">
        <v>0.51500000000000001</v>
      </c>
      <c r="AA37" s="95">
        <v>0.53200000000000003</v>
      </c>
      <c r="AB37" s="95">
        <v>0.54900000000000004</v>
      </c>
      <c r="AC37" s="95">
        <v>0.56799999999999995</v>
      </c>
      <c r="AD37" s="95">
        <v>0.58799999999999997</v>
      </c>
      <c r="AE37" s="95">
        <v>0.60799999999999998</v>
      </c>
      <c r="AF37" s="95">
        <v>0.63</v>
      </c>
      <c r="AG37" s="95">
        <v>0.65400000000000003</v>
      </c>
      <c r="AH37" s="95">
        <v>0.67800000000000005</v>
      </c>
      <c r="AI37" s="95">
        <v>0.70499999999999996</v>
      </c>
      <c r="AJ37" s="95">
        <v>0.73299999999999998</v>
      </c>
      <c r="AK37" s="95">
        <v>0.76200000000000001</v>
      </c>
      <c r="AL37" s="95">
        <v>0.79400000000000004</v>
      </c>
      <c r="AM37" s="95">
        <v>0.82799999999999996</v>
      </c>
      <c r="AN37" s="95">
        <v>0.86499999999999999</v>
      </c>
      <c r="AO37" s="95">
        <v>0.90400000000000003</v>
      </c>
      <c r="AP37" s="95">
        <v>0.94699999999999995</v>
      </c>
      <c r="AQ37" s="95">
        <v>0.99199999999999999</v>
      </c>
    </row>
    <row r="38" spans="1:43" x14ac:dyDescent="0.25">
      <c r="A38" s="93">
        <v>11</v>
      </c>
      <c r="B38" s="95">
        <v>0.27200000000000002</v>
      </c>
      <c r="C38" s="95">
        <v>0.27900000000000003</v>
      </c>
      <c r="D38" s="95">
        <v>0.28499999999999998</v>
      </c>
      <c r="E38" s="95">
        <v>0.29199999999999998</v>
      </c>
      <c r="F38" s="95">
        <v>0.29899999999999999</v>
      </c>
      <c r="G38" s="95">
        <v>0.30599999999999999</v>
      </c>
      <c r="H38" s="95">
        <v>0.314</v>
      </c>
      <c r="I38" s="95">
        <v>0.32200000000000001</v>
      </c>
      <c r="J38" s="95">
        <v>0.33</v>
      </c>
      <c r="K38" s="95">
        <v>0.33800000000000002</v>
      </c>
      <c r="L38" s="95">
        <v>0.34699999999999998</v>
      </c>
      <c r="M38" s="95">
        <v>0.35599999999999998</v>
      </c>
      <c r="N38" s="95">
        <v>0.36499999999999999</v>
      </c>
      <c r="O38" s="95">
        <v>0.375</v>
      </c>
      <c r="P38" s="95">
        <v>0.38500000000000001</v>
      </c>
      <c r="Q38" s="95">
        <v>0.39600000000000002</v>
      </c>
      <c r="R38" s="95">
        <v>0.40699999999999997</v>
      </c>
      <c r="S38" s="95">
        <v>0.41899999999999998</v>
      </c>
      <c r="T38" s="95">
        <v>0.43099999999999999</v>
      </c>
      <c r="U38" s="95">
        <v>0.443</v>
      </c>
      <c r="V38" s="95">
        <v>0.45700000000000002</v>
      </c>
      <c r="W38" s="95">
        <v>0.47099999999999997</v>
      </c>
      <c r="X38" s="95">
        <v>0.48499999999999999</v>
      </c>
      <c r="Y38" s="95">
        <v>0.5</v>
      </c>
      <c r="Z38" s="95">
        <v>0.51600000000000001</v>
      </c>
      <c r="AA38" s="95">
        <v>0.53300000000000003</v>
      </c>
      <c r="AB38" s="95">
        <v>0.55100000000000005</v>
      </c>
      <c r="AC38" s="95">
        <v>0.56999999999999995</v>
      </c>
      <c r="AD38" s="95">
        <v>0.58899999999999997</v>
      </c>
      <c r="AE38" s="95">
        <v>0.61</v>
      </c>
      <c r="AF38" s="95">
        <v>0.63200000000000001</v>
      </c>
      <c r="AG38" s="95">
        <v>0.65600000000000003</v>
      </c>
      <c r="AH38" s="95">
        <v>0.68</v>
      </c>
      <c r="AI38" s="95">
        <v>0.70699999999999996</v>
      </c>
      <c r="AJ38" s="95">
        <v>0.73499999999999999</v>
      </c>
      <c r="AK38" s="95">
        <v>0.76500000000000001</v>
      </c>
      <c r="AL38" s="95">
        <v>0.79700000000000004</v>
      </c>
      <c r="AM38" s="95">
        <v>0.83099999999999996</v>
      </c>
      <c r="AN38" s="95">
        <v>0.86799999999999999</v>
      </c>
      <c r="AO38" s="95">
        <v>0.90800000000000003</v>
      </c>
      <c r="AP38" s="95">
        <v>0.95</v>
      </c>
      <c r="AQ38" s="95">
        <v>0.996</v>
      </c>
    </row>
    <row r="44" spans="1:43" ht="39.6" customHeight="1" x14ac:dyDescent="0.25"/>
    <row r="46" spans="1:43" ht="27.6" customHeight="1" x14ac:dyDescent="0.25"/>
  </sheetData>
  <sheetProtection algorithmName="SHA-512" hashValue="AfWdtbPxMgPuepfjFtW0seZE044hwR7NT9oaRK2zGu5IXygjc0Ua1eBB2/FiVeDF8pEcCHIXeIXzQ7lVc5KqSg==" saltValue="yALzKzyMxc6UNarC7JkuOQ==" spinCount="100000" sheet="1" objects="1" scenarios="1"/>
  <conditionalFormatting sqref="A6:A21">
    <cfRule type="expression" dxfId="479" priority="13" stopIfTrue="1">
      <formula>MOD(ROW(),2)=0</formula>
    </cfRule>
    <cfRule type="expression" dxfId="478" priority="14" stopIfTrue="1">
      <formula>MOD(ROW(),2)&lt;&gt;0</formula>
    </cfRule>
  </conditionalFormatting>
  <conditionalFormatting sqref="A26:A38">
    <cfRule type="expression" dxfId="477" priority="5" stopIfTrue="1">
      <formula>MOD(ROW(),2)=0</formula>
    </cfRule>
    <cfRule type="expression" dxfId="476" priority="6" stopIfTrue="1">
      <formula>MOD(ROW(),2)&lt;&gt;0</formula>
    </cfRule>
  </conditionalFormatting>
  <conditionalFormatting sqref="B17:C21">
    <cfRule type="expression" dxfId="475" priority="1" stopIfTrue="1">
      <formula>MOD(ROW(),2)=0</formula>
    </cfRule>
    <cfRule type="expression" dxfId="474" priority="2" stopIfTrue="1">
      <formula>MOD(ROW(),2)&lt;&gt;0</formula>
    </cfRule>
  </conditionalFormatting>
  <conditionalFormatting sqref="B6:AQ21">
    <cfRule type="expression" dxfId="473" priority="25" stopIfTrue="1">
      <formula>MOD(ROW(),2)=0</formula>
    </cfRule>
    <cfRule type="expression" dxfId="472" priority="26" stopIfTrue="1">
      <formula>MOD(ROW(),2)&lt;&gt;0</formula>
    </cfRule>
  </conditionalFormatting>
  <conditionalFormatting sqref="B26:AQ38">
    <cfRule type="expression" dxfId="471" priority="7" stopIfTrue="1">
      <formula>MOD(ROW(),2)=0</formula>
    </cfRule>
    <cfRule type="expression" dxfId="47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32.7773437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Debit - x-327</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402</v>
      </c>
    </row>
    <row r="10" spans="1:9" x14ac:dyDescent="0.25">
      <c r="A10" s="79" t="s">
        <v>233</v>
      </c>
      <c r="B10" s="152" t="s">
        <v>430</v>
      </c>
    </row>
    <row r="11" spans="1:9" x14ac:dyDescent="0.25">
      <c r="A11" s="79" t="s">
        <v>308</v>
      </c>
      <c r="B11" s="152" t="s">
        <v>404</v>
      </c>
    </row>
    <row r="12" spans="1:9" x14ac:dyDescent="0.25">
      <c r="A12" s="79" t="s">
        <v>309</v>
      </c>
      <c r="B12" s="152" t="s">
        <v>431</v>
      </c>
    </row>
    <row r="13" spans="1:9" x14ac:dyDescent="0.25">
      <c r="A13" s="79" t="s">
        <v>566</v>
      </c>
      <c r="B13" s="152">
        <v>0</v>
      </c>
    </row>
    <row r="14" spans="1:9" x14ac:dyDescent="0.25">
      <c r="A14" s="79" t="s">
        <v>311</v>
      </c>
      <c r="B14" s="152">
        <v>327</v>
      </c>
    </row>
    <row r="15" spans="1:9" x14ac:dyDescent="0.25">
      <c r="A15" s="79" t="s">
        <v>569</v>
      </c>
      <c r="B15" s="152" t="s">
        <v>432</v>
      </c>
    </row>
    <row r="16" spans="1:9" x14ac:dyDescent="0.25">
      <c r="A16" s="79" t="s">
        <v>313</v>
      </c>
      <c r="B16" s="152" t="s">
        <v>433</v>
      </c>
    </row>
    <row r="17" spans="1:5" ht="53.7" customHeight="1" x14ac:dyDescent="0.25">
      <c r="A17" s="79" t="s">
        <v>639</v>
      </c>
      <c r="B17" s="152"/>
      <c r="C17" s="28"/>
      <c r="D17" s="28"/>
      <c r="E17" s="28"/>
    </row>
    <row r="18" spans="1:5" x14ac:dyDescent="0.25">
      <c r="A18" s="79" t="s">
        <v>315</v>
      </c>
      <c r="B18" s="154">
        <v>45070</v>
      </c>
    </row>
    <row r="19" spans="1:5" x14ac:dyDescent="0.25">
      <c r="A19" s="79" t="s">
        <v>316</v>
      </c>
      <c r="B19" s="154">
        <v>45014</v>
      </c>
    </row>
    <row r="20" spans="1:5" x14ac:dyDescent="0.25">
      <c r="A20" s="79" t="s">
        <v>317</v>
      </c>
      <c r="B20" s="152" t="s">
        <v>326</v>
      </c>
    </row>
    <row r="21" spans="1:5" x14ac:dyDescent="0.25">
      <c r="A21" s="79" t="s">
        <v>318</v>
      </c>
      <c r="B21" s="152" t="s">
        <v>327</v>
      </c>
    </row>
    <row r="23" spans="1:5" x14ac:dyDescent="0.25">
      <c r="B23" s="96" t="str">
        <f>HYPERLINK("#'Factor List'!A1","Back to Factor List")</f>
        <v>Back to Factor List</v>
      </c>
    </row>
    <row r="24" spans="1:5" x14ac:dyDescent="0.25">
      <c r="B24" s="96" t="str">
        <f>HYPERLINK("#'Assumptions'!A1","Assumptions")</f>
        <v>Assumptions</v>
      </c>
    </row>
    <row r="26" spans="1:5" x14ac:dyDescent="0.25">
      <c r="A26" s="92" t="s">
        <v>665</v>
      </c>
      <c r="B26" s="92" t="s">
        <v>666</v>
      </c>
    </row>
    <row r="27" spans="1:5" x14ac:dyDescent="0.25">
      <c r="A27" s="93">
        <v>0</v>
      </c>
      <c r="B27" s="95">
        <v>1</v>
      </c>
    </row>
    <row r="28" spans="1:5" x14ac:dyDescent="0.25">
      <c r="A28" s="93">
        <v>1</v>
      </c>
      <c r="B28" s="95">
        <v>0.94199999999999995</v>
      </c>
    </row>
    <row r="29" spans="1:5" x14ac:dyDescent="0.25">
      <c r="A29" s="93">
        <v>2</v>
      </c>
      <c r="B29" s="95">
        <v>0.89</v>
      </c>
    </row>
    <row r="30" spans="1:5" x14ac:dyDescent="0.25">
      <c r="A30" s="93">
        <v>3</v>
      </c>
      <c r="B30" s="95">
        <v>0.84199999999999997</v>
      </c>
    </row>
    <row r="31" spans="1:5" x14ac:dyDescent="0.25">
      <c r="A31" s="93">
        <v>4</v>
      </c>
      <c r="B31" s="95">
        <v>0.79900000000000004</v>
      </c>
    </row>
    <row r="32" spans="1:5" x14ac:dyDescent="0.25">
      <c r="A32" s="93">
        <v>5</v>
      </c>
      <c r="B32" s="95">
        <v>0.75900000000000001</v>
      </c>
    </row>
    <row r="33" spans="1:2" x14ac:dyDescent="0.25">
      <c r="A33" s="93">
        <v>6</v>
      </c>
      <c r="B33" s="95">
        <v>0.72199999999999998</v>
      </c>
    </row>
    <row r="34" spans="1:2" x14ac:dyDescent="0.25">
      <c r="A34" s="93">
        <v>7</v>
      </c>
      <c r="B34" s="95">
        <v>0.68899999999999995</v>
      </c>
    </row>
    <row r="35" spans="1:2" x14ac:dyDescent="0.25">
      <c r="A35" s="93">
        <v>8</v>
      </c>
      <c r="B35" s="95">
        <v>0.65800000000000003</v>
      </c>
    </row>
    <row r="36" spans="1:2" x14ac:dyDescent="0.25">
      <c r="A36" s="93">
        <v>9</v>
      </c>
      <c r="B36" s="95">
        <v>0.629</v>
      </c>
    </row>
    <row r="37" spans="1:2" x14ac:dyDescent="0.25">
      <c r="A37" s="93">
        <v>10</v>
      </c>
      <c r="B37" s="95">
        <v>0.60199999999999998</v>
      </c>
    </row>
    <row r="38" spans="1:2" x14ac:dyDescent="0.25">
      <c r="A38" s="93">
        <v>11</v>
      </c>
      <c r="B38" s="95">
        <v>0.57699999999999996</v>
      </c>
    </row>
    <row r="39" spans="1:2" x14ac:dyDescent="0.25">
      <c r="A39" s="93">
        <v>12</v>
      </c>
      <c r="B39" s="95">
        <v>0.55400000000000005</v>
      </c>
    </row>
    <row r="44" spans="1:2" ht="39.6" customHeight="1" x14ac:dyDescent="0.25"/>
    <row r="46" spans="1:2" ht="27.6" customHeight="1" x14ac:dyDescent="0.25"/>
  </sheetData>
  <sheetProtection algorithmName="SHA-512" hashValue="EhF4zIEbup2lkBiETH9fYgm0veRmZY1T3syNxrAUXr75JLLDWSVzimUF4QDr9W4PyFQ8o6SNyKAEN8g4zuaNhA==" saltValue="bxV5Zf70+xyfGVST0GTTmA==" spinCount="100000" sheet="1" objects="1" scenarios="1"/>
  <conditionalFormatting sqref="A6:A21">
    <cfRule type="expression" dxfId="469" priority="13" stopIfTrue="1">
      <formula>MOD(ROW(),2)=0</formula>
    </cfRule>
    <cfRule type="expression" dxfId="468" priority="14" stopIfTrue="1">
      <formula>MOD(ROW(),2)&lt;&gt;0</formula>
    </cfRule>
  </conditionalFormatting>
  <conditionalFormatting sqref="A26:A39">
    <cfRule type="expression" dxfId="467" priority="3" stopIfTrue="1">
      <formula>MOD(ROW(),2)=0</formula>
    </cfRule>
    <cfRule type="expression" dxfId="466" priority="4" stopIfTrue="1">
      <formula>MOD(ROW(),2)&lt;&gt;0</formula>
    </cfRule>
  </conditionalFormatting>
  <conditionalFormatting sqref="B6:B21">
    <cfRule type="expression" dxfId="465" priority="21" stopIfTrue="1">
      <formula>MOD(ROW(),2)=0</formula>
    </cfRule>
    <cfRule type="expression" dxfId="464" priority="22" stopIfTrue="1">
      <formula>MOD(ROW(),2)&lt;&gt;0</formula>
    </cfRule>
  </conditionalFormatting>
  <conditionalFormatting sqref="B17:B21">
    <cfRule type="expression" dxfId="463" priority="1" stopIfTrue="1">
      <formula>MOD(ROW(),2)=0</formula>
    </cfRule>
    <cfRule type="expression" dxfId="462" priority="2" stopIfTrue="1">
      <formula>MOD(ROW(),2)&lt;&gt;0</formula>
    </cfRule>
  </conditionalFormatting>
  <conditionalFormatting sqref="B26:B39">
    <cfRule type="expression" dxfId="461" priority="5" stopIfTrue="1">
      <formula>MOD(ROW(),2)=0</formula>
    </cfRule>
    <cfRule type="expression" dxfId="460"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7"/>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32.4414062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Pension Debit - x-328</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402</v>
      </c>
    </row>
    <row r="10" spans="1:9" x14ac:dyDescent="0.25">
      <c r="A10" s="79" t="s">
        <v>233</v>
      </c>
      <c r="B10" s="152" t="s">
        <v>434</v>
      </c>
    </row>
    <row r="11" spans="1:9" x14ac:dyDescent="0.25">
      <c r="A11" s="79" t="s">
        <v>308</v>
      </c>
      <c r="B11" s="152" t="s">
        <v>404</v>
      </c>
    </row>
    <row r="12" spans="1:9" x14ac:dyDescent="0.25">
      <c r="A12" s="79" t="s">
        <v>309</v>
      </c>
      <c r="B12" s="152" t="s">
        <v>431</v>
      </c>
    </row>
    <row r="13" spans="1:9" x14ac:dyDescent="0.25">
      <c r="A13" s="79" t="s">
        <v>566</v>
      </c>
      <c r="B13" s="152">
        <v>0</v>
      </c>
    </row>
    <row r="14" spans="1:9" x14ac:dyDescent="0.25">
      <c r="A14" s="79" t="s">
        <v>311</v>
      </c>
      <c r="B14" s="152">
        <v>328</v>
      </c>
    </row>
    <row r="15" spans="1:9" x14ac:dyDescent="0.25">
      <c r="A15" s="79" t="s">
        <v>569</v>
      </c>
      <c r="B15" s="152" t="s">
        <v>435</v>
      </c>
    </row>
    <row r="16" spans="1:9" x14ac:dyDescent="0.25">
      <c r="A16" s="79" t="s">
        <v>313</v>
      </c>
      <c r="B16" s="152" t="s">
        <v>436</v>
      </c>
    </row>
    <row r="17" spans="1:2" x14ac:dyDescent="0.25">
      <c r="A17" s="79" t="s">
        <v>639</v>
      </c>
      <c r="B17" s="152"/>
    </row>
    <row r="18" spans="1:2" x14ac:dyDescent="0.25">
      <c r="A18" s="79" t="s">
        <v>315</v>
      </c>
      <c r="B18" s="154">
        <v>45070</v>
      </c>
    </row>
    <row r="19" spans="1:2" x14ac:dyDescent="0.25">
      <c r="A19" s="79" t="s">
        <v>316</v>
      </c>
      <c r="B19" s="154">
        <v>45014</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x14ac:dyDescent="0.25">
      <c r="A26" s="92" t="s">
        <v>665</v>
      </c>
      <c r="B26" s="92" t="s">
        <v>666</v>
      </c>
    </row>
    <row r="27" spans="1:2" x14ac:dyDescent="0.25">
      <c r="A27" s="93">
        <v>0</v>
      </c>
      <c r="B27" s="95">
        <v>1</v>
      </c>
    </row>
    <row r="28" spans="1:2" x14ac:dyDescent="0.25">
      <c r="A28" s="93">
        <v>1</v>
      </c>
      <c r="B28" s="95">
        <v>0.94199999999999995</v>
      </c>
    </row>
    <row r="29" spans="1:2" x14ac:dyDescent="0.25">
      <c r="A29" s="93">
        <v>2</v>
      </c>
      <c r="B29" s="95">
        <v>0.89</v>
      </c>
    </row>
    <row r="30" spans="1:2" x14ac:dyDescent="0.25">
      <c r="A30" s="93">
        <v>3</v>
      </c>
      <c r="B30" s="95">
        <v>0.84199999999999997</v>
      </c>
    </row>
    <row r="31" spans="1:2" x14ac:dyDescent="0.25">
      <c r="A31" s="93">
        <v>4</v>
      </c>
      <c r="B31" s="95">
        <v>0.79900000000000004</v>
      </c>
    </row>
    <row r="32" spans="1:2" x14ac:dyDescent="0.25">
      <c r="A32" s="93">
        <v>5</v>
      </c>
      <c r="B32" s="95">
        <v>0.75900000000000001</v>
      </c>
    </row>
    <row r="33" spans="1:2" x14ac:dyDescent="0.25">
      <c r="A33" s="93">
        <v>6</v>
      </c>
      <c r="B33" s="95">
        <v>0.72199999999999998</v>
      </c>
    </row>
    <row r="34" spans="1:2" x14ac:dyDescent="0.25">
      <c r="A34" s="93">
        <v>7</v>
      </c>
      <c r="B34" s="95">
        <v>0.68899999999999995</v>
      </c>
    </row>
    <row r="35" spans="1:2" x14ac:dyDescent="0.25">
      <c r="A35" s="93">
        <v>8</v>
      </c>
      <c r="B35" s="95">
        <v>0.65800000000000003</v>
      </c>
    </row>
    <row r="36" spans="1:2" x14ac:dyDescent="0.25">
      <c r="A36" s="93">
        <v>9</v>
      </c>
      <c r="B36" s="95">
        <v>0.629</v>
      </c>
    </row>
    <row r="37" spans="1:2" x14ac:dyDescent="0.25">
      <c r="A37" s="93">
        <v>10</v>
      </c>
      <c r="B37" s="95">
        <v>0.60199999999999998</v>
      </c>
    </row>
    <row r="38" spans="1:2" x14ac:dyDescent="0.25">
      <c r="A38" s="93">
        <v>11</v>
      </c>
      <c r="B38" s="95">
        <v>0.57699999999999996</v>
      </c>
    </row>
    <row r="39" spans="1:2" x14ac:dyDescent="0.25">
      <c r="A39" s="93">
        <v>12</v>
      </c>
      <c r="B39" s="95">
        <v>0.55400000000000005</v>
      </c>
    </row>
    <row r="40" spans="1:2" x14ac:dyDescent="0.25">
      <c r="A40" s="93">
        <v>13</v>
      </c>
      <c r="B40" s="95">
        <v>0.53200000000000003</v>
      </c>
    </row>
    <row r="41" spans="1:2" x14ac:dyDescent="0.25">
      <c r="A41" s="93">
        <v>14</v>
      </c>
      <c r="B41" s="95">
        <v>0.51200000000000001</v>
      </c>
    </row>
    <row r="42" spans="1:2" x14ac:dyDescent="0.25">
      <c r="A42" s="93">
        <v>15</v>
      </c>
      <c r="B42" s="95">
        <v>0.49299999999999999</v>
      </c>
    </row>
    <row r="43" spans="1:2" x14ac:dyDescent="0.25">
      <c r="A43" s="93">
        <v>16</v>
      </c>
      <c r="B43" s="95">
        <v>0.47499999999999998</v>
      </c>
    </row>
    <row r="44" spans="1:2" x14ac:dyDescent="0.25">
      <c r="A44" s="93">
        <v>17</v>
      </c>
      <c r="B44" s="95">
        <v>0.45800000000000002</v>
      </c>
    </row>
    <row r="45" spans="1:2" x14ac:dyDescent="0.25">
      <c r="A45" s="93">
        <v>18</v>
      </c>
      <c r="B45" s="95">
        <v>0.442</v>
      </c>
    </row>
    <row r="46" spans="1:2" x14ac:dyDescent="0.25">
      <c r="A46" s="93">
        <v>19</v>
      </c>
      <c r="B46" s="95">
        <v>0.42699999999999999</v>
      </c>
    </row>
    <row r="47" spans="1:2" x14ac:dyDescent="0.25">
      <c r="A47" s="93">
        <v>20</v>
      </c>
      <c r="B47" s="95">
        <v>0.41299999999999998</v>
      </c>
    </row>
    <row r="48" spans="1:2" x14ac:dyDescent="0.25">
      <c r="A48" s="93">
        <v>21</v>
      </c>
      <c r="B48" s="95">
        <v>0.39900000000000002</v>
      </c>
    </row>
    <row r="49" spans="1:2" x14ac:dyDescent="0.25">
      <c r="A49" s="93">
        <v>22</v>
      </c>
      <c r="B49" s="95">
        <v>0.38700000000000001</v>
      </c>
    </row>
    <row r="50" spans="1:2" x14ac:dyDescent="0.25">
      <c r="A50" s="93">
        <v>23</v>
      </c>
      <c r="B50" s="95">
        <v>0.374</v>
      </c>
    </row>
    <row r="51" spans="1:2" x14ac:dyDescent="0.25">
      <c r="A51" s="93">
        <v>24</v>
      </c>
      <c r="B51" s="95">
        <v>0.36299999999999999</v>
      </c>
    </row>
    <row r="52" spans="1:2" x14ac:dyDescent="0.25">
      <c r="A52" s="93">
        <v>25</v>
      </c>
      <c r="B52" s="95">
        <v>0.35199999999999998</v>
      </c>
    </row>
    <row r="53" spans="1:2" x14ac:dyDescent="0.25">
      <c r="A53" s="93">
        <v>26</v>
      </c>
      <c r="B53" s="95">
        <v>0.34200000000000003</v>
      </c>
    </row>
    <row r="54" spans="1:2" x14ac:dyDescent="0.25">
      <c r="A54" s="93">
        <v>27</v>
      </c>
      <c r="B54" s="95">
        <v>0.33200000000000002</v>
      </c>
    </row>
    <row r="55" spans="1:2" x14ac:dyDescent="0.25">
      <c r="A55" s="93">
        <v>28</v>
      </c>
      <c r="B55" s="95">
        <v>0.32200000000000001</v>
      </c>
    </row>
    <row r="56" spans="1:2" x14ac:dyDescent="0.25">
      <c r="A56" s="93">
        <v>29</v>
      </c>
      <c r="B56" s="95">
        <v>0.313</v>
      </c>
    </row>
    <row r="57" spans="1:2" x14ac:dyDescent="0.25">
      <c r="A57" s="93">
        <v>30</v>
      </c>
      <c r="B57" s="95">
        <v>0.30499999999999999</v>
      </c>
    </row>
    <row r="58" spans="1:2" x14ac:dyDescent="0.25">
      <c r="A58" s="93">
        <v>31</v>
      </c>
      <c r="B58" s="95">
        <v>0.29599999999999999</v>
      </c>
    </row>
    <row r="59" spans="1:2" x14ac:dyDescent="0.25">
      <c r="A59" s="93">
        <v>32</v>
      </c>
      <c r="B59" s="95">
        <v>0.28799999999999998</v>
      </c>
    </row>
    <row r="60" spans="1:2" x14ac:dyDescent="0.25">
      <c r="A60" s="93">
        <v>33</v>
      </c>
      <c r="B60" s="95">
        <v>0.28100000000000003</v>
      </c>
    </row>
    <row r="61" spans="1:2" x14ac:dyDescent="0.25">
      <c r="A61" s="93">
        <v>34</v>
      </c>
      <c r="B61" s="95">
        <v>0.27300000000000002</v>
      </c>
    </row>
    <row r="62" spans="1:2" x14ac:dyDescent="0.25">
      <c r="A62" s="93">
        <v>35</v>
      </c>
      <c r="B62" s="95">
        <v>0.26600000000000001</v>
      </c>
    </row>
    <row r="63" spans="1:2" x14ac:dyDescent="0.25">
      <c r="A63" s="93">
        <v>36</v>
      </c>
      <c r="B63" s="95">
        <v>0.26</v>
      </c>
    </row>
    <row r="64" spans="1:2" x14ac:dyDescent="0.25">
      <c r="A64" s="93">
        <v>37</v>
      </c>
      <c r="B64" s="95">
        <v>0.253</v>
      </c>
    </row>
    <row r="65" spans="1:2" x14ac:dyDescent="0.25">
      <c r="A65" s="93">
        <v>38</v>
      </c>
      <c r="B65" s="95">
        <v>0.247</v>
      </c>
    </row>
    <row r="66" spans="1:2" x14ac:dyDescent="0.25">
      <c r="A66" s="93">
        <v>39</v>
      </c>
      <c r="B66" s="95">
        <v>0.24099999999999999</v>
      </c>
    </row>
    <row r="67" spans="1:2" x14ac:dyDescent="0.25">
      <c r="A67" s="93">
        <v>40</v>
      </c>
      <c r="B67" s="95">
        <v>0.23499999999999999</v>
      </c>
    </row>
    <row r="68" spans="1:2" x14ac:dyDescent="0.25">
      <c r="A68" s="93">
        <v>41</v>
      </c>
      <c r="B68" s="95">
        <v>0.23</v>
      </c>
    </row>
    <row r="69" spans="1:2" x14ac:dyDescent="0.25">
      <c r="A69" s="93">
        <v>42</v>
      </c>
      <c r="B69" s="95">
        <v>0.224</v>
      </c>
    </row>
    <row r="70" spans="1:2" x14ac:dyDescent="0.25">
      <c r="A70" s="93">
        <v>43</v>
      </c>
      <c r="B70" s="95">
        <v>0.219</v>
      </c>
    </row>
    <row r="71" spans="1:2" x14ac:dyDescent="0.25">
      <c r="A71" s="93">
        <v>44</v>
      </c>
      <c r="B71" s="95">
        <v>0.214</v>
      </c>
    </row>
    <row r="72" spans="1:2" x14ac:dyDescent="0.25">
      <c r="A72" s="93">
        <v>45</v>
      </c>
      <c r="B72" s="95">
        <v>0.20899999999999999</v>
      </c>
    </row>
    <row r="73" spans="1:2" x14ac:dyDescent="0.25">
      <c r="A73" s="93">
        <v>46</v>
      </c>
      <c r="B73" s="95">
        <v>0.20399999999999999</v>
      </c>
    </row>
    <row r="74" spans="1:2" x14ac:dyDescent="0.25">
      <c r="A74" s="93">
        <v>47</v>
      </c>
      <c r="B74" s="95">
        <v>0.2</v>
      </c>
    </row>
    <row r="75" spans="1:2" x14ac:dyDescent="0.25">
      <c r="A75" s="93">
        <v>48</v>
      </c>
      <c r="B75" s="95">
        <v>0.19600000000000001</v>
      </c>
    </row>
    <row r="76" spans="1:2" x14ac:dyDescent="0.25">
      <c r="A76" s="93">
        <v>49</v>
      </c>
      <c r="B76" s="95">
        <v>0.191</v>
      </c>
    </row>
    <row r="77" spans="1:2" x14ac:dyDescent="0.25">
      <c r="A77" s="93">
        <v>50</v>
      </c>
      <c r="B77" s="95">
        <v>0.187</v>
      </c>
    </row>
  </sheetData>
  <sheetProtection algorithmName="SHA-512" hashValue="oevqc2pu3LfDx1XiUR2g70OvZsK5JjtFGep69BrfoI6HEbCAmo6YSUt3bgUeqWqLfTAcWH2ViiKZM/n5gK3dcA==" saltValue="l3znB10tlrTuBqppF6sDIQ==" spinCount="100000" sheet="1" objects="1" scenarios="1"/>
  <conditionalFormatting sqref="A6:A21">
    <cfRule type="expression" dxfId="459" priority="25" stopIfTrue="1">
      <formula>MOD(ROW(),2)=0</formula>
    </cfRule>
    <cfRule type="expression" dxfId="458" priority="26" stopIfTrue="1">
      <formula>MOD(ROW(),2)&lt;&gt;0</formula>
    </cfRule>
  </conditionalFormatting>
  <conditionalFormatting sqref="A26:A77">
    <cfRule type="expression" dxfId="457" priority="5" stopIfTrue="1">
      <formula>MOD(ROW(),2)=0</formula>
    </cfRule>
    <cfRule type="expression" dxfId="456" priority="6" stopIfTrue="1">
      <formula>MOD(ROW(),2)&lt;&gt;0</formula>
    </cfRule>
  </conditionalFormatting>
  <conditionalFormatting sqref="B6:B21">
    <cfRule type="expression" dxfId="455" priority="27" stopIfTrue="1">
      <formula>MOD(ROW(),2)=0</formula>
    </cfRule>
    <cfRule type="expression" dxfId="454" priority="28" stopIfTrue="1">
      <formula>MOD(ROW(),2)&lt;&gt;0</formula>
    </cfRule>
  </conditionalFormatting>
  <conditionalFormatting sqref="B17:B21">
    <cfRule type="expression" dxfId="453" priority="1" stopIfTrue="1">
      <formula>MOD(ROW(),2)=0</formula>
    </cfRule>
    <cfRule type="expression" dxfId="452" priority="2" stopIfTrue="1">
      <formula>MOD(ROW(),2)&lt;&gt;0</formula>
    </cfRule>
  </conditionalFormatting>
  <conditionalFormatting sqref="B26:B77">
    <cfRule type="expression" dxfId="451" priority="7" stopIfTrue="1">
      <formula>MOD(ROW(),2)=0</formula>
    </cfRule>
    <cfRule type="expression" dxfId="45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5"/>
  <sheetViews>
    <sheetView showGridLines="0" zoomScale="85" zoomScaleNormal="85" workbookViewId="0">
      <selection activeCell="A4" sqref="A4"/>
    </sheetView>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TABLE_FACTOR_TYPE_1&amp;" - x-"&amp;TABLE_SERIES_NUMBER_1</f>
        <v>ERF - x-401</v>
      </c>
      <c r="B3" s="43"/>
      <c r="C3" s="43"/>
      <c r="D3" s="43"/>
      <c r="E3" s="43"/>
      <c r="F3" s="43"/>
      <c r="G3" s="43"/>
      <c r="H3" s="43"/>
      <c r="I3" s="43"/>
    </row>
    <row r="4" spans="1:13" x14ac:dyDescent="0.25">
      <c r="A4" s="45"/>
    </row>
    <row r="6" spans="1:13" x14ac:dyDescent="0.25">
      <c r="A6" s="77" t="s">
        <v>558</v>
      </c>
      <c r="B6" s="152" t="s">
        <v>559</v>
      </c>
      <c r="C6" s="152"/>
      <c r="D6" s="152"/>
      <c r="E6" s="152"/>
      <c r="F6" s="152"/>
      <c r="G6" s="152"/>
      <c r="H6" s="152"/>
      <c r="I6" s="152"/>
      <c r="J6" s="152"/>
      <c r="K6" s="152"/>
      <c r="L6" s="152"/>
      <c r="M6" s="152"/>
    </row>
    <row r="7" spans="1:13" x14ac:dyDescent="0.25">
      <c r="A7" s="79" t="s">
        <v>305</v>
      </c>
      <c r="B7" s="152" t="s">
        <v>319</v>
      </c>
      <c r="C7" s="152"/>
      <c r="D7" s="152"/>
      <c r="E7" s="152"/>
      <c r="F7" s="152"/>
      <c r="G7" s="152"/>
      <c r="H7" s="152"/>
      <c r="I7" s="152"/>
      <c r="J7" s="152"/>
      <c r="K7" s="152"/>
      <c r="L7" s="152"/>
      <c r="M7" s="152"/>
    </row>
    <row r="8" spans="1:13" x14ac:dyDescent="0.25">
      <c r="A8" s="79" t="s">
        <v>306</v>
      </c>
      <c r="B8" s="152">
        <v>2007</v>
      </c>
      <c r="C8" s="152"/>
      <c r="D8" s="152"/>
      <c r="E8" s="152"/>
      <c r="F8" s="152"/>
      <c r="G8" s="152"/>
      <c r="H8" s="152"/>
      <c r="I8" s="152"/>
      <c r="J8" s="152"/>
      <c r="K8" s="152"/>
      <c r="L8" s="152"/>
      <c r="M8" s="152"/>
    </row>
    <row r="9" spans="1:13" x14ac:dyDescent="0.25">
      <c r="A9" s="79" t="s">
        <v>307</v>
      </c>
      <c r="B9" s="152" t="s">
        <v>437</v>
      </c>
      <c r="C9" s="152"/>
      <c r="D9" s="152"/>
      <c r="E9" s="152"/>
      <c r="F9" s="152"/>
      <c r="G9" s="152"/>
      <c r="H9" s="152"/>
      <c r="I9" s="152"/>
      <c r="J9" s="152"/>
      <c r="K9" s="152"/>
      <c r="L9" s="152"/>
      <c r="M9" s="152"/>
    </row>
    <row r="10" spans="1:13" x14ac:dyDescent="0.25">
      <c r="A10" s="79" t="s">
        <v>233</v>
      </c>
      <c r="B10" s="152" t="s">
        <v>438</v>
      </c>
      <c r="C10" s="152"/>
      <c r="D10" s="152"/>
      <c r="E10" s="152"/>
      <c r="F10" s="152"/>
      <c r="G10" s="152"/>
      <c r="H10" s="152"/>
      <c r="I10" s="152"/>
      <c r="J10" s="152"/>
      <c r="K10" s="152"/>
      <c r="L10" s="152"/>
      <c r="M10" s="152"/>
    </row>
    <row r="11" spans="1:13" x14ac:dyDescent="0.25">
      <c r="A11" s="79" t="s">
        <v>308</v>
      </c>
      <c r="B11" s="152" t="s">
        <v>404</v>
      </c>
      <c r="C11" s="152"/>
      <c r="D11" s="152"/>
      <c r="E11" s="152"/>
      <c r="F11" s="152"/>
      <c r="G11" s="152"/>
      <c r="H11" s="152"/>
      <c r="I11" s="152"/>
      <c r="J11" s="152"/>
      <c r="K11" s="152"/>
      <c r="L11" s="152"/>
      <c r="M11" s="152"/>
    </row>
    <row r="12" spans="1:13" ht="12.6" customHeight="1" x14ac:dyDescent="0.25">
      <c r="A12" s="79" t="s">
        <v>309</v>
      </c>
      <c r="B12" s="152" t="s">
        <v>415</v>
      </c>
      <c r="C12" s="152"/>
      <c r="D12" s="152"/>
      <c r="E12" s="152"/>
      <c r="F12" s="152"/>
      <c r="G12" s="152"/>
      <c r="H12" s="152"/>
      <c r="I12" s="152"/>
      <c r="J12" s="152"/>
      <c r="K12" s="152"/>
      <c r="L12" s="152"/>
      <c r="M12" s="152"/>
    </row>
    <row r="13" spans="1:13" ht="12.6" customHeight="1" x14ac:dyDescent="0.25">
      <c r="A13" s="79" t="s">
        <v>566</v>
      </c>
      <c r="B13" s="152">
        <v>1</v>
      </c>
      <c r="C13" s="152"/>
      <c r="D13" s="152"/>
      <c r="E13" s="152"/>
      <c r="F13" s="152"/>
      <c r="G13" s="152"/>
      <c r="H13" s="152"/>
      <c r="I13" s="152"/>
      <c r="J13" s="152"/>
      <c r="K13" s="152"/>
      <c r="L13" s="152"/>
      <c r="M13" s="152"/>
    </row>
    <row r="14" spans="1:13" ht="12.6" customHeight="1" x14ac:dyDescent="0.25">
      <c r="A14" s="79" t="s">
        <v>311</v>
      </c>
      <c r="B14" s="152">
        <v>401</v>
      </c>
      <c r="C14" s="152"/>
      <c r="D14" s="152"/>
      <c r="E14" s="152"/>
      <c r="F14" s="152"/>
      <c r="G14" s="152"/>
      <c r="H14" s="152"/>
      <c r="I14" s="152"/>
      <c r="J14" s="152"/>
      <c r="K14" s="152"/>
      <c r="L14" s="152"/>
      <c r="M14" s="152"/>
    </row>
    <row r="15" spans="1:13" x14ac:dyDescent="0.25">
      <c r="A15" s="79" t="s">
        <v>569</v>
      </c>
      <c r="B15" s="152" t="s">
        <v>439</v>
      </c>
      <c r="C15" s="152"/>
      <c r="D15" s="152"/>
      <c r="E15" s="152"/>
      <c r="F15" s="152"/>
      <c r="G15" s="152"/>
      <c r="H15" s="152"/>
      <c r="I15" s="152"/>
      <c r="J15" s="152"/>
      <c r="K15" s="152"/>
      <c r="L15" s="152"/>
      <c r="M15" s="152"/>
    </row>
    <row r="16" spans="1:13" x14ac:dyDescent="0.25">
      <c r="A16" s="79" t="s">
        <v>313</v>
      </c>
      <c r="B16" s="152" t="s">
        <v>440</v>
      </c>
      <c r="C16" s="152"/>
      <c r="D16" s="152"/>
      <c r="E16" s="152"/>
      <c r="F16" s="152"/>
      <c r="G16" s="152"/>
      <c r="H16" s="152"/>
      <c r="I16" s="152"/>
      <c r="J16" s="152"/>
      <c r="K16" s="152"/>
      <c r="L16" s="152"/>
      <c r="M16" s="152"/>
    </row>
    <row r="17" spans="1:13" ht="91.35" customHeight="1" x14ac:dyDescent="0.25">
      <c r="A17" s="79" t="s">
        <v>639</v>
      </c>
      <c r="B17" s="152"/>
      <c r="C17" s="152"/>
      <c r="D17" s="152"/>
      <c r="E17" s="152"/>
      <c r="F17" s="152"/>
      <c r="G17" s="152"/>
      <c r="H17" s="152"/>
      <c r="I17" s="152"/>
      <c r="J17" s="152"/>
      <c r="K17" s="152"/>
      <c r="L17" s="152"/>
      <c r="M17" s="152"/>
    </row>
    <row r="18" spans="1:13" x14ac:dyDescent="0.25">
      <c r="A18" s="79" t="s">
        <v>315</v>
      </c>
      <c r="B18" s="154">
        <v>45106</v>
      </c>
      <c r="C18" s="152"/>
      <c r="D18" s="152"/>
      <c r="E18" s="152"/>
      <c r="F18" s="152"/>
      <c r="G18" s="152"/>
      <c r="H18" s="152"/>
      <c r="I18" s="152"/>
      <c r="J18" s="152"/>
      <c r="K18" s="152"/>
      <c r="L18" s="152"/>
      <c r="M18" s="152"/>
    </row>
    <row r="19" spans="1:13" x14ac:dyDescent="0.25">
      <c r="A19" s="79" t="s">
        <v>316</v>
      </c>
      <c r="B19" s="154">
        <v>45106</v>
      </c>
      <c r="C19" s="152"/>
      <c r="D19" s="152"/>
      <c r="E19" s="152"/>
      <c r="F19" s="152"/>
      <c r="G19" s="152"/>
      <c r="H19" s="152"/>
      <c r="I19" s="152"/>
      <c r="J19" s="152"/>
      <c r="K19" s="152"/>
      <c r="L19" s="152"/>
      <c r="M19" s="152"/>
    </row>
    <row r="20" spans="1:13" x14ac:dyDescent="0.25">
      <c r="A20" s="79" t="s">
        <v>317</v>
      </c>
      <c r="B20" s="152" t="s">
        <v>326</v>
      </c>
      <c r="C20" s="152"/>
      <c r="D20" s="152"/>
      <c r="E20" s="152"/>
      <c r="F20" s="152"/>
      <c r="G20" s="152"/>
      <c r="H20" s="152"/>
      <c r="I20" s="152"/>
      <c r="J20" s="152"/>
      <c r="K20" s="152"/>
      <c r="L20" s="152"/>
      <c r="M20" s="152"/>
    </row>
    <row r="21" spans="1:13" x14ac:dyDescent="0.25">
      <c r="A21" s="79" t="s">
        <v>318</v>
      </c>
      <c r="B21" s="152" t="s">
        <v>327</v>
      </c>
      <c r="C21" s="152"/>
      <c r="D21" s="152"/>
      <c r="E21" s="152"/>
      <c r="F21" s="152"/>
      <c r="G21" s="152"/>
      <c r="H21" s="152"/>
      <c r="I21" s="152"/>
      <c r="J21" s="152"/>
      <c r="K21" s="152"/>
      <c r="L21" s="152"/>
      <c r="M21" s="152"/>
    </row>
    <row r="23" spans="1:13" x14ac:dyDescent="0.25">
      <c r="B23" s="96" t="str">
        <f>HYPERLINK("#'Factor List'!A1","Back to Factor List")</f>
        <v>Back to Factor List</v>
      </c>
    </row>
    <row r="24" spans="1:13" x14ac:dyDescent="0.25">
      <c r="B24" s="96" t="str">
        <f>HYPERLINK("#'Assumptions'!A1","Assumptions")</f>
        <v>Assumptions</v>
      </c>
    </row>
    <row r="26" spans="1:13" x14ac:dyDescent="0.25">
      <c r="A26" s="86" t="s">
        <v>667</v>
      </c>
      <c r="B26" s="82">
        <v>0</v>
      </c>
      <c r="C26" s="82">
        <v>1</v>
      </c>
      <c r="D26" s="82">
        <v>2</v>
      </c>
      <c r="E26" s="82">
        <v>3</v>
      </c>
      <c r="F26" s="82">
        <v>4</v>
      </c>
      <c r="G26" s="82">
        <v>5</v>
      </c>
      <c r="H26" s="82">
        <v>6</v>
      </c>
      <c r="I26" s="82">
        <v>7</v>
      </c>
      <c r="J26" s="82">
        <v>8</v>
      </c>
      <c r="K26" s="82">
        <v>9</v>
      </c>
      <c r="L26" s="82">
        <v>10</v>
      </c>
      <c r="M26" s="82">
        <v>11</v>
      </c>
    </row>
    <row r="27" spans="1:13" x14ac:dyDescent="0.25">
      <c r="A27" s="83">
        <v>55</v>
      </c>
      <c r="B27" s="85">
        <v>0.62</v>
      </c>
      <c r="C27" s="85">
        <v>0.622</v>
      </c>
      <c r="D27" s="85">
        <v>0.624</v>
      </c>
      <c r="E27" s="85">
        <v>0.626</v>
      </c>
      <c r="F27" s="85">
        <v>0.629</v>
      </c>
      <c r="G27" s="85">
        <v>0.63100000000000001</v>
      </c>
      <c r="H27" s="85">
        <v>0.63300000000000001</v>
      </c>
      <c r="I27" s="85">
        <v>0.63500000000000001</v>
      </c>
      <c r="J27" s="85">
        <v>0.63700000000000001</v>
      </c>
      <c r="K27" s="85">
        <v>0.64</v>
      </c>
      <c r="L27" s="85">
        <v>0.64200000000000002</v>
      </c>
      <c r="M27" s="85">
        <v>0.64400000000000002</v>
      </c>
    </row>
    <row r="28" spans="1:13" x14ac:dyDescent="0.25">
      <c r="A28" s="83">
        <v>56</v>
      </c>
      <c r="B28" s="85">
        <v>0.64600000000000002</v>
      </c>
      <c r="C28" s="85">
        <v>0.64800000000000002</v>
      </c>
      <c r="D28" s="85">
        <v>0.65100000000000002</v>
      </c>
      <c r="E28" s="85">
        <v>0.65300000000000002</v>
      </c>
      <c r="F28" s="85">
        <v>0.65600000000000003</v>
      </c>
      <c r="G28" s="85">
        <v>0.65800000000000003</v>
      </c>
      <c r="H28" s="85">
        <v>0.66</v>
      </c>
      <c r="I28" s="85">
        <v>0.66300000000000003</v>
      </c>
      <c r="J28" s="85">
        <v>0.66500000000000004</v>
      </c>
      <c r="K28" s="85">
        <v>0.66700000000000004</v>
      </c>
      <c r="L28" s="85">
        <v>0.67</v>
      </c>
      <c r="M28" s="85">
        <v>0.67200000000000004</v>
      </c>
    </row>
    <row r="29" spans="1:13" x14ac:dyDescent="0.25">
      <c r="A29" s="83">
        <v>57</v>
      </c>
      <c r="B29" s="85">
        <v>0.67400000000000004</v>
      </c>
      <c r="C29" s="85">
        <v>0.67700000000000005</v>
      </c>
      <c r="D29" s="85">
        <v>0.67900000000000005</v>
      </c>
      <c r="E29" s="85">
        <v>0.68200000000000005</v>
      </c>
      <c r="F29" s="85">
        <v>0.68400000000000005</v>
      </c>
      <c r="G29" s="85">
        <v>0.68700000000000006</v>
      </c>
      <c r="H29" s="85">
        <v>0.68899999999999995</v>
      </c>
      <c r="I29" s="85">
        <v>0.69199999999999995</v>
      </c>
      <c r="J29" s="85">
        <v>0.69399999999999995</v>
      </c>
      <c r="K29" s="85">
        <v>0.69699999999999995</v>
      </c>
      <c r="L29" s="85">
        <v>0.7</v>
      </c>
      <c r="M29" s="85">
        <v>0.70199999999999996</v>
      </c>
    </row>
    <row r="30" spans="1:13" x14ac:dyDescent="0.25">
      <c r="A30" s="83">
        <v>58</v>
      </c>
      <c r="B30" s="85">
        <v>0.70499999999999996</v>
      </c>
      <c r="C30" s="85">
        <v>0.70699999999999996</v>
      </c>
      <c r="D30" s="85">
        <v>0.71</v>
      </c>
      <c r="E30" s="85">
        <v>0.71299999999999997</v>
      </c>
      <c r="F30" s="85">
        <v>0.71499999999999997</v>
      </c>
      <c r="G30" s="85">
        <v>0.71799999999999997</v>
      </c>
      <c r="H30" s="85">
        <v>0.72099999999999997</v>
      </c>
      <c r="I30" s="85">
        <v>0.72399999999999998</v>
      </c>
      <c r="J30" s="85">
        <v>0.72599999999999998</v>
      </c>
      <c r="K30" s="85">
        <v>0.72899999999999998</v>
      </c>
      <c r="L30" s="85">
        <v>0.73199999999999998</v>
      </c>
      <c r="M30" s="85">
        <v>0.73399999999999999</v>
      </c>
    </row>
    <row r="31" spans="1:13" x14ac:dyDescent="0.25">
      <c r="A31" s="83">
        <v>59</v>
      </c>
      <c r="B31" s="85">
        <v>0.73699999999999999</v>
      </c>
      <c r="C31" s="85">
        <v>0.74</v>
      </c>
      <c r="D31" s="85">
        <v>0.74299999999999999</v>
      </c>
      <c r="E31" s="85">
        <v>0.746</v>
      </c>
      <c r="F31" s="85">
        <v>0.749</v>
      </c>
      <c r="G31" s="85">
        <v>0.752</v>
      </c>
      <c r="H31" s="85">
        <v>0.755</v>
      </c>
      <c r="I31" s="85">
        <v>0.75800000000000001</v>
      </c>
      <c r="J31" s="85">
        <v>0.76100000000000001</v>
      </c>
      <c r="K31" s="85">
        <v>0.76400000000000001</v>
      </c>
      <c r="L31" s="85">
        <v>0.76700000000000002</v>
      </c>
      <c r="M31" s="85">
        <v>0.76900000000000002</v>
      </c>
    </row>
    <row r="32" spans="1:13" x14ac:dyDescent="0.25">
      <c r="A32" s="83">
        <v>60</v>
      </c>
      <c r="B32" s="85">
        <v>0.77200000000000002</v>
      </c>
      <c r="C32" s="85">
        <v>0.77600000000000002</v>
      </c>
      <c r="D32" s="85">
        <v>0.77900000000000003</v>
      </c>
      <c r="E32" s="85">
        <v>0.78200000000000003</v>
      </c>
      <c r="F32" s="85">
        <v>0.78500000000000003</v>
      </c>
      <c r="G32" s="85">
        <v>0.78800000000000003</v>
      </c>
      <c r="H32" s="85">
        <v>0.79100000000000004</v>
      </c>
      <c r="I32" s="85">
        <v>0.79500000000000004</v>
      </c>
      <c r="J32" s="85">
        <v>0.79800000000000004</v>
      </c>
      <c r="K32" s="85">
        <v>0.80100000000000005</v>
      </c>
      <c r="L32" s="85">
        <v>0.80400000000000005</v>
      </c>
      <c r="M32" s="85">
        <v>0.80700000000000005</v>
      </c>
    </row>
    <row r="33" spans="1:13" x14ac:dyDescent="0.25">
      <c r="A33" s="83">
        <v>61</v>
      </c>
      <c r="B33" s="85">
        <v>0.81100000000000005</v>
      </c>
      <c r="C33" s="85">
        <v>0.81399999999999995</v>
      </c>
      <c r="D33" s="85">
        <v>0.81699999999999995</v>
      </c>
      <c r="E33" s="85">
        <v>0.82099999999999995</v>
      </c>
      <c r="F33" s="85">
        <v>0.82399999999999995</v>
      </c>
      <c r="G33" s="85">
        <v>0.82799999999999996</v>
      </c>
      <c r="H33" s="85">
        <v>0.83099999999999996</v>
      </c>
      <c r="I33" s="85">
        <v>0.83499999999999996</v>
      </c>
      <c r="J33" s="85">
        <v>0.83799999999999997</v>
      </c>
      <c r="K33" s="85">
        <v>0.84199999999999997</v>
      </c>
      <c r="L33" s="85">
        <v>0.84499999999999997</v>
      </c>
      <c r="M33" s="85">
        <v>0.84799999999999998</v>
      </c>
    </row>
    <row r="34" spans="1:13" x14ac:dyDescent="0.25">
      <c r="A34" s="83">
        <v>62</v>
      </c>
      <c r="B34" s="85">
        <v>0.85199999999999998</v>
      </c>
      <c r="C34" s="85">
        <v>0.85599999999999998</v>
      </c>
      <c r="D34" s="85">
        <v>0.85899999999999999</v>
      </c>
      <c r="E34" s="85">
        <v>0.86299999999999999</v>
      </c>
      <c r="F34" s="85">
        <v>0.86699999999999999</v>
      </c>
      <c r="G34" s="85">
        <v>0.871</v>
      </c>
      <c r="H34" s="85">
        <v>0.874</v>
      </c>
      <c r="I34" s="85">
        <v>0.878</v>
      </c>
      <c r="J34" s="85">
        <v>0.88200000000000001</v>
      </c>
      <c r="K34" s="85">
        <v>0.88600000000000001</v>
      </c>
      <c r="L34" s="85">
        <v>0.88900000000000001</v>
      </c>
      <c r="M34" s="85">
        <v>0.89300000000000002</v>
      </c>
    </row>
    <row r="35" spans="1:13" x14ac:dyDescent="0.25">
      <c r="A35" s="83">
        <v>63</v>
      </c>
      <c r="B35" s="85">
        <v>0.89700000000000002</v>
      </c>
      <c r="C35" s="85">
        <v>0.90100000000000002</v>
      </c>
      <c r="D35" s="85">
        <v>0.90500000000000003</v>
      </c>
      <c r="E35" s="85">
        <v>0.90900000000000003</v>
      </c>
      <c r="F35" s="85">
        <v>0.91300000000000003</v>
      </c>
      <c r="G35" s="85">
        <v>0.91700000000000004</v>
      </c>
      <c r="H35" s="85">
        <v>0.92200000000000004</v>
      </c>
      <c r="I35" s="85">
        <v>0.92600000000000005</v>
      </c>
      <c r="J35" s="85">
        <v>0.93</v>
      </c>
      <c r="K35" s="85">
        <v>0.93400000000000005</v>
      </c>
      <c r="L35" s="85">
        <v>0.93799999999999994</v>
      </c>
      <c r="M35" s="85">
        <v>0.94199999999999995</v>
      </c>
    </row>
    <row r="36" spans="1:13" x14ac:dyDescent="0.25">
      <c r="A36" s="83">
        <v>64</v>
      </c>
      <c r="B36" s="85">
        <v>0.94599999999999995</v>
      </c>
      <c r="C36" s="85">
        <v>0.95099999999999996</v>
      </c>
      <c r="D36" s="85">
        <v>0.95499999999999996</v>
      </c>
      <c r="E36" s="85">
        <v>0.96</v>
      </c>
      <c r="F36" s="85">
        <v>0.96399999999999997</v>
      </c>
      <c r="G36" s="85">
        <v>0.96899999999999997</v>
      </c>
      <c r="H36" s="85">
        <v>0.97299999999999998</v>
      </c>
      <c r="I36" s="85">
        <v>0.97799999999999998</v>
      </c>
      <c r="J36" s="85">
        <v>0.98199999999999998</v>
      </c>
      <c r="K36" s="85">
        <v>0.98699999999999999</v>
      </c>
      <c r="L36" s="85">
        <v>0.99099999999999999</v>
      </c>
      <c r="M36" s="85">
        <v>0.996</v>
      </c>
    </row>
    <row r="43" spans="1:13" ht="39.6" customHeight="1" x14ac:dyDescent="0.25"/>
    <row r="45" spans="1:13" ht="27.6" customHeight="1" x14ac:dyDescent="0.25"/>
  </sheetData>
  <sheetProtection algorithmName="SHA-512" hashValue="mBbY1uoDi8FU62M5i7PoNhsqR/Fm5VoQ9Zq7nqB1BNxoh58rcfkSB16C7OgkMNqTsw9jbIaWFfsI67WTX+YyUQ==" saltValue="j/HswoDhQGQ0W/mAu1aZPg==" spinCount="100000" sheet="1" objects="1" scenarios="1"/>
  <conditionalFormatting sqref="A6:A21">
    <cfRule type="expression" dxfId="449" priority="9" stopIfTrue="1">
      <formula>MOD(ROW(),2)=0</formula>
    </cfRule>
    <cfRule type="expression" dxfId="448" priority="10" stopIfTrue="1">
      <formula>MOD(ROW(),2)&lt;&gt;0</formula>
    </cfRule>
  </conditionalFormatting>
  <conditionalFormatting sqref="A26:A36">
    <cfRule type="expression" dxfId="447" priority="7" stopIfTrue="1">
      <formula>MOD(ROW(),2)=0</formula>
    </cfRule>
    <cfRule type="expression" dxfId="446" priority="8" stopIfTrue="1">
      <formula>MOD(ROW(),2)&lt;&gt;0</formula>
    </cfRule>
  </conditionalFormatting>
  <conditionalFormatting sqref="B17:B21">
    <cfRule type="expression" dxfId="445" priority="1" stopIfTrue="1">
      <formula>MOD(ROW(),2)=0</formula>
    </cfRule>
    <cfRule type="expression" dxfId="444" priority="2" stopIfTrue="1">
      <formula>MOD(ROW(),2)&lt;&gt;0</formula>
    </cfRule>
  </conditionalFormatting>
  <conditionalFormatting sqref="B6:M21">
    <cfRule type="expression" dxfId="443" priority="19" stopIfTrue="1">
      <formula>MOD(ROW(),2)=0</formula>
    </cfRule>
    <cfRule type="expression" dxfId="442" priority="20" stopIfTrue="1">
      <formula>MOD(ROW(),2)&lt;&gt;0</formula>
    </cfRule>
  </conditionalFormatting>
  <conditionalFormatting sqref="B26:M36">
    <cfRule type="expression" dxfId="441" priority="15" stopIfTrue="1">
      <formula>MOD(ROW(),2)=0</formula>
    </cfRule>
    <cfRule type="expression" dxfId="440" priority="16" stopIfTrue="1">
      <formula>MOD(ROW(),2)&lt;&gt;0</formula>
    </cfRule>
  </conditionalFormatting>
  <conditionalFormatting sqref="C16:M16">
    <cfRule type="expression" dxfId="439" priority="3" stopIfTrue="1">
      <formula>MOD(ROW(),2)=0</formula>
    </cfRule>
    <cfRule type="expression" dxfId="4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5"/>
  <dimension ref="A1:M46"/>
  <sheetViews>
    <sheetView showGridLines="0" zoomScale="85" zoomScaleNormal="85" workbookViewId="0">
      <selection activeCell="A4" sqref="A4"/>
    </sheetView>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TABLE_FACTOR_TYPE_1&amp;" - x-"&amp;TABLE_SERIES_NUMBER_1</f>
        <v>ERF - x-402</v>
      </c>
      <c r="B3" s="43"/>
      <c r="C3" s="43"/>
      <c r="D3" s="43"/>
      <c r="E3" s="43"/>
      <c r="F3" s="43"/>
      <c r="G3" s="43"/>
      <c r="H3" s="43"/>
      <c r="I3" s="43"/>
    </row>
    <row r="4" spans="1:13" x14ac:dyDescent="0.25">
      <c r="A4" s="45"/>
    </row>
    <row r="6" spans="1:13" x14ac:dyDescent="0.25">
      <c r="A6" s="77" t="s">
        <v>558</v>
      </c>
      <c r="B6" s="152" t="s">
        <v>559</v>
      </c>
      <c r="C6" s="152"/>
      <c r="D6" s="152"/>
      <c r="E6" s="152"/>
      <c r="F6" s="152"/>
      <c r="G6" s="152"/>
      <c r="H6" s="152"/>
      <c r="I6" s="152"/>
      <c r="J6" s="152"/>
      <c r="K6" s="152"/>
      <c r="L6" s="152"/>
      <c r="M6" s="152"/>
    </row>
    <row r="7" spans="1:13" x14ac:dyDescent="0.25">
      <c r="A7" s="79" t="s">
        <v>305</v>
      </c>
      <c r="B7" s="152" t="s">
        <v>319</v>
      </c>
      <c r="C7" s="152"/>
      <c r="D7" s="152"/>
      <c r="E7" s="152"/>
      <c r="F7" s="152"/>
      <c r="G7" s="152"/>
      <c r="H7" s="152"/>
      <c r="I7" s="152"/>
      <c r="J7" s="152"/>
      <c r="K7" s="152"/>
      <c r="L7" s="152"/>
      <c r="M7" s="152"/>
    </row>
    <row r="8" spans="1:13" x14ac:dyDescent="0.25">
      <c r="A8" s="79" t="s">
        <v>306</v>
      </c>
      <c r="B8" s="152">
        <v>2015</v>
      </c>
      <c r="C8" s="152"/>
      <c r="D8" s="152"/>
      <c r="E8" s="152"/>
      <c r="F8" s="152"/>
      <c r="G8" s="152"/>
      <c r="H8" s="152"/>
      <c r="I8" s="152"/>
      <c r="J8" s="152"/>
      <c r="K8" s="152"/>
      <c r="L8" s="152"/>
      <c r="M8" s="152"/>
    </row>
    <row r="9" spans="1:13" x14ac:dyDescent="0.25">
      <c r="A9" s="79" t="s">
        <v>307</v>
      </c>
      <c r="B9" s="152" t="s">
        <v>437</v>
      </c>
      <c r="C9" s="152"/>
      <c r="D9" s="152"/>
      <c r="E9" s="152"/>
      <c r="F9" s="152"/>
      <c r="G9" s="152"/>
      <c r="H9" s="152"/>
      <c r="I9" s="152"/>
      <c r="J9" s="152"/>
      <c r="K9" s="152"/>
      <c r="L9" s="152"/>
      <c r="M9" s="152"/>
    </row>
    <row r="10" spans="1:13" ht="12.6" customHeight="1" x14ac:dyDescent="0.25">
      <c r="A10" s="79" t="s">
        <v>233</v>
      </c>
      <c r="B10" s="152" t="s">
        <v>441</v>
      </c>
      <c r="C10" s="152"/>
      <c r="D10" s="152"/>
      <c r="E10" s="152"/>
      <c r="F10" s="152"/>
      <c r="G10" s="152"/>
      <c r="H10" s="152"/>
      <c r="I10" s="152"/>
      <c r="J10" s="152"/>
      <c r="K10" s="152"/>
      <c r="L10" s="152"/>
      <c r="M10" s="152"/>
    </row>
    <row r="11" spans="1:13" x14ac:dyDescent="0.25">
      <c r="A11" s="79" t="s">
        <v>308</v>
      </c>
      <c r="B11" s="152" t="s">
        <v>404</v>
      </c>
      <c r="C11" s="152"/>
      <c r="D11" s="152"/>
      <c r="E11" s="152"/>
      <c r="F11" s="152"/>
      <c r="G11" s="152"/>
      <c r="H11" s="152"/>
      <c r="I11" s="152"/>
      <c r="J11" s="152"/>
      <c r="K11" s="152"/>
      <c r="L11" s="152"/>
      <c r="M11" s="152"/>
    </row>
    <row r="12" spans="1:13" x14ac:dyDescent="0.25">
      <c r="A12" s="79" t="s">
        <v>309</v>
      </c>
      <c r="B12" s="152" t="s">
        <v>442</v>
      </c>
      <c r="C12" s="152"/>
      <c r="D12" s="152"/>
      <c r="E12" s="152"/>
      <c r="F12" s="152"/>
      <c r="G12" s="152"/>
      <c r="H12" s="152"/>
      <c r="I12" s="152"/>
      <c r="J12" s="152"/>
      <c r="K12" s="152"/>
      <c r="L12" s="152"/>
      <c r="M12" s="152"/>
    </row>
    <row r="13" spans="1:13" ht="12.6" customHeight="1" x14ac:dyDescent="0.25">
      <c r="A13" s="79" t="s">
        <v>566</v>
      </c>
      <c r="B13" s="152">
        <v>0</v>
      </c>
      <c r="C13" s="152"/>
      <c r="D13" s="152"/>
      <c r="E13" s="152"/>
      <c r="F13" s="152"/>
      <c r="G13" s="152"/>
      <c r="H13" s="152"/>
      <c r="I13" s="152"/>
      <c r="J13" s="152"/>
      <c r="K13" s="152"/>
      <c r="L13" s="152"/>
      <c r="M13" s="152"/>
    </row>
    <row r="14" spans="1:13" ht="12.6" customHeight="1" x14ac:dyDescent="0.25">
      <c r="A14" s="79" t="s">
        <v>311</v>
      </c>
      <c r="B14" s="152">
        <v>402</v>
      </c>
      <c r="C14" s="152"/>
      <c r="D14" s="152"/>
      <c r="E14" s="152"/>
      <c r="F14" s="152"/>
      <c r="G14" s="152"/>
      <c r="H14" s="152"/>
      <c r="I14" s="152"/>
      <c r="J14" s="152"/>
      <c r="K14" s="152"/>
      <c r="L14" s="152"/>
      <c r="M14" s="152"/>
    </row>
    <row r="15" spans="1:13" x14ac:dyDescent="0.25">
      <c r="A15" s="79" t="s">
        <v>569</v>
      </c>
      <c r="B15" s="152" t="s">
        <v>443</v>
      </c>
      <c r="C15" s="152"/>
      <c r="D15" s="152"/>
      <c r="E15" s="152"/>
      <c r="F15" s="152"/>
      <c r="G15" s="152"/>
      <c r="H15" s="152"/>
      <c r="I15" s="152"/>
      <c r="J15" s="152"/>
      <c r="K15" s="152"/>
      <c r="L15" s="152"/>
      <c r="M15" s="152"/>
    </row>
    <row r="16" spans="1:13" x14ac:dyDescent="0.25">
      <c r="A16" s="79" t="s">
        <v>313</v>
      </c>
      <c r="B16" s="152" t="s">
        <v>440</v>
      </c>
      <c r="C16" s="152"/>
      <c r="D16" s="152"/>
      <c r="E16" s="152"/>
      <c r="F16" s="152"/>
      <c r="G16" s="152"/>
      <c r="H16" s="152"/>
      <c r="I16" s="152"/>
      <c r="J16" s="152"/>
      <c r="K16" s="152"/>
      <c r="L16" s="152"/>
      <c r="M16" s="152"/>
    </row>
    <row r="17" spans="1:13" ht="50.1" customHeight="1" x14ac:dyDescent="0.25">
      <c r="A17" s="79" t="s">
        <v>639</v>
      </c>
      <c r="B17" s="152"/>
      <c r="C17" s="152"/>
      <c r="D17" s="152"/>
      <c r="E17" s="152"/>
      <c r="F17" s="152"/>
      <c r="G17" s="152"/>
      <c r="H17" s="152"/>
      <c r="I17" s="152"/>
      <c r="J17" s="152"/>
      <c r="K17" s="152"/>
      <c r="L17" s="152"/>
      <c r="M17" s="152"/>
    </row>
    <row r="18" spans="1:13" x14ac:dyDescent="0.25">
      <c r="A18" s="79" t="s">
        <v>315</v>
      </c>
      <c r="B18" s="154">
        <v>45106</v>
      </c>
      <c r="C18" s="152"/>
      <c r="D18" s="152"/>
      <c r="E18" s="152"/>
      <c r="F18" s="152"/>
      <c r="G18" s="152"/>
      <c r="H18" s="152"/>
      <c r="I18" s="152"/>
      <c r="J18" s="152"/>
      <c r="K18" s="152"/>
      <c r="L18" s="152"/>
      <c r="M18" s="152"/>
    </row>
    <row r="19" spans="1:13" x14ac:dyDescent="0.25">
      <c r="A19" s="79" t="s">
        <v>316</v>
      </c>
      <c r="B19" s="154">
        <v>45106</v>
      </c>
      <c r="C19" s="152"/>
      <c r="D19" s="152"/>
      <c r="E19" s="152"/>
      <c r="F19" s="152"/>
      <c r="G19" s="152"/>
      <c r="H19" s="152"/>
      <c r="I19" s="152"/>
      <c r="J19" s="152"/>
      <c r="K19" s="152"/>
      <c r="L19" s="152"/>
      <c r="M19" s="152"/>
    </row>
    <row r="20" spans="1:13" x14ac:dyDescent="0.25">
      <c r="A20" s="79" t="s">
        <v>317</v>
      </c>
      <c r="B20" s="152" t="s">
        <v>326</v>
      </c>
      <c r="C20" s="152"/>
      <c r="D20" s="152"/>
      <c r="E20" s="152"/>
      <c r="F20" s="152"/>
      <c r="G20" s="152"/>
      <c r="H20" s="152"/>
      <c r="I20" s="152"/>
      <c r="J20" s="152"/>
      <c r="K20" s="152"/>
      <c r="L20" s="152"/>
      <c r="M20" s="152"/>
    </row>
    <row r="21" spans="1:13" x14ac:dyDescent="0.25">
      <c r="A21" s="79" t="s">
        <v>318</v>
      </c>
      <c r="B21" s="152" t="s">
        <v>327</v>
      </c>
      <c r="C21" s="152"/>
      <c r="D21" s="152"/>
      <c r="E21" s="152"/>
      <c r="F21" s="152"/>
      <c r="G21" s="152"/>
      <c r="H21" s="152"/>
      <c r="I21" s="152"/>
      <c r="J21" s="152"/>
      <c r="K21" s="152"/>
      <c r="L21" s="152"/>
      <c r="M21" s="152"/>
    </row>
    <row r="23" spans="1:13" x14ac:dyDescent="0.25">
      <c r="B23" s="96" t="str">
        <f>HYPERLINK("#'Factor List'!A1","Back to Factor List")</f>
        <v>Back to Factor List</v>
      </c>
    </row>
    <row r="24" spans="1:13" x14ac:dyDescent="0.25">
      <c r="B24" s="96" t="str">
        <f>HYPERLINK("#'Assumptions'!A1","Assumptions")</f>
        <v>Assumptions</v>
      </c>
    </row>
    <row r="26" spans="1:13" x14ac:dyDescent="0.25">
      <c r="A26" s="86" t="s">
        <v>668</v>
      </c>
      <c r="B26" s="82">
        <v>0</v>
      </c>
      <c r="C26" s="82">
        <v>1</v>
      </c>
      <c r="D26" s="82">
        <v>2</v>
      </c>
      <c r="E26" s="82">
        <v>3</v>
      </c>
      <c r="F26" s="82">
        <v>4</v>
      </c>
      <c r="G26" s="82">
        <v>5</v>
      </c>
      <c r="H26" s="82">
        <v>6</v>
      </c>
      <c r="I26" s="82">
        <v>7</v>
      </c>
      <c r="J26" s="82">
        <v>8</v>
      </c>
      <c r="K26" s="82">
        <v>9</v>
      </c>
      <c r="L26" s="82">
        <v>10</v>
      </c>
      <c r="M26" s="82">
        <v>11</v>
      </c>
    </row>
    <row r="27" spans="1:13" x14ac:dyDescent="0.25">
      <c r="A27" s="83">
        <v>5</v>
      </c>
      <c r="B27" s="85">
        <v>0.873</v>
      </c>
      <c r="C27" s="87" t="s">
        <v>479</v>
      </c>
      <c r="D27" s="87" t="s">
        <v>479</v>
      </c>
      <c r="E27" s="87" t="s">
        <v>479</v>
      </c>
      <c r="F27" s="87" t="s">
        <v>479</v>
      </c>
      <c r="G27" s="87" t="s">
        <v>479</v>
      </c>
      <c r="H27" s="87" t="s">
        <v>479</v>
      </c>
      <c r="I27" s="87" t="s">
        <v>479</v>
      </c>
      <c r="J27" s="87" t="s">
        <v>479</v>
      </c>
      <c r="K27" s="87" t="s">
        <v>479</v>
      </c>
      <c r="L27" s="87" t="s">
        <v>479</v>
      </c>
      <c r="M27" s="87" t="s">
        <v>479</v>
      </c>
    </row>
    <row r="28" spans="1:13" x14ac:dyDescent="0.25">
      <c r="A28" s="83">
        <v>4</v>
      </c>
      <c r="B28" s="85">
        <v>0.89500000000000002</v>
      </c>
      <c r="C28" s="85">
        <v>0.89300000000000002</v>
      </c>
      <c r="D28" s="85">
        <v>0.89100000000000001</v>
      </c>
      <c r="E28" s="85">
        <v>0.88900000000000001</v>
      </c>
      <c r="F28" s="85">
        <v>0.88700000000000001</v>
      </c>
      <c r="G28" s="85">
        <v>0.88500000000000001</v>
      </c>
      <c r="H28" s="85">
        <v>0.88400000000000001</v>
      </c>
      <c r="I28" s="85">
        <v>0.88200000000000001</v>
      </c>
      <c r="J28" s="85">
        <v>0.88</v>
      </c>
      <c r="K28" s="85">
        <v>0.878</v>
      </c>
      <c r="L28" s="85">
        <v>0.876</v>
      </c>
      <c r="M28" s="85">
        <v>0.875</v>
      </c>
    </row>
    <row r="29" spans="1:13" x14ac:dyDescent="0.25">
      <c r="A29" s="83">
        <v>3</v>
      </c>
      <c r="B29" s="85">
        <v>0.91800000000000004</v>
      </c>
      <c r="C29" s="85">
        <v>0.91600000000000004</v>
      </c>
      <c r="D29" s="85">
        <v>0.91400000000000003</v>
      </c>
      <c r="E29" s="85">
        <v>0.91200000000000003</v>
      </c>
      <c r="F29" s="85">
        <v>0.91</v>
      </c>
      <c r="G29" s="85">
        <v>0.90800000000000003</v>
      </c>
      <c r="H29" s="85">
        <v>0.90600000000000003</v>
      </c>
      <c r="I29" s="85">
        <v>0.90400000000000003</v>
      </c>
      <c r="J29" s="85">
        <v>0.90200000000000002</v>
      </c>
      <c r="K29" s="85">
        <v>0.9</v>
      </c>
      <c r="L29" s="85">
        <v>0.89800000000000002</v>
      </c>
      <c r="M29" s="85">
        <v>0.89600000000000002</v>
      </c>
    </row>
    <row r="30" spans="1:13" x14ac:dyDescent="0.25">
      <c r="A30" s="83">
        <v>2</v>
      </c>
      <c r="B30" s="85">
        <v>0.94299999999999995</v>
      </c>
      <c r="C30" s="85">
        <v>0.94099999999999995</v>
      </c>
      <c r="D30" s="85">
        <v>0.93899999999999995</v>
      </c>
      <c r="E30" s="85">
        <v>0.93700000000000006</v>
      </c>
      <c r="F30" s="85">
        <v>0.93500000000000005</v>
      </c>
      <c r="G30" s="85">
        <v>0.93300000000000005</v>
      </c>
      <c r="H30" s="85">
        <v>0.93100000000000005</v>
      </c>
      <c r="I30" s="85">
        <v>0.92900000000000005</v>
      </c>
      <c r="J30" s="85">
        <v>0.92600000000000005</v>
      </c>
      <c r="K30" s="85">
        <v>0.92400000000000004</v>
      </c>
      <c r="L30" s="85">
        <v>0.92200000000000004</v>
      </c>
      <c r="M30" s="85">
        <v>0.92</v>
      </c>
    </row>
    <row r="31" spans="1:13" x14ac:dyDescent="0.25">
      <c r="A31" s="83">
        <v>1</v>
      </c>
      <c r="B31" s="85">
        <v>0.97099999999999997</v>
      </c>
      <c r="C31" s="85">
        <v>0.96799999999999997</v>
      </c>
      <c r="D31" s="85">
        <v>0.96599999999999997</v>
      </c>
      <c r="E31" s="85">
        <v>0.96399999999999997</v>
      </c>
      <c r="F31" s="85">
        <v>0.96099999999999997</v>
      </c>
      <c r="G31" s="85">
        <v>0.95899999999999996</v>
      </c>
      <c r="H31" s="85">
        <v>0.95699999999999996</v>
      </c>
      <c r="I31" s="85">
        <v>0.95499999999999996</v>
      </c>
      <c r="J31" s="85">
        <v>0.95199999999999996</v>
      </c>
      <c r="K31" s="85">
        <v>0.95</v>
      </c>
      <c r="L31" s="85">
        <v>0.94799999999999995</v>
      </c>
      <c r="M31" s="85">
        <v>0.94599999999999995</v>
      </c>
    </row>
    <row r="32" spans="1:13" x14ac:dyDescent="0.25">
      <c r="A32" s="83">
        <v>0</v>
      </c>
      <c r="B32" s="87" t="s">
        <v>479</v>
      </c>
      <c r="C32" s="85">
        <v>0.998</v>
      </c>
      <c r="D32" s="85">
        <v>0.995</v>
      </c>
      <c r="E32" s="85">
        <v>0.99299999999999999</v>
      </c>
      <c r="F32" s="85">
        <v>0.99</v>
      </c>
      <c r="G32" s="85">
        <v>0.98799999999999999</v>
      </c>
      <c r="H32" s="85">
        <v>0.98499999999999999</v>
      </c>
      <c r="I32" s="85">
        <v>0.98299999999999998</v>
      </c>
      <c r="J32" s="85">
        <v>0.98</v>
      </c>
      <c r="K32" s="85">
        <v>0.97799999999999998</v>
      </c>
      <c r="L32" s="85">
        <v>0.97499999999999998</v>
      </c>
      <c r="M32" s="85">
        <v>0.97299999999999998</v>
      </c>
    </row>
    <row r="44" ht="39.6" customHeight="1" x14ac:dyDescent="0.25"/>
    <row r="46" ht="27.6" customHeight="1" x14ac:dyDescent="0.25"/>
  </sheetData>
  <sheetProtection algorithmName="SHA-512" hashValue="TQjbiF++wWDuKzcvl9X5dHzJjxMzndSkSjctHjX9cXXdPfEtxZ+L6G3zk+k50Ib1VUjF963a4wgQ0zy3y+Md9A==" saltValue="2oyEkwi+l77XOYG4fEwH6A==" spinCount="100000" sheet="1" objects="1" scenarios="1"/>
  <conditionalFormatting sqref="A6:A21">
    <cfRule type="expression" dxfId="437" priority="11" stopIfTrue="1">
      <formula>MOD(ROW(),2)=0</formula>
    </cfRule>
    <cfRule type="expression" dxfId="436" priority="12" stopIfTrue="1">
      <formula>MOD(ROW(),2)&lt;&gt;0</formula>
    </cfRule>
  </conditionalFormatting>
  <conditionalFormatting sqref="A26:A32">
    <cfRule type="expression" dxfId="435" priority="9" stopIfTrue="1">
      <formula>MOD(ROW(),2)=0</formula>
    </cfRule>
    <cfRule type="expression" dxfId="434" priority="10" stopIfTrue="1">
      <formula>MOD(ROW(),2)&lt;&gt;0</formula>
    </cfRule>
  </conditionalFormatting>
  <conditionalFormatting sqref="B16:B21">
    <cfRule type="expression" dxfId="433" priority="1" stopIfTrue="1">
      <formula>MOD(ROW(),2)=0</formula>
    </cfRule>
    <cfRule type="expression" dxfId="432" priority="2" stopIfTrue="1">
      <formula>MOD(ROW(),2)&lt;&gt;0</formula>
    </cfRule>
  </conditionalFormatting>
  <conditionalFormatting sqref="B6:M21">
    <cfRule type="expression" dxfId="431" priority="21" stopIfTrue="1">
      <formula>MOD(ROW(),2)=0</formula>
    </cfRule>
    <cfRule type="expression" dxfId="430" priority="22" stopIfTrue="1">
      <formula>MOD(ROW(),2)&lt;&gt;0</formula>
    </cfRule>
  </conditionalFormatting>
  <conditionalFormatting sqref="B26:M32">
    <cfRule type="expression" dxfId="429" priority="17" stopIfTrue="1">
      <formula>MOD(ROW(),2)=0</formula>
    </cfRule>
    <cfRule type="expression" dxfId="428" priority="18" stopIfTrue="1">
      <formula>MOD(ROW(),2)&lt;&gt;0</formula>
    </cfRule>
  </conditionalFormatting>
  <conditionalFormatting sqref="C16:M16">
    <cfRule type="expression" dxfId="427" priority="3" stopIfTrue="1">
      <formula>MOD(ROW(),2)=0</formula>
    </cfRule>
    <cfRule type="expression" dxfId="4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6"/>
  <dimension ref="A1:M47"/>
  <sheetViews>
    <sheetView showGridLines="0" zoomScale="85" zoomScaleNormal="85" workbookViewId="0">
      <selection activeCell="A4" sqref="A4"/>
    </sheetView>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TABLE_FACTOR_TYPE_1&amp;" - x-"&amp;TABLE_SERIES_NUMBER_1</f>
        <v>ERF - x-403</v>
      </c>
      <c r="B3" s="43"/>
      <c r="C3" s="43"/>
      <c r="D3" s="43"/>
      <c r="E3" s="43"/>
      <c r="F3" s="43"/>
      <c r="G3" s="43"/>
      <c r="H3" s="43"/>
      <c r="I3" s="43"/>
    </row>
    <row r="4" spans="1:13" x14ac:dyDescent="0.25">
      <c r="A4" s="45"/>
    </row>
    <row r="6" spans="1:13" x14ac:dyDescent="0.25">
      <c r="A6" s="77" t="s">
        <v>558</v>
      </c>
      <c r="B6" s="152" t="s">
        <v>559</v>
      </c>
      <c r="C6" s="152"/>
      <c r="D6" s="152"/>
      <c r="E6" s="152"/>
      <c r="F6" s="152"/>
      <c r="G6" s="152"/>
      <c r="H6" s="152"/>
      <c r="I6" s="152"/>
      <c r="J6" s="152"/>
      <c r="K6" s="152"/>
      <c r="L6" s="152"/>
      <c r="M6" s="152"/>
    </row>
    <row r="7" spans="1:13" x14ac:dyDescent="0.25">
      <c r="A7" s="79" t="s">
        <v>305</v>
      </c>
      <c r="B7" s="152" t="s">
        <v>319</v>
      </c>
      <c r="C7" s="152"/>
      <c r="D7" s="152"/>
      <c r="E7" s="152"/>
      <c r="F7" s="152"/>
      <c r="G7" s="152"/>
      <c r="H7" s="152"/>
      <c r="I7" s="152"/>
      <c r="J7" s="152"/>
      <c r="K7" s="152"/>
      <c r="L7" s="152"/>
      <c r="M7" s="152"/>
    </row>
    <row r="8" spans="1:13" x14ac:dyDescent="0.25">
      <c r="A8" s="79" t="s">
        <v>306</v>
      </c>
      <c r="B8" s="152">
        <v>2015</v>
      </c>
      <c r="C8" s="152"/>
      <c r="D8" s="152"/>
      <c r="E8" s="152"/>
      <c r="F8" s="152"/>
      <c r="G8" s="152"/>
      <c r="H8" s="152"/>
      <c r="I8" s="152"/>
      <c r="J8" s="152"/>
      <c r="K8" s="152"/>
      <c r="L8" s="152"/>
      <c r="M8" s="152"/>
    </row>
    <row r="9" spans="1:13" x14ac:dyDescent="0.25">
      <c r="A9" s="79" t="s">
        <v>307</v>
      </c>
      <c r="B9" s="152" t="s">
        <v>437</v>
      </c>
      <c r="C9" s="152"/>
      <c r="D9" s="152"/>
      <c r="E9" s="152"/>
      <c r="F9" s="152"/>
      <c r="G9" s="152"/>
      <c r="H9" s="152"/>
      <c r="I9" s="152"/>
      <c r="J9" s="152"/>
      <c r="K9" s="152"/>
      <c r="L9" s="152"/>
      <c r="M9" s="152"/>
    </row>
    <row r="10" spans="1:13" ht="12.6" customHeight="1" x14ac:dyDescent="0.25">
      <c r="A10" s="79" t="s">
        <v>233</v>
      </c>
      <c r="B10" s="152" t="s">
        <v>444</v>
      </c>
      <c r="C10" s="152"/>
      <c r="D10" s="152"/>
      <c r="E10" s="152"/>
      <c r="F10" s="152"/>
      <c r="G10" s="152"/>
      <c r="H10" s="152"/>
      <c r="I10" s="152"/>
      <c r="J10" s="152"/>
      <c r="K10" s="152"/>
      <c r="L10" s="152"/>
      <c r="M10" s="152"/>
    </row>
    <row r="11" spans="1:13" x14ac:dyDescent="0.25">
      <c r="A11" s="79" t="s">
        <v>308</v>
      </c>
      <c r="B11" s="152" t="s">
        <v>404</v>
      </c>
      <c r="C11" s="152"/>
      <c r="D11" s="152"/>
      <c r="E11" s="152"/>
      <c r="F11" s="152"/>
      <c r="G11" s="152"/>
      <c r="H11" s="152"/>
      <c r="I11" s="152"/>
      <c r="J11" s="152"/>
      <c r="K11" s="152"/>
      <c r="L11" s="152"/>
      <c r="M11" s="152"/>
    </row>
    <row r="12" spans="1:13" x14ac:dyDescent="0.25">
      <c r="A12" s="79" t="s">
        <v>309</v>
      </c>
      <c r="B12" s="152" t="s">
        <v>442</v>
      </c>
      <c r="C12" s="152"/>
      <c r="D12" s="152"/>
      <c r="E12" s="152"/>
      <c r="F12" s="152"/>
      <c r="G12" s="152"/>
      <c r="H12" s="152"/>
      <c r="I12" s="152"/>
      <c r="J12" s="152"/>
      <c r="K12" s="152"/>
      <c r="L12" s="152"/>
      <c r="M12" s="152"/>
    </row>
    <row r="13" spans="1:13" ht="12.6" customHeight="1" x14ac:dyDescent="0.25">
      <c r="A13" s="79" t="s">
        <v>566</v>
      </c>
      <c r="B13" s="152">
        <v>0</v>
      </c>
      <c r="C13" s="152"/>
      <c r="D13" s="152"/>
      <c r="E13" s="152"/>
      <c r="F13" s="152"/>
      <c r="G13" s="152"/>
      <c r="H13" s="152"/>
      <c r="I13" s="152"/>
      <c r="J13" s="152"/>
      <c r="K13" s="152"/>
      <c r="L13" s="152"/>
      <c r="M13" s="152"/>
    </row>
    <row r="14" spans="1:13" ht="12.6" customHeight="1" x14ac:dyDescent="0.25">
      <c r="A14" s="79" t="s">
        <v>311</v>
      </c>
      <c r="B14" s="152">
        <v>403</v>
      </c>
      <c r="C14" s="152"/>
      <c r="D14" s="152"/>
      <c r="E14" s="152"/>
      <c r="F14" s="152"/>
      <c r="G14" s="152"/>
      <c r="H14" s="152"/>
      <c r="I14" s="152"/>
      <c r="J14" s="152"/>
      <c r="K14" s="152"/>
      <c r="L14" s="152"/>
      <c r="M14" s="152"/>
    </row>
    <row r="15" spans="1:13" x14ac:dyDescent="0.25">
      <c r="A15" s="79" t="s">
        <v>569</v>
      </c>
      <c r="B15" s="152" t="s">
        <v>445</v>
      </c>
      <c r="C15" s="152"/>
      <c r="D15" s="152"/>
      <c r="E15" s="152"/>
      <c r="F15" s="152"/>
      <c r="G15" s="152"/>
      <c r="H15" s="152"/>
      <c r="I15" s="152"/>
      <c r="J15" s="152"/>
      <c r="K15" s="152"/>
      <c r="L15" s="152"/>
      <c r="M15" s="152"/>
    </row>
    <row r="16" spans="1:13" x14ac:dyDescent="0.25">
      <c r="A16" s="79" t="s">
        <v>313</v>
      </c>
      <c r="B16" s="152" t="s">
        <v>446</v>
      </c>
      <c r="C16" s="152"/>
      <c r="D16" s="152"/>
      <c r="E16" s="152"/>
      <c r="F16" s="152"/>
      <c r="G16" s="152"/>
      <c r="H16" s="152"/>
      <c r="I16" s="152"/>
      <c r="J16" s="152"/>
      <c r="K16" s="152"/>
      <c r="L16" s="152"/>
      <c r="M16" s="152"/>
    </row>
    <row r="17" spans="1:13" ht="52.5" customHeight="1" x14ac:dyDescent="0.25">
      <c r="A17" s="79" t="s">
        <v>639</v>
      </c>
      <c r="B17" s="152"/>
      <c r="C17" s="152"/>
      <c r="D17" s="152"/>
      <c r="E17" s="152"/>
      <c r="F17" s="152"/>
      <c r="G17" s="152"/>
      <c r="H17" s="152"/>
      <c r="I17" s="152"/>
      <c r="J17" s="152"/>
      <c r="K17" s="152"/>
      <c r="L17" s="152"/>
      <c r="M17" s="152"/>
    </row>
    <row r="18" spans="1:13" x14ac:dyDescent="0.25">
      <c r="A18" s="79" t="s">
        <v>315</v>
      </c>
      <c r="B18" s="154">
        <v>45106</v>
      </c>
      <c r="C18" s="152"/>
      <c r="D18" s="152"/>
      <c r="E18" s="152"/>
      <c r="F18" s="152"/>
      <c r="G18" s="152"/>
      <c r="H18" s="152"/>
      <c r="I18" s="152"/>
      <c r="J18" s="152"/>
      <c r="K18" s="152"/>
      <c r="L18" s="152"/>
      <c r="M18" s="152"/>
    </row>
    <row r="19" spans="1:13" x14ac:dyDescent="0.25">
      <c r="A19" s="79" t="s">
        <v>316</v>
      </c>
      <c r="B19" s="154">
        <v>45106</v>
      </c>
      <c r="C19" s="152"/>
      <c r="D19" s="152"/>
      <c r="E19" s="152"/>
      <c r="F19" s="152"/>
      <c r="G19" s="152"/>
      <c r="H19" s="152"/>
      <c r="I19" s="152"/>
      <c r="J19" s="152"/>
      <c r="K19" s="152"/>
      <c r="L19" s="152"/>
      <c r="M19" s="152"/>
    </row>
    <row r="20" spans="1:13" x14ac:dyDescent="0.25">
      <c r="A20" s="79" t="s">
        <v>317</v>
      </c>
      <c r="B20" s="152" t="s">
        <v>326</v>
      </c>
      <c r="C20" s="152"/>
      <c r="D20" s="152"/>
      <c r="E20" s="152"/>
      <c r="F20" s="152"/>
      <c r="G20" s="152"/>
      <c r="H20" s="152"/>
      <c r="I20" s="152"/>
      <c r="J20" s="152"/>
      <c r="K20" s="152"/>
      <c r="L20" s="152"/>
      <c r="M20" s="152"/>
    </row>
    <row r="21" spans="1:13" x14ac:dyDescent="0.25">
      <c r="A21" s="79" t="s">
        <v>318</v>
      </c>
      <c r="B21" s="152" t="s">
        <v>327</v>
      </c>
      <c r="C21" s="152"/>
      <c r="D21" s="152"/>
      <c r="E21" s="152"/>
      <c r="F21" s="152"/>
      <c r="G21" s="152"/>
      <c r="H21" s="152"/>
      <c r="I21" s="152"/>
      <c r="J21" s="152"/>
      <c r="K21" s="152"/>
      <c r="L21" s="152"/>
      <c r="M21" s="152"/>
    </row>
    <row r="23" spans="1:13" x14ac:dyDescent="0.25">
      <c r="B23" s="96" t="str">
        <f>HYPERLINK("#'Factor List'!A1","Back to Factor List")</f>
        <v>Back to Factor List</v>
      </c>
    </row>
    <row r="24" spans="1:13" x14ac:dyDescent="0.25">
      <c r="B24" s="96" t="str">
        <f>HYPERLINK("#'Assumptions'!A1","Assumptions")</f>
        <v>Assumptions</v>
      </c>
    </row>
    <row r="26" spans="1:13" x14ac:dyDescent="0.25">
      <c r="A26" s="86" t="s">
        <v>668</v>
      </c>
      <c r="B26" s="82">
        <v>0</v>
      </c>
      <c r="C26" s="82">
        <v>1</v>
      </c>
      <c r="D26" s="82">
        <v>2</v>
      </c>
      <c r="E26" s="82">
        <v>3</v>
      </c>
      <c r="F26" s="82">
        <v>4</v>
      </c>
      <c r="G26" s="82">
        <v>5</v>
      </c>
      <c r="H26" s="82">
        <v>6</v>
      </c>
      <c r="I26" s="82">
        <v>7</v>
      </c>
      <c r="J26" s="82">
        <v>8</v>
      </c>
      <c r="K26" s="82">
        <v>9</v>
      </c>
      <c r="L26" s="82">
        <v>10</v>
      </c>
      <c r="M26" s="82">
        <v>11</v>
      </c>
    </row>
    <row r="27" spans="1:13" x14ac:dyDescent="0.25">
      <c r="A27" s="108">
        <v>13</v>
      </c>
      <c r="B27" s="109">
        <v>0.53200000000000003</v>
      </c>
      <c r="C27" s="91"/>
      <c r="D27" s="91"/>
      <c r="E27" s="91"/>
      <c r="F27" s="91"/>
      <c r="G27" s="91"/>
      <c r="H27" s="91"/>
      <c r="I27" s="91"/>
      <c r="J27" s="91"/>
      <c r="K27" s="91"/>
      <c r="L27" s="91"/>
      <c r="M27" s="91"/>
    </row>
    <row r="28" spans="1:13" x14ac:dyDescent="0.25">
      <c r="A28" s="83">
        <v>12</v>
      </c>
      <c r="B28" s="85">
        <v>0.55400000000000005</v>
      </c>
      <c r="C28" s="87">
        <v>0.55200000000000005</v>
      </c>
      <c r="D28" s="87">
        <v>0.55000000000000004</v>
      </c>
      <c r="E28" s="87">
        <v>0.54800000000000004</v>
      </c>
      <c r="F28" s="87">
        <v>0.54600000000000004</v>
      </c>
      <c r="G28" s="87">
        <v>0.54500000000000004</v>
      </c>
      <c r="H28" s="87">
        <v>0.54300000000000004</v>
      </c>
      <c r="I28" s="87">
        <v>0.54100000000000004</v>
      </c>
      <c r="J28" s="87">
        <v>0.53900000000000003</v>
      </c>
      <c r="K28" s="87">
        <v>0.53700000000000003</v>
      </c>
      <c r="L28" s="87">
        <v>0.53600000000000003</v>
      </c>
      <c r="M28" s="87">
        <v>0.53400000000000003</v>
      </c>
    </row>
    <row r="29" spans="1:13" x14ac:dyDescent="0.25">
      <c r="A29" s="83">
        <v>11</v>
      </c>
      <c r="B29" s="85">
        <v>0.57699999999999996</v>
      </c>
      <c r="C29" s="85">
        <v>0.57499999999999996</v>
      </c>
      <c r="D29" s="85">
        <v>0.57299999999999995</v>
      </c>
      <c r="E29" s="85">
        <v>0.57099999999999995</v>
      </c>
      <c r="F29" s="85">
        <v>0.56899999999999995</v>
      </c>
      <c r="G29" s="85">
        <v>0.56699999999999995</v>
      </c>
      <c r="H29" s="85">
        <v>0.56499999999999995</v>
      </c>
      <c r="I29" s="85">
        <v>0.56299999999999994</v>
      </c>
      <c r="J29" s="85">
        <v>0.56100000000000005</v>
      </c>
      <c r="K29" s="85">
        <v>0.55900000000000005</v>
      </c>
      <c r="L29" s="85">
        <v>0.55800000000000005</v>
      </c>
      <c r="M29" s="85">
        <v>0.55600000000000005</v>
      </c>
    </row>
    <row r="30" spans="1:13" x14ac:dyDescent="0.25">
      <c r="A30" s="83">
        <v>10</v>
      </c>
      <c r="B30" s="85">
        <v>0.60199999999999998</v>
      </c>
      <c r="C30" s="85">
        <v>0.6</v>
      </c>
      <c r="D30" s="85">
        <v>0.59799999999999998</v>
      </c>
      <c r="E30" s="85">
        <v>0.59599999999999997</v>
      </c>
      <c r="F30" s="85">
        <v>0.59399999999999997</v>
      </c>
      <c r="G30" s="85">
        <v>0.59099999999999997</v>
      </c>
      <c r="H30" s="85">
        <v>0.58899999999999997</v>
      </c>
      <c r="I30" s="85">
        <v>0.58699999999999997</v>
      </c>
      <c r="J30" s="85">
        <v>0.58499999999999996</v>
      </c>
      <c r="K30" s="85">
        <v>0.58299999999999996</v>
      </c>
      <c r="L30" s="85">
        <v>0.58099999999999996</v>
      </c>
      <c r="M30" s="85">
        <v>0.57899999999999996</v>
      </c>
    </row>
    <row r="31" spans="1:13" x14ac:dyDescent="0.25">
      <c r="A31" s="83">
        <v>9</v>
      </c>
      <c r="B31" s="85">
        <v>0.629</v>
      </c>
      <c r="C31" s="85">
        <v>0.626</v>
      </c>
      <c r="D31" s="85">
        <v>0.624</v>
      </c>
      <c r="E31" s="85">
        <v>0.622</v>
      </c>
      <c r="F31" s="85">
        <v>0.62</v>
      </c>
      <c r="G31" s="85">
        <v>0.61699999999999999</v>
      </c>
      <c r="H31" s="85">
        <v>0.61499999999999999</v>
      </c>
      <c r="I31" s="85">
        <v>0.61299999999999999</v>
      </c>
      <c r="J31" s="85">
        <v>0.61099999999999999</v>
      </c>
      <c r="K31" s="85">
        <v>0.60899999999999999</v>
      </c>
      <c r="L31" s="85">
        <v>0.60599999999999998</v>
      </c>
      <c r="M31" s="85">
        <v>0.60399999999999998</v>
      </c>
    </row>
    <row r="32" spans="1:13" x14ac:dyDescent="0.25">
      <c r="A32" s="83">
        <v>8</v>
      </c>
      <c r="B32" s="85">
        <v>0.65800000000000003</v>
      </c>
      <c r="C32" s="85">
        <v>0.65500000000000003</v>
      </c>
      <c r="D32" s="85">
        <v>0.65300000000000002</v>
      </c>
      <c r="E32" s="85">
        <v>0.65</v>
      </c>
      <c r="F32" s="85">
        <v>0.64800000000000002</v>
      </c>
      <c r="G32" s="85">
        <v>0.64600000000000002</v>
      </c>
      <c r="H32" s="85">
        <v>0.64300000000000002</v>
      </c>
      <c r="I32" s="85">
        <v>0.64100000000000001</v>
      </c>
      <c r="J32" s="85">
        <v>0.63800000000000001</v>
      </c>
      <c r="K32" s="85">
        <v>0.63600000000000001</v>
      </c>
      <c r="L32" s="85">
        <v>0.63300000000000001</v>
      </c>
      <c r="M32" s="85">
        <v>0.63100000000000001</v>
      </c>
    </row>
    <row r="33" spans="1:13" x14ac:dyDescent="0.25">
      <c r="A33" s="83">
        <v>7</v>
      </c>
      <c r="B33" s="85">
        <v>0.68899999999999995</v>
      </c>
      <c r="C33" s="85">
        <v>0.68600000000000005</v>
      </c>
      <c r="D33" s="85">
        <v>0.68400000000000005</v>
      </c>
      <c r="E33" s="85">
        <v>0.68100000000000005</v>
      </c>
      <c r="F33" s="85">
        <v>0.67800000000000005</v>
      </c>
      <c r="G33" s="85">
        <v>0.67600000000000005</v>
      </c>
      <c r="H33" s="85">
        <v>0.67300000000000004</v>
      </c>
      <c r="I33" s="85">
        <v>0.67100000000000004</v>
      </c>
      <c r="J33" s="85">
        <v>0.66800000000000004</v>
      </c>
      <c r="K33" s="85">
        <v>0.66500000000000004</v>
      </c>
      <c r="L33" s="85">
        <v>0.66300000000000003</v>
      </c>
      <c r="M33" s="85">
        <v>0.66</v>
      </c>
    </row>
    <row r="34" spans="1:13" x14ac:dyDescent="0.25">
      <c r="A34" s="83">
        <v>6</v>
      </c>
      <c r="B34" s="85">
        <v>0.72199999999999998</v>
      </c>
      <c r="C34" s="85">
        <v>0.72</v>
      </c>
      <c r="D34" s="85">
        <v>0.71699999999999997</v>
      </c>
      <c r="E34" s="85">
        <v>0.71399999999999997</v>
      </c>
      <c r="F34" s="85">
        <v>0.71099999999999997</v>
      </c>
      <c r="G34" s="85">
        <v>0.70799999999999996</v>
      </c>
      <c r="H34" s="85">
        <v>0.70599999999999996</v>
      </c>
      <c r="I34" s="85">
        <v>0.70299999999999996</v>
      </c>
      <c r="J34" s="85">
        <v>0.7</v>
      </c>
      <c r="K34" s="85">
        <v>0.69699999999999995</v>
      </c>
      <c r="L34" s="85">
        <v>0.69399999999999995</v>
      </c>
      <c r="M34" s="85">
        <v>0.69199999999999995</v>
      </c>
    </row>
    <row r="35" spans="1:13" x14ac:dyDescent="0.25">
      <c r="A35" s="83">
        <v>5</v>
      </c>
      <c r="B35" s="85">
        <v>0.75900000000000001</v>
      </c>
      <c r="C35" s="85">
        <v>0.75600000000000001</v>
      </c>
      <c r="D35" s="85">
        <v>0.753</v>
      </c>
      <c r="E35" s="85">
        <v>0.75</v>
      </c>
      <c r="F35" s="85">
        <v>0.747</v>
      </c>
      <c r="G35" s="85">
        <v>0.74399999999999999</v>
      </c>
      <c r="H35" s="85">
        <v>0.74099999999999999</v>
      </c>
      <c r="I35" s="85">
        <v>0.73799999999999999</v>
      </c>
      <c r="J35" s="85">
        <v>0.73499999999999999</v>
      </c>
      <c r="K35" s="85">
        <v>0.73199999999999998</v>
      </c>
      <c r="L35" s="85">
        <v>0.72899999999999998</v>
      </c>
      <c r="M35" s="85">
        <v>0.72499999999999998</v>
      </c>
    </row>
    <row r="36" spans="1:13" x14ac:dyDescent="0.25">
      <c r="A36" s="83">
        <v>4</v>
      </c>
      <c r="B36" s="85">
        <v>0.79900000000000004</v>
      </c>
      <c r="C36" s="85">
        <v>0.79600000000000004</v>
      </c>
      <c r="D36" s="85">
        <v>0.79200000000000004</v>
      </c>
      <c r="E36" s="85">
        <v>0.78900000000000003</v>
      </c>
      <c r="F36" s="85">
        <v>0.78600000000000003</v>
      </c>
      <c r="G36" s="85">
        <v>0.78200000000000003</v>
      </c>
      <c r="H36" s="85">
        <v>0.77900000000000003</v>
      </c>
      <c r="I36" s="85">
        <v>0.77600000000000002</v>
      </c>
      <c r="J36" s="85">
        <v>0.77200000000000002</v>
      </c>
      <c r="K36" s="85">
        <v>0.76900000000000002</v>
      </c>
      <c r="L36" s="85">
        <v>0.76600000000000001</v>
      </c>
      <c r="M36" s="85">
        <v>0.76200000000000001</v>
      </c>
    </row>
    <row r="37" spans="1:13" x14ac:dyDescent="0.25">
      <c r="A37" s="83">
        <v>3</v>
      </c>
      <c r="B37" s="85">
        <v>0.84199999999999997</v>
      </c>
      <c r="C37" s="85">
        <v>0.83899999999999997</v>
      </c>
      <c r="D37" s="85">
        <v>0.83499999999999996</v>
      </c>
      <c r="E37" s="85">
        <v>0.83199999999999996</v>
      </c>
      <c r="F37" s="85">
        <v>0.82799999999999996</v>
      </c>
      <c r="G37" s="85">
        <v>0.82399999999999995</v>
      </c>
      <c r="H37" s="85">
        <v>0.82099999999999995</v>
      </c>
      <c r="I37" s="85">
        <v>0.81699999999999995</v>
      </c>
      <c r="J37" s="85">
        <v>0.81299999999999994</v>
      </c>
      <c r="K37" s="85">
        <v>0.81</v>
      </c>
      <c r="L37" s="85">
        <v>0.80600000000000005</v>
      </c>
      <c r="M37" s="85">
        <v>0.80300000000000005</v>
      </c>
    </row>
    <row r="38" spans="1:13" x14ac:dyDescent="0.25">
      <c r="A38" s="83">
        <v>2</v>
      </c>
      <c r="B38" s="85">
        <v>0.89</v>
      </c>
      <c r="C38" s="85">
        <v>0.88600000000000001</v>
      </c>
      <c r="D38" s="85">
        <v>0.88200000000000001</v>
      </c>
      <c r="E38" s="85">
        <v>0.878</v>
      </c>
      <c r="F38" s="85">
        <v>0.874</v>
      </c>
      <c r="G38" s="85">
        <v>0.87</v>
      </c>
      <c r="H38" s="85">
        <v>0.86599999999999999</v>
      </c>
      <c r="I38" s="85">
        <v>0.86199999999999999</v>
      </c>
      <c r="J38" s="85">
        <v>0.85799999999999998</v>
      </c>
      <c r="K38" s="85">
        <v>0.85399999999999998</v>
      </c>
      <c r="L38" s="85">
        <v>0.85</v>
      </c>
      <c r="M38" s="85">
        <v>0.84599999999999997</v>
      </c>
    </row>
    <row r="39" spans="1:13" x14ac:dyDescent="0.25">
      <c r="A39" s="83">
        <v>1</v>
      </c>
      <c r="B39" s="85">
        <v>0.94199999999999995</v>
      </c>
      <c r="C39" s="85">
        <v>0.93799999999999994</v>
      </c>
      <c r="D39" s="85">
        <v>0.93400000000000005</v>
      </c>
      <c r="E39" s="85">
        <v>0.92900000000000005</v>
      </c>
      <c r="F39" s="85">
        <v>0.92500000000000004</v>
      </c>
      <c r="G39" s="85">
        <v>0.92100000000000004</v>
      </c>
      <c r="H39" s="85">
        <v>0.91600000000000004</v>
      </c>
      <c r="I39" s="85">
        <v>0.91200000000000003</v>
      </c>
      <c r="J39" s="85">
        <v>0.90700000000000003</v>
      </c>
      <c r="K39" s="85">
        <v>0.90300000000000002</v>
      </c>
      <c r="L39" s="85">
        <v>0.89900000000000002</v>
      </c>
      <c r="M39" s="85">
        <v>0.89400000000000002</v>
      </c>
    </row>
    <row r="40" spans="1:13" x14ac:dyDescent="0.25">
      <c r="A40" s="83">
        <v>0</v>
      </c>
      <c r="B40" s="87">
        <v>1</v>
      </c>
      <c r="C40" s="85">
        <v>0.995</v>
      </c>
      <c r="D40" s="85">
        <v>0.99</v>
      </c>
      <c r="E40" s="85">
        <v>0.98599999999999999</v>
      </c>
      <c r="F40" s="85">
        <v>0.98099999999999998</v>
      </c>
      <c r="G40" s="85">
        <v>0.97599999999999998</v>
      </c>
      <c r="H40" s="85">
        <v>0.97099999999999997</v>
      </c>
      <c r="I40" s="85">
        <v>0.96599999999999997</v>
      </c>
      <c r="J40" s="85">
        <v>0.96199999999999997</v>
      </c>
      <c r="K40" s="85">
        <v>0.95699999999999996</v>
      </c>
      <c r="L40" s="85">
        <v>0.95199999999999996</v>
      </c>
      <c r="M40" s="85">
        <v>0.94699999999999995</v>
      </c>
    </row>
    <row r="45" spans="1:13" ht="39.6" customHeight="1" x14ac:dyDescent="0.25"/>
    <row r="47" spans="1:13" ht="27.6" customHeight="1" x14ac:dyDescent="0.25"/>
  </sheetData>
  <sheetProtection algorithmName="SHA-512" hashValue="mjNEoZGPhyjvRjVXhFeUWZihSj0Z3jd5UCK+AT+1Vxc2tiRHpABThu7CToDmMhQIttp3Rz1kd5/D3XIQFV5Nsg==" saltValue="v3tG7LFWV2BJoGoformHng==" spinCount="100000" sheet="1" objects="1" scenarios="1"/>
  <conditionalFormatting sqref="A6:A21">
    <cfRule type="expression" dxfId="425" priority="13" stopIfTrue="1">
      <formula>MOD(ROW(),2)=0</formula>
    </cfRule>
    <cfRule type="expression" dxfId="424" priority="14" stopIfTrue="1">
      <formula>MOD(ROW(),2)&lt;&gt;0</formula>
    </cfRule>
  </conditionalFormatting>
  <conditionalFormatting sqref="A26:A40">
    <cfRule type="expression" dxfId="423" priority="11" stopIfTrue="1">
      <formula>MOD(ROW(),2)=0</formula>
    </cfRule>
    <cfRule type="expression" dxfId="422" priority="12" stopIfTrue="1">
      <formula>MOD(ROW(),2)&lt;&gt;0</formula>
    </cfRule>
  </conditionalFormatting>
  <conditionalFormatting sqref="B18:B21">
    <cfRule type="expression" dxfId="421" priority="1" stopIfTrue="1">
      <formula>MOD(ROW(),2)=0</formula>
    </cfRule>
    <cfRule type="expression" dxfId="420" priority="2" stopIfTrue="1">
      <formula>MOD(ROW(),2)&lt;&gt;0</formula>
    </cfRule>
  </conditionalFormatting>
  <conditionalFormatting sqref="B6:M21">
    <cfRule type="expression" dxfId="419" priority="23" stopIfTrue="1">
      <formula>MOD(ROW(),2)=0</formula>
    </cfRule>
    <cfRule type="expression" dxfId="418" priority="24" stopIfTrue="1">
      <formula>MOD(ROW(),2)&lt;&gt;0</formula>
    </cfRule>
  </conditionalFormatting>
  <conditionalFormatting sqref="B16:M17">
    <cfRule type="expression" dxfId="417" priority="3" stopIfTrue="1">
      <formula>MOD(ROW(),2)=0</formula>
    </cfRule>
    <cfRule type="expression" dxfId="416" priority="4" stopIfTrue="1">
      <formula>MOD(ROW(),2)&lt;&gt;0</formula>
    </cfRule>
  </conditionalFormatting>
  <conditionalFormatting sqref="B26:M40">
    <cfRule type="expression" dxfId="415" priority="19" stopIfTrue="1">
      <formula>MOD(ROW(),2)=0</formula>
    </cfRule>
    <cfRule type="expression" dxfId="414" priority="2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7"/>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LRF - x-404</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2015</v>
      </c>
      <c r="C8" s="152"/>
      <c r="D8" s="152"/>
      <c r="E8" s="152"/>
      <c r="F8" s="152"/>
      <c r="G8" s="152"/>
      <c r="H8" s="152"/>
      <c r="I8" s="152"/>
      <c r="J8" s="152"/>
      <c r="K8" s="152"/>
    </row>
    <row r="9" spans="1:11" x14ac:dyDescent="0.25">
      <c r="A9" s="79" t="s">
        <v>307</v>
      </c>
      <c r="B9" s="152" t="s">
        <v>447</v>
      </c>
      <c r="C9" s="152"/>
      <c r="D9" s="152"/>
      <c r="E9" s="152"/>
      <c r="F9" s="152"/>
      <c r="G9" s="152"/>
      <c r="H9" s="152"/>
      <c r="I9" s="152"/>
      <c r="J9" s="152"/>
      <c r="K9" s="152"/>
    </row>
    <row r="10" spans="1:11" x14ac:dyDescent="0.25">
      <c r="A10" s="79" t="s">
        <v>233</v>
      </c>
      <c r="B10" s="152" t="s">
        <v>448</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449</v>
      </c>
      <c r="C12" s="152"/>
      <c r="D12" s="152"/>
      <c r="E12" s="152"/>
      <c r="F12" s="152"/>
      <c r="G12" s="152"/>
      <c r="H12" s="152"/>
      <c r="I12" s="152"/>
      <c r="J12" s="152"/>
      <c r="K12" s="152"/>
    </row>
    <row r="13" spans="1:11" x14ac:dyDescent="0.25">
      <c r="A13" s="79" t="s">
        <v>566</v>
      </c>
      <c r="B13" s="152">
        <v>0</v>
      </c>
      <c r="C13" s="152"/>
      <c r="D13" s="152"/>
      <c r="E13" s="152"/>
      <c r="F13" s="152"/>
      <c r="G13" s="152"/>
      <c r="H13" s="152"/>
      <c r="I13" s="152"/>
      <c r="J13" s="152"/>
      <c r="K13" s="152"/>
    </row>
    <row r="14" spans="1:11" x14ac:dyDescent="0.25">
      <c r="A14" s="79" t="s">
        <v>311</v>
      </c>
      <c r="B14" s="152">
        <v>404</v>
      </c>
      <c r="C14" s="152"/>
      <c r="D14" s="152"/>
      <c r="E14" s="152"/>
      <c r="F14" s="152"/>
      <c r="G14" s="152"/>
      <c r="H14" s="152"/>
      <c r="I14" s="152"/>
      <c r="J14" s="152"/>
      <c r="K14" s="152"/>
    </row>
    <row r="15" spans="1:11" x14ac:dyDescent="0.25">
      <c r="A15" s="79" t="s">
        <v>569</v>
      </c>
      <c r="B15" s="152" t="s">
        <v>450</v>
      </c>
      <c r="C15" s="152"/>
      <c r="D15" s="152"/>
      <c r="E15" s="152"/>
      <c r="F15" s="152"/>
      <c r="G15" s="152"/>
      <c r="H15" s="152"/>
      <c r="I15" s="152"/>
      <c r="J15" s="152"/>
      <c r="K15" s="152"/>
    </row>
    <row r="16" spans="1:11" x14ac:dyDescent="0.25">
      <c r="A16" s="79" t="s">
        <v>313</v>
      </c>
      <c r="B16" s="152" t="s">
        <v>440</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45106</v>
      </c>
      <c r="C18" s="152"/>
      <c r="D18" s="152"/>
      <c r="E18" s="152"/>
      <c r="F18" s="152"/>
      <c r="G18" s="152"/>
      <c r="H18" s="152"/>
      <c r="I18" s="152"/>
      <c r="J18" s="152"/>
      <c r="K18" s="152"/>
    </row>
    <row r="19" spans="1:11" x14ac:dyDescent="0.25">
      <c r="A19" s="79" t="s">
        <v>316</v>
      </c>
      <c r="B19" s="154">
        <v>45106</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86" t="s">
        <v>669</v>
      </c>
      <c r="B26" s="82">
        <v>60</v>
      </c>
      <c r="C26" s="82">
        <v>61</v>
      </c>
      <c r="D26" s="82">
        <v>62</v>
      </c>
      <c r="E26" s="82">
        <v>63</v>
      </c>
      <c r="F26" s="82">
        <v>64</v>
      </c>
      <c r="G26" s="82">
        <v>65</v>
      </c>
      <c r="H26" s="82">
        <v>66</v>
      </c>
      <c r="I26" s="82">
        <v>67</v>
      </c>
      <c r="J26" s="82">
        <v>68</v>
      </c>
      <c r="K26" s="82">
        <v>69</v>
      </c>
    </row>
    <row r="27" spans="1:11" x14ac:dyDescent="0.25">
      <c r="A27" s="83">
        <v>0</v>
      </c>
      <c r="B27" s="88">
        <v>1.1000000000000001E-3</v>
      </c>
      <c r="C27" s="88">
        <v>2.64E-2</v>
      </c>
      <c r="D27" s="88">
        <v>2.7699999999999999E-2</v>
      </c>
      <c r="E27" s="88">
        <v>2.9100000000000001E-2</v>
      </c>
      <c r="F27" s="88">
        <v>3.0599999999999999E-2</v>
      </c>
      <c r="G27" s="88">
        <v>3.2199999999999999E-2</v>
      </c>
      <c r="H27" s="88">
        <v>3.3700000000000001E-2</v>
      </c>
      <c r="I27" s="88">
        <v>3.5200000000000002E-2</v>
      </c>
      <c r="J27" s="88">
        <v>3.6799999999999999E-2</v>
      </c>
      <c r="K27" s="88">
        <v>3.8399999999999997E-2</v>
      </c>
    </row>
    <row r="28" spans="1:11" x14ac:dyDescent="0.25">
      <c r="A28" s="83">
        <v>1</v>
      </c>
      <c r="B28" s="88">
        <v>3.3E-3</v>
      </c>
      <c r="C28" s="88">
        <v>2.6499999999999999E-2</v>
      </c>
      <c r="D28" s="88">
        <v>2.7799999999999998E-2</v>
      </c>
      <c r="E28" s="88">
        <v>2.92E-2</v>
      </c>
      <c r="F28" s="88">
        <v>3.0700000000000002E-2</v>
      </c>
      <c r="G28" s="88">
        <v>3.2300000000000002E-2</v>
      </c>
      <c r="H28" s="88">
        <v>3.39E-2</v>
      </c>
      <c r="I28" s="88">
        <v>3.5299999999999998E-2</v>
      </c>
      <c r="J28" s="88">
        <v>3.6900000000000002E-2</v>
      </c>
      <c r="K28" s="88">
        <v>3.8600000000000002E-2</v>
      </c>
    </row>
    <row r="29" spans="1:11" x14ac:dyDescent="0.25">
      <c r="A29" s="83">
        <v>2</v>
      </c>
      <c r="B29" s="88">
        <v>5.4999999999999997E-3</v>
      </c>
      <c r="C29" s="88">
        <v>2.6599999999999999E-2</v>
      </c>
      <c r="D29" s="88">
        <v>2.7900000000000001E-2</v>
      </c>
      <c r="E29" s="88">
        <v>2.93E-2</v>
      </c>
      <c r="F29" s="88">
        <v>3.0800000000000001E-2</v>
      </c>
      <c r="G29" s="88">
        <v>3.2399999999999998E-2</v>
      </c>
      <c r="H29" s="88">
        <v>3.4000000000000002E-2</v>
      </c>
      <c r="I29" s="88">
        <v>3.5499999999999997E-2</v>
      </c>
      <c r="J29" s="88">
        <v>3.6999999999999998E-2</v>
      </c>
      <c r="K29" s="88">
        <v>3.8899999999999997E-2</v>
      </c>
    </row>
    <row r="30" spans="1:11" x14ac:dyDescent="0.25">
      <c r="A30" s="83">
        <v>3</v>
      </c>
      <c r="B30" s="88">
        <v>7.7000000000000002E-3</v>
      </c>
      <c r="C30" s="88">
        <v>2.6700000000000002E-2</v>
      </c>
      <c r="D30" s="88">
        <v>2.8000000000000001E-2</v>
      </c>
      <c r="E30" s="88">
        <v>2.9399999999999999E-2</v>
      </c>
      <c r="F30" s="88">
        <v>3.1E-2</v>
      </c>
      <c r="G30" s="88">
        <v>3.2599999999999997E-2</v>
      </c>
      <c r="H30" s="88">
        <v>3.4099999999999998E-2</v>
      </c>
      <c r="I30" s="88">
        <v>3.56E-2</v>
      </c>
      <c r="J30" s="88">
        <v>3.7100000000000001E-2</v>
      </c>
      <c r="K30" s="88">
        <v>3.9100000000000003E-2</v>
      </c>
    </row>
    <row r="31" spans="1:11" x14ac:dyDescent="0.25">
      <c r="A31" s="83">
        <v>4</v>
      </c>
      <c r="B31" s="88">
        <v>9.9000000000000008E-3</v>
      </c>
      <c r="C31" s="88">
        <v>2.6800000000000001E-2</v>
      </c>
      <c r="D31" s="88">
        <v>2.81E-2</v>
      </c>
      <c r="E31" s="88">
        <v>2.9600000000000001E-2</v>
      </c>
      <c r="F31" s="88">
        <v>3.1099999999999999E-2</v>
      </c>
      <c r="G31" s="88">
        <v>3.27E-2</v>
      </c>
      <c r="H31" s="88">
        <v>3.4200000000000001E-2</v>
      </c>
      <c r="I31" s="88">
        <v>3.5700000000000003E-2</v>
      </c>
      <c r="J31" s="88">
        <v>3.73E-2</v>
      </c>
      <c r="K31" s="88">
        <v>3.9399999999999998E-2</v>
      </c>
    </row>
    <row r="32" spans="1:11" x14ac:dyDescent="0.25">
      <c r="A32" s="83">
        <v>5</v>
      </c>
      <c r="B32" s="88">
        <v>1.21E-2</v>
      </c>
      <c r="C32" s="88">
        <v>2.69E-2</v>
      </c>
      <c r="D32" s="88">
        <v>2.8199999999999999E-2</v>
      </c>
      <c r="E32" s="88">
        <v>2.9700000000000001E-2</v>
      </c>
      <c r="F32" s="88">
        <v>3.1199999999999999E-2</v>
      </c>
      <c r="G32" s="88">
        <v>3.2800000000000003E-2</v>
      </c>
      <c r="H32" s="88">
        <v>3.4299999999999997E-2</v>
      </c>
      <c r="I32" s="88">
        <v>3.5900000000000001E-2</v>
      </c>
      <c r="J32" s="88">
        <v>3.7400000000000003E-2</v>
      </c>
      <c r="K32" s="88">
        <v>3.9600000000000003E-2</v>
      </c>
    </row>
    <row r="33" spans="1:11" x14ac:dyDescent="0.25">
      <c r="A33" s="83">
        <v>6</v>
      </c>
      <c r="B33" s="88">
        <v>1.4200000000000001E-2</v>
      </c>
      <c r="C33" s="88">
        <v>2.7E-2</v>
      </c>
      <c r="D33" s="88">
        <v>2.8400000000000002E-2</v>
      </c>
      <c r="E33" s="88">
        <v>2.98E-2</v>
      </c>
      <c r="F33" s="88">
        <v>3.1399999999999997E-2</v>
      </c>
      <c r="G33" s="88">
        <v>3.3000000000000002E-2</v>
      </c>
      <c r="H33" s="88">
        <v>3.4500000000000003E-2</v>
      </c>
      <c r="I33" s="88">
        <v>3.5999999999999997E-2</v>
      </c>
      <c r="J33" s="88">
        <v>3.7499999999999999E-2</v>
      </c>
      <c r="K33" s="88">
        <v>3.9800000000000002E-2</v>
      </c>
    </row>
    <row r="34" spans="1:11" x14ac:dyDescent="0.25">
      <c r="A34" s="83">
        <v>7</v>
      </c>
      <c r="B34" s="88">
        <v>1.6400000000000001E-2</v>
      </c>
      <c r="C34" s="88">
        <v>2.7099999999999999E-2</v>
      </c>
      <c r="D34" s="88">
        <v>2.8500000000000001E-2</v>
      </c>
      <c r="E34" s="88">
        <v>2.9899999999999999E-2</v>
      </c>
      <c r="F34" s="88">
        <v>3.15E-2</v>
      </c>
      <c r="G34" s="88">
        <v>3.3099999999999997E-2</v>
      </c>
      <c r="H34" s="88">
        <v>3.4599999999999999E-2</v>
      </c>
      <c r="I34" s="88">
        <v>3.61E-2</v>
      </c>
      <c r="J34" s="88">
        <v>3.7699999999999997E-2</v>
      </c>
      <c r="K34" s="88">
        <v>4.0099999999999997E-2</v>
      </c>
    </row>
    <row r="35" spans="1:11" x14ac:dyDescent="0.25">
      <c r="A35" s="83">
        <v>8</v>
      </c>
      <c r="B35" s="88">
        <v>1.8599999999999998E-2</v>
      </c>
      <c r="C35" s="88">
        <v>2.7199999999999998E-2</v>
      </c>
      <c r="D35" s="88">
        <v>2.86E-2</v>
      </c>
      <c r="E35" s="88">
        <v>3.0099999999999998E-2</v>
      </c>
      <c r="F35" s="88">
        <v>3.1600000000000003E-2</v>
      </c>
      <c r="G35" s="88">
        <v>3.32E-2</v>
      </c>
      <c r="H35" s="88">
        <v>3.4700000000000002E-2</v>
      </c>
      <c r="I35" s="88">
        <v>3.6200000000000003E-2</v>
      </c>
      <c r="J35" s="88">
        <v>3.78E-2</v>
      </c>
      <c r="K35" s="88">
        <v>4.0300000000000002E-2</v>
      </c>
    </row>
    <row r="36" spans="1:11" x14ac:dyDescent="0.25">
      <c r="A36" s="83">
        <v>9</v>
      </c>
      <c r="B36" s="88">
        <v>2.0799999999999999E-2</v>
      </c>
      <c r="C36" s="88">
        <v>2.7300000000000001E-2</v>
      </c>
      <c r="D36" s="88">
        <v>2.87E-2</v>
      </c>
      <c r="E36" s="88">
        <v>3.0200000000000001E-2</v>
      </c>
      <c r="F36" s="88">
        <v>3.1800000000000002E-2</v>
      </c>
      <c r="G36" s="88">
        <v>3.3300000000000003E-2</v>
      </c>
      <c r="H36" s="88">
        <v>3.4799999999999998E-2</v>
      </c>
      <c r="I36" s="88">
        <v>3.6400000000000002E-2</v>
      </c>
      <c r="J36" s="88">
        <v>3.7900000000000003E-2</v>
      </c>
      <c r="K36" s="88">
        <v>4.0599999999999997E-2</v>
      </c>
    </row>
    <row r="37" spans="1:11" x14ac:dyDescent="0.25">
      <c r="A37" s="83">
        <v>10</v>
      </c>
      <c r="B37" s="88">
        <v>2.3E-2</v>
      </c>
      <c r="C37" s="88">
        <v>2.7400000000000001E-2</v>
      </c>
      <c r="D37" s="88">
        <v>2.8799999999999999E-2</v>
      </c>
      <c r="E37" s="88">
        <v>3.0300000000000001E-2</v>
      </c>
      <c r="F37" s="88">
        <v>3.1899999999999998E-2</v>
      </c>
      <c r="G37" s="88">
        <v>3.3500000000000002E-2</v>
      </c>
      <c r="H37" s="88">
        <v>3.5000000000000003E-2</v>
      </c>
      <c r="I37" s="88">
        <v>3.6499999999999998E-2</v>
      </c>
      <c r="J37" s="88">
        <v>3.8100000000000002E-2</v>
      </c>
      <c r="K37" s="88">
        <v>4.0800000000000003E-2</v>
      </c>
    </row>
    <row r="38" spans="1:11" x14ac:dyDescent="0.25">
      <c r="A38" s="83">
        <v>11</v>
      </c>
      <c r="B38" s="88">
        <v>2.52E-2</v>
      </c>
      <c r="C38" s="88">
        <v>2.76E-2</v>
      </c>
      <c r="D38" s="88">
        <v>2.8899999999999999E-2</v>
      </c>
      <c r="E38" s="88">
        <v>3.04E-2</v>
      </c>
      <c r="F38" s="88">
        <v>3.2000000000000001E-2</v>
      </c>
      <c r="G38" s="88">
        <v>3.3599999999999998E-2</v>
      </c>
      <c r="H38" s="88">
        <v>3.5099999999999999E-2</v>
      </c>
      <c r="I38" s="88">
        <v>3.6600000000000001E-2</v>
      </c>
      <c r="J38" s="88">
        <v>3.8199999999999998E-2</v>
      </c>
      <c r="K38" s="88">
        <v>4.1099999999999998E-2</v>
      </c>
    </row>
    <row r="44" spans="1:11" ht="39.6" customHeight="1" x14ac:dyDescent="0.25"/>
    <row r="46" spans="1:11" ht="27.6" customHeight="1" x14ac:dyDescent="0.25"/>
  </sheetData>
  <sheetProtection algorithmName="SHA-512" hashValue="DmtG7alRlLJomkCbKLF2/4gwUM93LnVJHvIE/q1sNs8NIqKjBTsCYO4spQ7gkOTZOLTUhgln4pYihkY/RYZ5Sg==" saltValue="Z71/aQuml0IwCvx99ORPoA==" spinCount="100000" sheet="1" objects="1" scenarios="1"/>
  <conditionalFormatting sqref="A6:A21">
    <cfRule type="expression" dxfId="413" priority="7" stopIfTrue="1">
      <formula>MOD(ROW(),2)=0</formula>
    </cfRule>
    <cfRule type="expression" dxfId="412" priority="8" stopIfTrue="1">
      <formula>MOD(ROW(),2)&lt;&gt;0</formula>
    </cfRule>
  </conditionalFormatting>
  <conditionalFormatting sqref="A26:A38">
    <cfRule type="expression" dxfId="411" priority="5" stopIfTrue="1">
      <formula>MOD(ROW(),2)=0</formula>
    </cfRule>
    <cfRule type="expression" dxfId="410" priority="6" stopIfTrue="1">
      <formula>MOD(ROW(),2)&lt;&gt;0</formula>
    </cfRule>
  </conditionalFormatting>
  <conditionalFormatting sqref="B17:B21">
    <cfRule type="expression" dxfId="409" priority="1" stopIfTrue="1">
      <formula>MOD(ROW(),2)=0</formula>
    </cfRule>
    <cfRule type="expression" dxfId="408" priority="2" stopIfTrue="1">
      <formula>MOD(ROW(),2)&lt;&gt;0</formula>
    </cfRule>
  </conditionalFormatting>
  <conditionalFormatting sqref="B6:K21">
    <cfRule type="expression" dxfId="407" priority="17" stopIfTrue="1">
      <formula>MOD(ROW(),2)=0</formula>
    </cfRule>
    <cfRule type="expression" dxfId="406" priority="18" stopIfTrue="1">
      <formula>MOD(ROW(),2)&lt;&gt;0</formula>
    </cfRule>
  </conditionalFormatting>
  <conditionalFormatting sqref="B26:K38">
    <cfRule type="expression" dxfId="405" priority="13" stopIfTrue="1">
      <formula>MOD(ROW(),2)=0</formula>
    </cfRule>
    <cfRule type="expression" dxfId="404"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8"/>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LRF - x-405</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2015</v>
      </c>
      <c r="C8" s="152"/>
      <c r="D8" s="152"/>
      <c r="E8" s="152"/>
      <c r="F8" s="152"/>
      <c r="G8" s="152"/>
      <c r="H8" s="152"/>
      <c r="I8" s="152"/>
      <c r="J8" s="152"/>
      <c r="K8" s="152"/>
    </row>
    <row r="9" spans="1:11" x14ac:dyDescent="0.25">
      <c r="A9" s="79" t="s">
        <v>307</v>
      </c>
      <c r="B9" s="152" t="s">
        <v>447</v>
      </c>
      <c r="C9" s="152"/>
      <c r="D9" s="152"/>
      <c r="E9" s="152"/>
      <c r="F9" s="152"/>
      <c r="G9" s="152"/>
      <c r="H9" s="152"/>
      <c r="I9" s="152"/>
      <c r="J9" s="152"/>
      <c r="K9" s="152"/>
    </row>
    <row r="10" spans="1:11" ht="12.6" customHeight="1" x14ac:dyDescent="0.25">
      <c r="A10" s="79" t="s">
        <v>233</v>
      </c>
      <c r="B10" s="152" t="s">
        <v>451</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ht="12.6" customHeight="1" x14ac:dyDescent="0.25">
      <c r="A12" s="79" t="s">
        <v>309</v>
      </c>
      <c r="B12" s="152" t="s">
        <v>452</v>
      </c>
      <c r="C12" s="152"/>
      <c r="D12" s="152"/>
      <c r="E12" s="152"/>
      <c r="F12" s="152"/>
      <c r="G12" s="152"/>
      <c r="H12" s="152"/>
      <c r="I12" s="152"/>
      <c r="J12" s="152"/>
      <c r="K12" s="152"/>
    </row>
    <row r="13" spans="1:11" ht="12.6" customHeight="1" x14ac:dyDescent="0.25">
      <c r="A13" s="79" t="s">
        <v>566</v>
      </c>
      <c r="B13" s="152">
        <v>0</v>
      </c>
      <c r="C13" s="152"/>
      <c r="D13" s="152"/>
      <c r="E13" s="152"/>
      <c r="F13" s="152"/>
      <c r="G13" s="152"/>
      <c r="H13" s="152"/>
      <c r="I13" s="152"/>
      <c r="J13" s="152"/>
      <c r="K13" s="152"/>
    </row>
    <row r="14" spans="1:11" ht="12.6" customHeight="1" x14ac:dyDescent="0.25">
      <c r="A14" s="79" t="s">
        <v>311</v>
      </c>
      <c r="B14" s="152">
        <v>405</v>
      </c>
      <c r="C14" s="152"/>
      <c r="D14" s="152"/>
      <c r="E14" s="152"/>
      <c r="F14" s="152"/>
      <c r="G14" s="152"/>
      <c r="H14" s="152"/>
      <c r="I14" s="152"/>
      <c r="J14" s="152"/>
      <c r="K14" s="152"/>
    </row>
    <row r="15" spans="1:11" x14ac:dyDescent="0.25">
      <c r="A15" s="79" t="s">
        <v>569</v>
      </c>
      <c r="B15" s="152" t="s">
        <v>453</v>
      </c>
      <c r="C15" s="152"/>
      <c r="D15" s="152"/>
      <c r="E15" s="152"/>
      <c r="F15" s="152"/>
      <c r="G15" s="152"/>
      <c r="H15" s="152"/>
      <c r="I15" s="152"/>
      <c r="J15" s="152"/>
      <c r="K15" s="152"/>
    </row>
    <row r="16" spans="1:11" x14ac:dyDescent="0.25">
      <c r="A16" s="79" t="s">
        <v>313</v>
      </c>
      <c r="B16" s="152" t="s">
        <v>446</v>
      </c>
      <c r="C16" s="152"/>
      <c r="D16" s="152"/>
      <c r="E16" s="152"/>
      <c r="F16" s="152"/>
      <c r="G16" s="152"/>
      <c r="H16" s="152"/>
      <c r="I16" s="152"/>
      <c r="J16" s="152"/>
      <c r="K16" s="152"/>
    </row>
    <row r="17" spans="1:11" ht="50.1" customHeight="1" x14ac:dyDescent="0.25">
      <c r="A17" s="79" t="s">
        <v>639</v>
      </c>
      <c r="B17" s="152"/>
      <c r="C17" s="152"/>
      <c r="D17" s="152"/>
      <c r="E17" s="152"/>
      <c r="F17" s="152"/>
      <c r="G17" s="152"/>
      <c r="H17" s="152"/>
      <c r="I17" s="152"/>
      <c r="J17" s="152"/>
      <c r="K17" s="152"/>
    </row>
    <row r="18" spans="1:11" x14ac:dyDescent="0.25">
      <c r="A18" s="79" t="s">
        <v>315</v>
      </c>
      <c r="B18" s="154">
        <v>45106</v>
      </c>
      <c r="C18" s="152"/>
      <c r="D18" s="152"/>
      <c r="E18" s="152"/>
      <c r="F18" s="152"/>
      <c r="G18" s="152"/>
      <c r="H18" s="152"/>
      <c r="I18" s="152"/>
      <c r="J18" s="152"/>
      <c r="K18" s="152"/>
    </row>
    <row r="19" spans="1:11" x14ac:dyDescent="0.25">
      <c r="A19" s="79" t="s">
        <v>316</v>
      </c>
      <c r="B19" s="154">
        <v>45106</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86" t="s">
        <v>669</v>
      </c>
      <c r="B26" s="82">
        <v>60</v>
      </c>
      <c r="C26" s="82">
        <v>61</v>
      </c>
      <c r="D26" s="82">
        <v>62</v>
      </c>
      <c r="E26" s="82">
        <v>63</v>
      </c>
      <c r="F26" s="82">
        <v>64</v>
      </c>
      <c r="G26" s="82">
        <v>65</v>
      </c>
      <c r="H26" s="82">
        <v>66</v>
      </c>
      <c r="I26" s="82">
        <v>67</v>
      </c>
      <c r="J26" s="82">
        <v>68</v>
      </c>
      <c r="K26" s="82">
        <v>69</v>
      </c>
    </row>
    <row r="27" spans="1:11" x14ac:dyDescent="0.25">
      <c r="A27" s="83">
        <v>0</v>
      </c>
      <c r="B27" s="88">
        <v>1.9E-3</v>
      </c>
      <c r="C27" s="88">
        <v>4.4499999999999998E-2</v>
      </c>
      <c r="D27" s="88">
        <v>4.58E-2</v>
      </c>
      <c r="E27" s="88">
        <v>4.7199999999999999E-2</v>
      </c>
      <c r="F27" s="88">
        <v>4.8800000000000003E-2</v>
      </c>
      <c r="G27" s="88">
        <v>5.04E-2</v>
      </c>
      <c r="H27" s="88">
        <v>5.1999999999999998E-2</v>
      </c>
      <c r="I27" s="88">
        <v>5.3499999999999999E-2</v>
      </c>
      <c r="J27" s="88">
        <v>5.5100000000000003E-2</v>
      </c>
      <c r="K27" s="88">
        <v>5.67E-2</v>
      </c>
    </row>
    <row r="28" spans="1:11" x14ac:dyDescent="0.25">
      <c r="A28" s="83">
        <v>1</v>
      </c>
      <c r="B28" s="88">
        <v>5.5999999999999999E-3</v>
      </c>
      <c r="C28" s="88">
        <v>4.4600000000000001E-2</v>
      </c>
      <c r="D28" s="88">
        <v>4.5900000000000003E-2</v>
      </c>
      <c r="E28" s="88">
        <v>4.7399999999999998E-2</v>
      </c>
      <c r="F28" s="88">
        <v>4.8899999999999999E-2</v>
      </c>
      <c r="G28" s="88">
        <v>5.0500000000000003E-2</v>
      </c>
      <c r="H28" s="88">
        <v>5.21E-2</v>
      </c>
      <c r="I28" s="88">
        <v>5.3600000000000002E-2</v>
      </c>
      <c r="J28" s="88">
        <v>5.5199999999999999E-2</v>
      </c>
      <c r="K28" s="88">
        <v>5.7000000000000002E-2</v>
      </c>
    </row>
    <row r="29" spans="1:11" x14ac:dyDescent="0.25">
      <c r="A29" s="83">
        <v>2</v>
      </c>
      <c r="B29" s="88">
        <v>9.2999999999999992E-3</v>
      </c>
      <c r="C29" s="88">
        <v>4.4699999999999997E-2</v>
      </c>
      <c r="D29" s="88">
        <v>4.5999999999999999E-2</v>
      </c>
      <c r="E29" s="88">
        <v>4.7500000000000001E-2</v>
      </c>
      <c r="F29" s="88">
        <v>4.9000000000000002E-2</v>
      </c>
      <c r="G29" s="88">
        <v>5.0700000000000002E-2</v>
      </c>
      <c r="H29" s="88">
        <v>5.2200000000000003E-2</v>
      </c>
      <c r="I29" s="88">
        <v>5.3699999999999998E-2</v>
      </c>
      <c r="J29" s="88">
        <v>5.5300000000000002E-2</v>
      </c>
      <c r="K29" s="88">
        <v>5.7200000000000001E-2</v>
      </c>
    </row>
    <row r="30" spans="1:11" x14ac:dyDescent="0.25">
      <c r="A30" s="83">
        <v>3</v>
      </c>
      <c r="B30" s="88">
        <v>1.2999999999999999E-2</v>
      </c>
      <c r="C30" s="88">
        <v>4.48E-2</v>
      </c>
      <c r="D30" s="88">
        <v>4.6199999999999998E-2</v>
      </c>
      <c r="E30" s="88">
        <v>4.7600000000000003E-2</v>
      </c>
      <c r="F30" s="88">
        <v>4.9200000000000001E-2</v>
      </c>
      <c r="G30" s="88">
        <v>5.0799999999999998E-2</v>
      </c>
      <c r="H30" s="88">
        <v>5.2400000000000002E-2</v>
      </c>
      <c r="I30" s="88">
        <v>5.3900000000000003E-2</v>
      </c>
      <c r="J30" s="88">
        <v>5.5500000000000001E-2</v>
      </c>
      <c r="K30" s="88">
        <v>5.7500000000000002E-2</v>
      </c>
    </row>
    <row r="31" spans="1:11" x14ac:dyDescent="0.25">
      <c r="A31" s="83">
        <v>4</v>
      </c>
      <c r="B31" s="88">
        <v>1.67E-2</v>
      </c>
      <c r="C31" s="88">
        <v>4.4900000000000002E-2</v>
      </c>
      <c r="D31" s="88">
        <v>4.6300000000000001E-2</v>
      </c>
      <c r="E31" s="88">
        <v>4.7699999999999999E-2</v>
      </c>
      <c r="F31" s="88">
        <v>4.9299999999999997E-2</v>
      </c>
      <c r="G31" s="88">
        <v>5.0900000000000001E-2</v>
      </c>
      <c r="H31" s="88">
        <v>5.2499999999999998E-2</v>
      </c>
      <c r="I31" s="88">
        <v>5.3999999999999999E-2</v>
      </c>
      <c r="J31" s="88">
        <v>5.5599999999999997E-2</v>
      </c>
      <c r="K31" s="88">
        <v>5.7700000000000001E-2</v>
      </c>
    </row>
    <row r="32" spans="1:11" x14ac:dyDescent="0.25">
      <c r="A32" s="83">
        <v>5</v>
      </c>
      <c r="B32" s="88">
        <v>2.0400000000000001E-2</v>
      </c>
      <c r="C32" s="88">
        <v>4.4999999999999998E-2</v>
      </c>
      <c r="D32" s="88">
        <v>4.6399999999999997E-2</v>
      </c>
      <c r="E32" s="88">
        <v>4.7899999999999998E-2</v>
      </c>
      <c r="F32" s="88">
        <v>4.9399999999999999E-2</v>
      </c>
      <c r="G32" s="88">
        <v>5.11E-2</v>
      </c>
      <c r="H32" s="88">
        <v>5.2600000000000001E-2</v>
      </c>
      <c r="I32" s="88">
        <v>5.4100000000000002E-2</v>
      </c>
      <c r="J32" s="88">
        <v>5.57E-2</v>
      </c>
      <c r="K32" s="88">
        <v>5.8000000000000003E-2</v>
      </c>
    </row>
    <row r="33" spans="1:11" x14ac:dyDescent="0.25">
      <c r="A33" s="83">
        <v>6</v>
      </c>
      <c r="B33" s="88">
        <v>2.41E-2</v>
      </c>
      <c r="C33" s="88">
        <v>4.5100000000000001E-2</v>
      </c>
      <c r="D33" s="88">
        <v>4.65E-2</v>
      </c>
      <c r="E33" s="88">
        <v>4.8000000000000001E-2</v>
      </c>
      <c r="F33" s="88">
        <v>4.9599999999999998E-2</v>
      </c>
      <c r="G33" s="88">
        <v>5.1200000000000002E-2</v>
      </c>
      <c r="H33" s="88">
        <v>5.2699999999999997E-2</v>
      </c>
      <c r="I33" s="88">
        <v>5.4300000000000001E-2</v>
      </c>
      <c r="J33" s="88">
        <v>5.5899999999999998E-2</v>
      </c>
      <c r="K33" s="88">
        <v>5.8200000000000002E-2</v>
      </c>
    </row>
    <row r="34" spans="1:11" x14ac:dyDescent="0.25">
      <c r="A34" s="83">
        <v>7</v>
      </c>
      <c r="B34" s="88">
        <v>2.7799999999999998E-2</v>
      </c>
      <c r="C34" s="88">
        <v>4.53E-2</v>
      </c>
      <c r="D34" s="88">
        <v>4.6600000000000003E-2</v>
      </c>
      <c r="E34" s="88">
        <v>4.8099999999999997E-2</v>
      </c>
      <c r="F34" s="88">
        <v>4.9700000000000001E-2</v>
      </c>
      <c r="G34" s="88">
        <v>5.1299999999999998E-2</v>
      </c>
      <c r="H34" s="88">
        <v>5.2900000000000003E-2</v>
      </c>
      <c r="I34" s="88">
        <v>5.4399999999999997E-2</v>
      </c>
      <c r="J34" s="88">
        <v>5.6000000000000001E-2</v>
      </c>
      <c r="K34" s="88">
        <v>5.8400000000000001E-2</v>
      </c>
    </row>
    <row r="35" spans="1:11" x14ac:dyDescent="0.25">
      <c r="A35" s="83">
        <v>8</v>
      </c>
      <c r="B35" s="88">
        <v>3.15E-2</v>
      </c>
      <c r="C35" s="88">
        <v>4.5400000000000003E-2</v>
      </c>
      <c r="D35" s="88">
        <v>4.6800000000000001E-2</v>
      </c>
      <c r="E35" s="88">
        <v>4.82E-2</v>
      </c>
      <c r="F35" s="88">
        <v>4.9799999999999997E-2</v>
      </c>
      <c r="G35" s="88">
        <v>5.1499999999999997E-2</v>
      </c>
      <c r="H35" s="88">
        <v>5.2999999999999999E-2</v>
      </c>
      <c r="I35" s="88">
        <v>5.45E-2</v>
      </c>
      <c r="J35" s="88">
        <v>5.6099999999999997E-2</v>
      </c>
      <c r="K35" s="88">
        <v>5.8700000000000002E-2</v>
      </c>
    </row>
    <row r="36" spans="1:11" x14ac:dyDescent="0.25">
      <c r="A36" s="83">
        <v>9</v>
      </c>
      <c r="B36" s="88">
        <v>3.5200000000000002E-2</v>
      </c>
      <c r="C36" s="88">
        <v>4.5499999999999999E-2</v>
      </c>
      <c r="D36" s="88">
        <v>4.6899999999999997E-2</v>
      </c>
      <c r="E36" s="88">
        <v>4.8399999999999999E-2</v>
      </c>
      <c r="F36" s="88">
        <v>0.05</v>
      </c>
      <c r="G36" s="88">
        <v>5.16E-2</v>
      </c>
      <c r="H36" s="88">
        <v>5.3100000000000001E-2</v>
      </c>
      <c r="I36" s="88">
        <v>5.4699999999999999E-2</v>
      </c>
      <c r="J36" s="88">
        <v>5.6300000000000003E-2</v>
      </c>
      <c r="K36" s="88">
        <v>5.8900000000000001E-2</v>
      </c>
    </row>
    <row r="37" spans="1:11" x14ac:dyDescent="0.25">
      <c r="A37" s="83">
        <v>10</v>
      </c>
      <c r="B37" s="88">
        <v>3.8899999999999997E-2</v>
      </c>
      <c r="C37" s="88">
        <v>4.5600000000000002E-2</v>
      </c>
      <c r="D37" s="88">
        <v>4.7E-2</v>
      </c>
      <c r="E37" s="88">
        <v>4.8500000000000001E-2</v>
      </c>
      <c r="F37" s="88">
        <v>5.0099999999999999E-2</v>
      </c>
      <c r="G37" s="88">
        <v>5.1700000000000003E-2</v>
      </c>
      <c r="H37" s="88">
        <v>5.3199999999999997E-2</v>
      </c>
      <c r="I37" s="88">
        <v>5.4800000000000001E-2</v>
      </c>
      <c r="J37" s="88">
        <v>5.6399999999999999E-2</v>
      </c>
      <c r="K37" s="88">
        <v>5.9200000000000003E-2</v>
      </c>
    </row>
    <row r="38" spans="1:11" x14ac:dyDescent="0.25">
      <c r="A38" s="83">
        <v>11</v>
      </c>
      <c r="B38" s="88">
        <v>4.2599999999999999E-2</v>
      </c>
      <c r="C38" s="88">
        <v>4.5699999999999998E-2</v>
      </c>
      <c r="D38" s="88">
        <v>4.7100000000000003E-2</v>
      </c>
      <c r="E38" s="88">
        <v>4.8599999999999997E-2</v>
      </c>
      <c r="F38" s="88">
        <v>5.0299999999999997E-2</v>
      </c>
      <c r="G38" s="88">
        <v>5.1799999999999999E-2</v>
      </c>
      <c r="H38" s="88">
        <v>5.3400000000000003E-2</v>
      </c>
      <c r="I38" s="88">
        <v>5.4899999999999997E-2</v>
      </c>
      <c r="J38" s="88">
        <v>5.6500000000000002E-2</v>
      </c>
      <c r="K38" s="88">
        <v>5.9400000000000001E-2</v>
      </c>
    </row>
    <row r="44" spans="1:11" ht="39.6" customHeight="1" x14ac:dyDescent="0.25"/>
    <row r="46" spans="1:11" ht="27.6" customHeight="1" x14ac:dyDescent="0.25"/>
  </sheetData>
  <sheetProtection algorithmName="SHA-512" hashValue="DhE7d9JaqoMjq/b/KyafD7rx5afeG9E2D7pw+XyFdblxbAc3cOQJfGwAeCuOM7qJATo0qL6LJq5lGxUWSyZwjA==" saltValue="1CPvuV4JcHwkfsW+wZC+MQ==" spinCount="100000" sheet="1" objects="1" scenarios="1"/>
  <conditionalFormatting sqref="A6:A21">
    <cfRule type="expression" dxfId="403" priority="11" stopIfTrue="1">
      <formula>MOD(ROW(),2)=0</formula>
    </cfRule>
    <cfRule type="expression" dxfId="402" priority="12" stopIfTrue="1">
      <formula>MOD(ROW(),2)&lt;&gt;0</formula>
    </cfRule>
  </conditionalFormatting>
  <conditionalFormatting sqref="A26:A38">
    <cfRule type="expression" dxfId="401" priority="9" stopIfTrue="1">
      <formula>MOD(ROW(),2)=0</formula>
    </cfRule>
    <cfRule type="expression" dxfId="400" priority="10" stopIfTrue="1">
      <formula>MOD(ROW(),2)&lt;&gt;0</formula>
    </cfRule>
  </conditionalFormatting>
  <conditionalFormatting sqref="B17:B21">
    <cfRule type="expression" dxfId="399" priority="1" stopIfTrue="1">
      <formula>MOD(ROW(),2)=0</formula>
    </cfRule>
    <cfRule type="expression" dxfId="398" priority="2" stopIfTrue="1">
      <formula>MOD(ROW(),2)&lt;&gt;0</formula>
    </cfRule>
  </conditionalFormatting>
  <conditionalFormatting sqref="B6:K21">
    <cfRule type="expression" dxfId="397" priority="21" stopIfTrue="1">
      <formula>MOD(ROW(),2)=0</formula>
    </cfRule>
    <cfRule type="expression" dxfId="396" priority="22" stopIfTrue="1">
      <formula>MOD(ROW(),2)&lt;&gt;0</formula>
    </cfRule>
  </conditionalFormatting>
  <conditionalFormatting sqref="B26:K38">
    <cfRule type="expression" dxfId="395" priority="17" stopIfTrue="1">
      <formula>MOD(ROW(),2)=0</formula>
    </cfRule>
    <cfRule type="expression" dxfId="394" priority="18" stopIfTrue="1">
      <formula>MOD(ROW(),2)&lt;&gt;0</formula>
    </cfRule>
  </conditionalFormatting>
  <conditionalFormatting sqref="C16:K16">
    <cfRule type="expression" dxfId="393" priority="3" stopIfTrue="1">
      <formula>MOD(ROW(),2)=0</formula>
    </cfRule>
    <cfRule type="expression" dxfId="3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9"/>
  <dimension ref="A1:L46"/>
  <sheetViews>
    <sheetView showGridLines="0" zoomScale="85" zoomScaleNormal="85" workbookViewId="0">
      <selection activeCell="A4" sqref="A4"/>
    </sheetView>
  </sheetViews>
  <sheetFormatPr defaultColWidth="10" defaultRowHeight="13.2" x14ac:dyDescent="0.25"/>
  <cols>
    <col min="1" max="1" width="31.77734375" style="27" customWidth="1"/>
    <col min="2" max="12" width="22.77734375" style="27" customWidth="1"/>
    <col min="13" max="16384" width="10" style="27"/>
  </cols>
  <sheetData>
    <row r="1" spans="1:12" ht="21" x14ac:dyDescent="0.4">
      <c r="A1" s="40" t="s">
        <v>227</v>
      </c>
      <c r="B1" s="41"/>
      <c r="C1" s="41"/>
      <c r="D1" s="41"/>
      <c r="E1" s="41"/>
      <c r="F1" s="41"/>
      <c r="G1" s="41"/>
      <c r="H1" s="41"/>
      <c r="I1" s="41"/>
    </row>
    <row r="2" spans="1:12" ht="15.6" x14ac:dyDescent="0.3">
      <c r="A2" s="42" t="str">
        <f>IF(title="&gt; Enter workbook title here","Enter workbook title in Cover sheet",title)</f>
        <v>Fire Wales - Consolidated Factor Spreadsheet</v>
      </c>
      <c r="B2" s="43"/>
      <c r="C2" s="43"/>
      <c r="D2" s="43"/>
      <c r="E2" s="43"/>
      <c r="F2" s="43"/>
      <c r="G2" s="43"/>
      <c r="H2" s="43"/>
      <c r="I2" s="43"/>
    </row>
    <row r="3" spans="1:12" ht="15.6" x14ac:dyDescent="0.3">
      <c r="A3" s="44" t="str">
        <f>TABLE_FACTOR_TYPE_1&amp;" - x-"&amp;TABLE_SERIES_NUMBER_1</f>
        <v>LRF - x-406</v>
      </c>
      <c r="B3" s="43"/>
      <c r="C3" s="43"/>
      <c r="D3" s="43"/>
      <c r="E3" s="43"/>
      <c r="F3" s="43"/>
      <c r="G3" s="43"/>
      <c r="H3" s="43"/>
      <c r="I3" s="43"/>
    </row>
    <row r="4" spans="1:12" x14ac:dyDescent="0.25">
      <c r="A4" s="45"/>
    </row>
    <row r="6" spans="1:12" x14ac:dyDescent="0.25">
      <c r="A6" s="77" t="s">
        <v>558</v>
      </c>
      <c r="B6" s="152" t="s">
        <v>559</v>
      </c>
      <c r="C6" s="152"/>
      <c r="D6" s="152"/>
      <c r="E6" s="152"/>
      <c r="F6" s="152"/>
      <c r="G6" s="152"/>
      <c r="H6" s="152"/>
      <c r="I6" s="152"/>
      <c r="J6" s="152"/>
      <c r="K6" s="152"/>
      <c r="L6" s="152"/>
    </row>
    <row r="7" spans="1:12" x14ac:dyDescent="0.25">
      <c r="A7" s="79" t="s">
        <v>305</v>
      </c>
      <c r="B7" s="152" t="s">
        <v>319</v>
      </c>
      <c r="C7" s="152"/>
      <c r="D7" s="152"/>
      <c r="E7" s="152"/>
      <c r="F7" s="152"/>
      <c r="G7" s="152"/>
      <c r="H7" s="152"/>
      <c r="I7" s="152"/>
      <c r="J7" s="152"/>
      <c r="K7" s="152"/>
      <c r="L7" s="152"/>
    </row>
    <row r="8" spans="1:12" x14ac:dyDescent="0.25">
      <c r="A8" s="79" t="s">
        <v>306</v>
      </c>
      <c r="B8" s="152">
        <v>2015</v>
      </c>
      <c r="C8" s="152"/>
      <c r="D8" s="152"/>
      <c r="E8" s="152"/>
      <c r="F8" s="152"/>
      <c r="G8" s="152"/>
      <c r="H8" s="152"/>
      <c r="I8" s="152"/>
      <c r="J8" s="152"/>
      <c r="K8" s="152"/>
      <c r="L8" s="152"/>
    </row>
    <row r="9" spans="1:12" x14ac:dyDescent="0.25">
      <c r="A9" s="79" t="s">
        <v>307</v>
      </c>
      <c r="B9" s="152" t="s">
        <v>447</v>
      </c>
      <c r="C9" s="152"/>
      <c r="D9" s="152"/>
      <c r="E9" s="152"/>
      <c r="F9" s="152"/>
      <c r="G9" s="152"/>
      <c r="H9" s="152"/>
      <c r="I9" s="152"/>
      <c r="J9" s="152"/>
      <c r="K9" s="152"/>
      <c r="L9" s="152"/>
    </row>
    <row r="10" spans="1:12" x14ac:dyDescent="0.25">
      <c r="A10" s="79" t="s">
        <v>233</v>
      </c>
      <c r="B10" s="152" t="s">
        <v>454</v>
      </c>
      <c r="C10" s="152"/>
      <c r="D10" s="152"/>
      <c r="E10" s="152"/>
      <c r="F10" s="152"/>
      <c r="G10" s="152"/>
      <c r="H10" s="152"/>
      <c r="I10" s="152"/>
      <c r="J10" s="152"/>
      <c r="K10" s="152"/>
      <c r="L10" s="152"/>
    </row>
    <row r="11" spans="1:12" x14ac:dyDescent="0.25">
      <c r="A11" s="79" t="s">
        <v>308</v>
      </c>
      <c r="B11" s="152" t="s">
        <v>404</v>
      </c>
      <c r="C11" s="152"/>
      <c r="D11" s="152"/>
      <c r="E11" s="152"/>
      <c r="F11" s="152"/>
      <c r="G11" s="152"/>
      <c r="H11" s="152"/>
      <c r="I11" s="152"/>
      <c r="J11" s="152"/>
      <c r="K11" s="152"/>
      <c r="L11" s="152"/>
    </row>
    <row r="12" spans="1:12" x14ac:dyDescent="0.25">
      <c r="A12" s="79" t="s">
        <v>309</v>
      </c>
      <c r="B12" s="152" t="s">
        <v>455</v>
      </c>
      <c r="C12" s="152"/>
      <c r="D12" s="152"/>
      <c r="E12" s="152"/>
      <c r="F12" s="152"/>
      <c r="G12" s="152"/>
      <c r="H12" s="152"/>
      <c r="I12" s="152"/>
      <c r="J12" s="152"/>
      <c r="K12" s="152"/>
      <c r="L12" s="152"/>
    </row>
    <row r="13" spans="1:12" x14ac:dyDescent="0.25">
      <c r="A13" s="79" t="s">
        <v>566</v>
      </c>
      <c r="B13" s="152">
        <v>0</v>
      </c>
      <c r="C13" s="152"/>
      <c r="D13" s="152"/>
      <c r="E13" s="152"/>
      <c r="F13" s="152"/>
      <c r="G13" s="152"/>
      <c r="H13" s="152"/>
      <c r="I13" s="152"/>
      <c r="J13" s="152"/>
      <c r="K13" s="152"/>
      <c r="L13" s="152"/>
    </row>
    <row r="14" spans="1:12" x14ac:dyDescent="0.25">
      <c r="A14" s="79" t="s">
        <v>311</v>
      </c>
      <c r="B14" s="152">
        <v>406</v>
      </c>
      <c r="C14" s="152"/>
      <c r="D14" s="152"/>
      <c r="E14" s="152"/>
      <c r="F14" s="152"/>
      <c r="G14" s="152"/>
      <c r="H14" s="152"/>
      <c r="I14" s="152"/>
      <c r="J14" s="152"/>
      <c r="K14" s="152"/>
      <c r="L14" s="152"/>
    </row>
    <row r="15" spans="1:12" x14ac:dyDescent="0.25">
      <c r="A15" s="79" t="s">
        <v>569</v>
      </c>
      <c r="B15" s="152" t="s">
        <v>456</v>
      </c>
      <c r="C15" s="152"/>
      <c r="D15" s="152"/>
      <c r="E15" s="152"/>
      <c r="F15" s="152"/>
      <c r="G15" s="152"/>
      <c r="H15" s="152"/>
      <c r="I15" s="152"/>
      <c r="J15" s="152"/>
      <c r="K15" s="152"/>
      <c r="L15" s="152"/>
    </row>
    <row r="16" spans="1:12" x14ac:dyDescent="0.25">
      <c r="A16" s="79" t="s">
        <v>313</v>
      </c>
      <c r="B16" s="152" t="s">
        <v>457</v>
      </c>
      <c r="C16" s="152"/>
      <c r="D16" s="152"/>
      <c r="E16" s="152"/>
      <c r="F16" s="152"/>
      <c r="G16" s="152"/>
      <c r="H16" s="152"/>
      <c r="I16" s="152"/>
      <c r="J16" s="152"/>
      <c r="K16" s="152"/>
      <c r="L16" s="152"/>
    </row>
    <row r="17" spans="1:12" x14ac:dyDescent="0.25">
      <c r="A17" s="79" t="s">
        <v>639</v>
      </c>
      <c r="B17" s="152"/>
      <c r="C17" s="152"/>
      <c r="D17" s="152"/>
      <c r="E17" s="152"/>
      <c r="F17" s="152"/>
      <c r="G17" s="152"/>
      <c r="H17" s="152"/>
      <c r="I17" s="152"/>
      <c r="J17" s="152"/>
      <c r="K17" s="152"/>
      <c r="L17" s="152"/>
    </row>
    <row r="18" spans="1:12" x14ac:dyDescent="0.25">
      <c r="A18" s="79" t="s">
        <v>315</v>
      </c>
      <c r="B18" s="154">
        <v>45106</v>
      </c>
      <c r="C18" s="152"/>
      <c r="D18" s="152"/>
      <c r="E18" s="152"/>
      <c r="F18" s="152"/>
      <c r="G18" s="152"/>
      <c r="H18" s="152"/>
      <c r="I18" s="152"/>
      <c r="J18" s="152"/>
      <c r="K18" s="152"/>
      <c r="L18" s="152"/>
    </row>
    <row r="19" spans="1:12" x14ac:dyDescent="0.25">
      <c r="A19" s="79" t="s">
        <v>316</v>
      </c>
      <c r="B19" s="154">
        <v>45106</v>
      </c>
      <c r="C19" s="152"/>
      <c r="D19" s="152"/>
      <c r="E19" s="152"/>
      <c r="F19" s="152"/>
      <c r="G19" s="152"/>
      <c r="H19" s="152"/>
      <c r="I19" s="152"/>
      <c r="J19" s="152"/>
      <c r="K19" s="152"/>
      <c r="L19" s="152"/>
    </row>
    <row r="20" spans="1:12" x14ac:dyDescent="0.25">
      <c r="A20" s="79" t="s">
        <v>317</v>
      </c>
      <c r="B20" s="152" t="s">
        <v>326</v>
      </c>
      <c r="C20" s="152"/>
      <c r="D20" s="152"/>
      <c r="E20" s="152"/>
      <c r="F20" s="152"/>
      <c r="G20" s="152"/>
      <c r="H20" s="152"/>
      <c r="I20" s="152"/>
      <c r="J20" s="152"/>
      <c r="K20" s="152"/>
      <c r="L20" s="152"/>
    </row>
    <row r="21" spans="1:12" x14ac:dyDescent="0.25">
      <c r="A21" s="79" t="s">
        <v>318</v>
      </c>
      <c r="B21" s="152" t="s">
        <v>327</v>
      </c>
      <c r="C21" s="152"/>
      <c r="D21" s="152"/>
      <c r="E21" s="152"/>
      <c r="F21" s="152"/>
      <c r="G21" s="152"/>
      <c r="H21" s="152"/>
      <c r="I21" s="152"/>
      <c r="J21" s="152"/>
      <c r="K21" s="152"/>
      <c r="L21" s="152"/>
    </row>
    <row r="23" spans="1:12" x14ac:dyDescent="0.25">
      <c r="B23" s="96" t="str">
        <f>HYPERLINK("#'Factor List'!A1","Back to Factor List")</f>
        <v>Back to Factor List</v>
      </c>
    </row>
    <row r="24" spans="1:12" x14ac:dyDescent="0.25">
      <c r="B24" s="96" t="str">
        <f>HYPERLINK("#'Assumptions'!A1","Assumptions")</f>
        <v>Assumptions</v>
      </c>
    </row>
    <row r="26" spans="1:12" x14ac:dyDescent="0.25">
      <c r="A26" s="86" t="s">
        <v>669</v>
      </c>
      <c r="B26" s="82">
        <v>59</v>
      </c>
      <c r="C26" s="82">
        <v>60</v>
      </c>
      <c r="D26" s="82">
        <v>61</v>
      </c>
      <c r="E26" s="82">
        <v>62</v>
      </c>
      <c r="F26" s="82">
        <v>63</v>
      </c>
      <c r="G26" s="82">
        <v>64</v>
      </c>
      <c r="H26" s="82">
        <v>65</v>
      </c>
      <c r="I26" s="82">
        <v>66</v>
      </c>
      <c r="J26" s="82">
        <v>67</v>
      </c>
      <c r="K26" s="82">
        <v>68</v>
      </c>
      <c r="L26" s="82">
        <v>69</v>
      </c>
    </row>
    <row r="27" spans="1:12" x14ac:dyDescent="0.25">
      <c r="A27" s="83">
        <v>0</v>
      </c>
      <c r="B27" s="88">
        <v>0</v>
      </c>
      <c r="C27" s="88">
        <v>0</v>
      </c>
      <c r="D27" s="88">
        <v>0</v>
      </c>
      <c r="E27" s="88">
        <v>0</v>
      </c>
      <c r="F27" s="88">
        <v>0</v>
      </c>
      <c r="G27" s="88">
        <v>0</v>
      </c>
      <c r="H27" s="88">
        <v>0</v>
      </c>
      <c r="I27" s="88">
        <v>0</v>
      </c>
      <c r="J27" s="88">
        <v>0</v>
      </c>
      <c r="K27" s="88">
        <v>0</v>
      </c>
      <c r="L27" s="88">
        <v>0</v>
      </c>
    </row>
    <row r="28" spans="1:12" x14ac:dyDescent="0.25">
      <c r="A28" s="83">
        <v>1</v>
      </c>
      <c r="B28" s="88">
        <v>2E-3</v>
      </c>
      <c r="C28" s="88">
        <v>2E-3</v>
      </c>
      <c r="D28" s="88">
        <v>2E-3</v>
      </c>
      <c r="E28" s="88">
        <v>2E-3</v>
      </c>
      <c r="F28" s="88">
        <v>3.0000000000000001E-3</v>
      </c>
      <c r="G28" s="88">
        <v>3.0000000000000001E-3</v>
      </c>
      <c r="H28" s="88">
        <v>3.0000000000000001E-3</v>
      </c>
      <c r="I28" s="88">
        <v>3.0000000000000001E-3</v>
      </c>
      <c r="J28" s="88">
        <v>3.0000000000000001E-3</v>
      </c>
      <c r="K28" s="88">
        <v>3.0000000000000001E-3</v>
      </c>
      <c r="L28" s="88">
        <v>3.0000000000000001E-3</v>
      </c>
    </row>
    <row r="29" spans="1:12" x14ac:dyDescent="0.25">
      <c r="A29" s="83">
        <v>2</v>
      </c>
      <c r="B29" s="88">
        <v>4.0000000000000001E-3</v>
      </c>
      <c r="C29" s="88">
        <v>4.0000000000000001E-3</v>
      </c>
      <c r="D29" s="88">
        <v>5.0000000000000001E-3</v>
      </c>
      <c r="E29" s="88">
        <v>5.0000000000000001E-3</v>
      </c>
      <c r="F29" s="88">
        <v>5.0000000000000001E-3</v>
      </c>
      <c r="G29" s="88">
        <v>5.0000000000000001E-3</v>
      </c>
      <c r="H29" s="88">
        <v>6.0000000000000001E-3</v>
      </c>
      <c r="I29" s="88">
        <v>6.0000000000000001E-3</v>
      </c>
      <c r="J29" s="88">
        <v>6.0000000000000001E-3</v>
      </c>
      <c r="K29" s="88">
        <v>6.0000000000000001E-3</v>
      </c>
      <c r="L29" s="88">
        <v>7.0000000000000001E-3</v>
      </c>
    </row>
    <row r="30" spans="1:12" x14ac:dyDescent="0.25">
      <c r="A30" s="83">
        <v>3</v>
      </c>
      <c r="B30" s="88">
        <v>7.0000000000000001E-3</v>
      </c>
      <c r="C30" s="88">
        <v>7.0000000000000001E-3</v>
      </c>
      <c r="D30" s="88">
        <v>7.0000000000000001E-3</v>
      </c>
      <c r="E30" s="88">
        <v>7.0000000000000001E-3</v>
      </c>
      <c r="F30" s="88">
        <v>8.0000000000000002E-3</v>
      </c>
      <c r="G30" s="88">
        <v>8.0000000000000002E-3</v>
      </c>
      <c r="H30" s="88">
        <v>8.0000000000000002E-3</v>
      </c>
      <c r="I30" s="88">
        <v>8.9999999999999993E-3</v>
      </c>
      <c r="J30" s="88">
        <v>8.9999999999999993E-3</v>
      </c>
      <c r="K30" s="88">
        <v>0.01</v>
      </c>
      <c r="L30" s="88">
        <v>0.01</v>
      </c>
    </row>
    <row r="31" spans="1:12" x14ac:dyDescent="0.25">
      <c r="A31" s="83">
        <v>4</v>
      </c>
      <c r="B31" s="88">
        <v>8.9999999999999993E-3</v>
      </c>
      <c r="C31" s="88">
        <v>8.9999999999999993E-3</v>
      </c>
      <c r="D31" s="88">
        <v>8.9999999999999993E-3</v>
      </c>
      <c r="E31" s="88">
        <v>0.01</v>
      </c>
      <c r="F31" s="88">
        <v>0.01</v>
      </c>
      <c r="G31" s="88">
        <v>1.0999999999999999E-2</v>
      </c>
      <c r="H31" s="88">
        <v>1.0999999999999999E-2</v>
      </c>
      <c r="I31" s="88">
        <v>1.2E-2</v>
      </c>
      <c r="J31" s="88">
        <v>1.2E-2</v>
      </c>
      <c r="K31" s="88">
        <v>1.2999999999999999E-2</v>
      </c>
      <c r="L31" s="88">
        <v>1.4E-2</v>
      </c>
    </row>
    <row r="32" spans="1:12" x14ac:dyDescent="0.25">
      <c r="A32" s="83">
        <v>5</v>
      </c>
      <c r="B32" s="88">
        <v>1.0999999999999999E-2</v>
      </c>
      <c r="C32" s="88">
        <v>1.0999999999999999E-2</v>
      </c>
      <c r="D32" s="88">
        <v>1.2E-2</v>
      </c>
      <c r="E32" s="88">
        <v>1.2E-2</v>
      </c>
      <c r="F32" s="88">
        <v>1.2999999999999999E-2</v>
      </c>
      <c r="G32" s="88">
        <v>1.2999999999999999E-2</v>
      </c>
      <c r="H32" s="88">
        <v>1.4E-2</v>
      </c>
      <c r="I32" s="88">
        <v>1.4999999999999999E-2</v>
      </c>
      <c r="J32" s="88">
        <v>1.4999999999999999E-2</v>
      </c>
      <c r="K32" s="88">
        <v>1.6E-2</v>
      </c>
      <c r="L32" s="88">
        <v>1.7000000000000001E-2</v>
      </c>
    </row>
    <row r="33" spans="1:12" x14ac:dyDescent="0.25">
      <c r="A33" s="83">
        <v>6</v>
      </c>
      <c r="B33" s="88">
        <v>1.2999999999999999E-2</v>
      </c>
      <c r="C33" s="88">
        <v>1.2999999999999999E-2</v>
      </c>
      <c r="D33" s="88">
        <v>1.4E-2</v>
      </c>
      <c r="E33" s="88">
        <v>1.4999999999999999E-2</v>
      </c>
      <c r="F33" s="88">
        <v>1.4999999999999999E-2</v>
      </c>
      <c r="G33" s="88">
        <v>1.6E-2</v>
      </c>
      <c r="H33" s="88">
        <v>1.7000000000000001E-2</v>
      </c>
      <c r="I33" s="88">
        <v>1.7999999999999999E-2</v>
      </c>
      <c r="J33" s="88">
        <v>1.7999999999999999E-2</v>
      </c>
      <c r="K33" s="88">
        <v>1.9E-2</v>
      </c>
      <c r="L33" s="88">
        <v>2.1000000000000001E-2</v>
      </c>
    </row>
    <row r="34" spans="1:12" x14ac:dyDescent="0.25">
      <c r="A34" s="83">
        <v>7</v>
      </c>
      <c r="B34" s="88">
        <v>1.4999999999999999E-2</v>
      </c>
      <c r="C34" s="88">
        <v>1.4999999999999999E-2</v>
      </c>
      <c r="D34" s="88">
        <v>1.6E-2</v>
      </c>
      <c r="E34" s="88">
        <v>1.7000000000000001E-2</v>
      </c>
      <c r="F34" s="88">
        <v>1.7999999999999999E-2</v>
      </c>
      <c r="G34" s="88">
        <v>1.9E-2</v>
      </c>
      <c r="H34" s="88">
        <v>0.02</v>
      </c>
      <c r="I34" s="88">
        <v>2.1000000000000001E-2</v>
      </c>
      <c r="J34" s="88">
        <v>2.1000000000000001E-2</v>
      </c>
      <c r="K34" s="88">
        <v>2.1999999999999999E-2</v>
      </c>
      <c r="L34" s="88">
        <v>2.4E-2</v>
      </c>
    </row>
    <row r="35" spans="1:12" x14ac:dyDescent="0.25">
      <c r="A35" s="83">
        <v>8</v>
      </c>
      <c r="B35" s="88">
        <v>1.7999999999999999E-2</v>
      </c>
      <c r="C35" s="88">
        <v>1.7999999999999999E-2</v>
      </c>
      <c r="D35" s="88">
        <v>1.7999999999999999E-2</v>
      </c>
      <c r="E35" s="88">
        <v>1.9E-2</v>
      </c>
      <c r="F35" s="88">
        <v>0.02</v>
      </c>
      <c r="G35" s="88">
        <v>2.1000000000000001E-2</v>
      </c>
      <c r="H35" s="88">
        <v>2.1999999999999999E-2</v>
      </c>
      <c r="I35" s="88">
        <v>2.3E-2</v>
      </c>
      <c r="J35" s="88">
        <v>2.4E-2</v>
      </c>
      <c r="K35" s="88">
        <v>2.5999999999999999E-2</v>
      </c>
      <c r="L35" s="88">
        <v>2.7E-2</v>
      </c>
    </row>
    <row r="36" spans="1:12" x14ac:dyDescent="0.25">
      <c r="A36" s="83">
        <v>9</v>
      </c>
      <c r="B36" s="88">
        <v>0.02</v>
      </c>
      <c r="C36" s="88">
        <v>0.02</v>
      </c>
      <c r="D36" s="88">
        <v>2.1000000000000001E-2</v>
      </c>
      <c r="E36" s="88">
        <v>2.1999999999999999E-2</v>
      </c>
      <c r="F36" s="88">
        <v>2.3E-2</v>
      </c>
      <c r="G36" s="88">
        <v>2.4E-2</v>
      </c>
      <c r="H36" s="88">
        <v>2.5000000000000001E-2</v>
      </c>
      <c r="I36" s="88">
        <v>2.5999999999999999E-2</v>
      </c>
      <c r="J36" s="88">
        <v>2.8000000000000001E-2</v>
      </c>
      <c r="K36" s="88">
        <v>2.9000000000000001E-2</v>
      </c>
      <c r="L36" s="88">
        <v>3.1E-2</v>
      </c>
    </row>
    <row r="37" spans="1:12" x14ac:dyDescent="0.25">
      <c r="A37" s="83">
        <v>10</v>
      </c>
      <c r="B37" s="88">
        <v>2.1999999999999999E-2</v>
      </c>
      <c r="C37" s="88">
        <v>2.1999999999999999E-2</v>
      </c>
      <c r="D37" s="88">
        <v>2.3E-2</v>
      </c>
      <c r="E37" s="88">
        <v>2.4E-2</v>
      </c>
      <c r="F37" s="88">
        <v>2.5000000000000001E-2</v>
      </c>
      <c r="G37" s="88">
        <v>2.7E-2</v>
      </c>
      <c r="H37" s="88">
        <v>2.8000000000000001E-2</v>
      </c>
      <c r="I37" s="88">
        <v>2.9000000000000001E-2</v>
      </c>
      <c r="J37" s="88">
        <v>3.1E-2</v>
      </c>
      <c r="K37" s="88">
        <v>3.2000000000000001E-2</v>
      </c>
      <c r="L37" s="88">
        <v>3.4000000000000002E-2</v>
      </c>
    </row>
    <row r="38" spans="1:12" x14ac:dyDescent="0.25">
      <c r="A38" s="83">
        <v>11</v>
      </c>
      <c r="B38" s="88">
        <v>2.4E-2</v>
      </c>
      <c r="C38" s="88">
        <v>2.4E-2</v>
      </c>
      <c r="D38" s="88">
        <v>2.5000000000000001E-2</v>
      </c>
      <c r="E38" s="88">
        <v>2.7E-2</v>
      </c>
      <c r="F38" s="88">
        <v>2.8000000000000001E-2</v>
      </c>
      <c r="G38" s="88">
        <v>2.9000000000000001E-2</v>
      </c>
      <c r="H38" s="88">
        <v>3.1E-2</v>
      </c>
      <c r="I38" s="88">
        <v>3.2000000000000001E-2</v>
      </c>
      <c r="J38" s="88">
        <v>3.4000000000000002E-2</v>
      </c>
      <c r="K38" s="88">
        <v>3.5000000000000003E-2</v>
      </c>
      <c r="L38" s="88">
        <v>3.7999999999999999E-2</v>
      </c>
    </row>
    <row r="44" spans="1:12" ht="39.6" customHeight="1" x14ac:dyDescent="0.25"/>
    <row r="46" spans="1:12" ht="27.6" customHeight="1" x14ac:dyDescent="0.25"/>
  </sheetData>
  <sheetProtection algorithmName="SHA-512" hashValue="nDB+5cwbtGabfCMceCvPiToqXXQaIx05r2lj0fv6nOrQVpwUJ5GlhdXQRpD6qNxrt1Kl8kWPcT169745ZcU7nQ==" saltValue="PrB3YD9LYQ6bpaPr/asNCg==" spinCount="100000" sheet="1" objects="1" scenarios="1"/>
  <conditionalFormatting sqref="A6:A21">
    <cfRule type="expression" dxfId="391" priority="9" stopIfTrue="1">
      <formula>MOD(ROW(),2)=0</formula>
    </cfRule>
    <cfRule type="expression" dxfId="390" priority="10" stopIfTrue="1">
      <formula>MOD(ROW(),2)&lt;&gt;0</formula>
    </cfRule>
  </conditionalFormatting>
  <conditionalFormatting sqref="A26:A38">
    <cfRule type="expression" dxfId="389" priority="7" stopIfTrue="1">
      <formula>MOD(ROW(),2)=0</formula>
    </cfRule>
    <cfRule type="expression" dxfId="388" priority="8" stopIfTrue="1">
      <formula>MOD(ROW(),2)&lt;&gt;0</formula>
    </cfRule>
  </conditionalFormatting>
  <conditionalFormatting sqref="B17:B21">
    <cfRule type="expression" dxfId="387" priority="1" stopIfTrue="1">
      <formula>MOD(ROW(),2)=0</formula>
    </cfRule>
    <cfRule type="expression" dxfId="386" priority="2" stopIfTrue="1">
      <formula>MOD(ROW(),2)&lt;&gt;0</formula>
    </cfRule>
  </conditionalFormatting>
  <conditionalFormatting sqref="B6:L21">
    <cfRule type="expression" dxfId="385" priority="23" stopIfTrue="1">
      <formula>MOD(ROW(),2)=0</formula>
    </cfRule>
    <cfRule type="expression" dxfId="384" priority="24" stopIfTrue="1">
      <formula>MOD(ROW(),2)&lt;&gt;0</formula>
    </cfRule>
  </conditionalFormatting>
  <conditionalFormatting sqref="B26:L38">
    <cfRule type="expression" dxfId="383" priority="15" stopIfTrue="1">
      <formula>MOD(ROW(),2)=0</formula>
    </cfRule>
    <cfRule type="expression" dxfId="382" priority="16" stopIfTrue="1">
      <formula>MOD(ROW(),2)&lt;&gt;0</formula>
    </cfRule>
  </conditionalFormatting>
  <conditionalFormatting sqref="L6:L21">
    <cfRule type="expression" dxfId="381" priority="13" stopIfTrue="1">
      <formula>MOD(ROW(),2)=0</formula>
    </cfRule>
    <cfRule type="expression" dxfId="380"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6"/>
  <sheetViews>
    <sheetView showGridLines="0" tabSelected="1" zoomScale="80" zoomScaleNormal="80" workbookViewId="0">
      <pane xSplit="2" ySplit="7" topLeftCell="G8" activePane="bottomRight" state="frozen"/>
      <selection activeCell="B6" sqref="B6:D21"/>
      <selection pane="topRight" activeCell="B6" sqref="B6:D21"/>
      <selection pane="bottomLeft" activeCell="B6" sqref="B6:D21"/>
      <selection pane="bottomRight"/>
    </sheetView>
  </sheetViews>
  <sheetFormatPr defaultRowHeight="13.2" x14ac:dyDescent="0.25"/>
  <cols>
    <col min="1" max="4" width="17.21875" customWidth="1"/>
    <col min="5" max="5" width="50.77734375" customWidth="1"/>
    <col min="6" max="6" width="17.21875" customWidth="1"/>
    <col min="7" max="7" width="50.77734375" customWidth="1"/>
    <col min="8" max="10" width="17.21875" customWidth="1"/>
    <col min="11" max="11" width="30.77734375" customWidth="1"/>
    <col min="12" max="16" width="17.21875" customWidth="1"/>
    <col min="17" max="17" width="11.44140625" customWidth="1"/>
  </cols>
  <sheetData>
    <row r="1" spans="1:23" ht="21" x14ac:dyDescent="0.4">
      <c r="A1" s="4" t="s">
        <v>227</v>
      </c>
      <c r="B1" s="10"/>
      <c r="C1" s="10"/>
      <c r="D1" s="10"/>
      <c r="E1" s="10"/>
      <c r="F1" s="10"/>
      <c r="G1" s="10"/>
      <c r="H1" s="10"/>
      <c r="I1" s="10"/>
      <c r="J1" s="10"/>
      <c r="K1" s="10"/>
      <c r="L1" s="10"/>
      <c r="M1" s="10"/>
      <c r="N1" s="10"/>
      <c r="O1" s="10"/>
      <c r="P1" s="141"/>
    </row>
    <row r="2" spans="1:23" ht="15.6" x14ac:dyDescent="0.3">
      <c r="A2" s="11" t="str">
        <f>IF(title="&gt; Enter workbook title here","Enter workbook title in Cover sheet",title)</f>
        <v>Fire Wales - Consolidated Factor Spreadsheet</v>
      </c>
      <c r="B2" s="9"/>
      <c r="C2" s="9"/>
      <c r="D2" s="9"/>
      <c r="E2" s="9"/>
      <c r="F2" s="9"/>
      <c r="G2" s="9"/>
      <c r="H2" s="9"/>
      <c r="I2" s="9"/>
      <c r="J2" s="9"/>
      <c r="K2" s="9"/>
      <c r="L2" s="9"/>
      <c r="M2" s="9"/>
      <c r="N2" s="9"/>
      <c r="O2" s="9"/>
      <c r="P2" s="9"/>
    </row>
    <row r="3" spans="1:23" ht="15.6" x14ac:dyDescent="0.3">
      <c r="A3" s="6" t="s">
        <v>238</v>
      </c>
      <c r="B3" s="9"/>
      <c r="C3" s="9"/>
      <c r="D3" s="9"/>
      <c r="E3" s="9"/>
      <c r="F3" s="9"/>
      <c r="G3" s="9"/>
      <c r="H3" s="9"/>
      <c r="I3" s="9"/>
      <c r="J3" s="9"/>
      <c r="K3" s="9"/>
      <c r="L3" s="9"/>
      <c r="M3" s="9"/>
      <c r="N3" s="9"/>
      <c r="O3" s="9"/>
      <c r="P3" s="9"/>
    </row>
    <row r="4" spans="1:23" x14ac:dyDescent="0.25">
      <c r="A4" s="7"/>
    </row>
    <row r="7" spans="1:23" s="26" customFormat="1" ht="50.25" customHeight="1" x14ac:dyDescent="0.25">
      <c r="A7" s="148" t="s">
        <v>304</v>
      </c>
      <c r="B7" s="148" t="s">
        <v>305</v>
      </c>
      <c r="C7" s="148" t="s">
        <v>306</v>
      </c>
      <c r="D7" s="148" t="s">
        <v>307</v>
      </c>
      <c r="E7" s="148" t="s">
        <v>233</v>
      </c>
      <c r="F7" s="148" t="s">
        <v>308</v>
      </c>
      <c r="G7" s="148" t="s">
        <v>309</v>
      </c>
      <c r="H7" s="148" t="s">
        <v>310</v>
      </c>
      <c r="I7" s="148" t="s">
        <v>311</v>
      </c>
      <c r="J7" s="148" t="s">
        <v>312</v>
      </c>
      <c r="K7" s="148" t="s">
        <v>313</v>
      </c>
      <c r="L7" s="148" t="s">
        <v>314</v>
      </c>
      <c r="M7" s="148" t="s">
        <v>315</v>
      </c>
      <c r="N7" s="148" t="s">
        <v>316</v>
      </c>
      <c r="O7" s="148" t="s">
        <v>317</v>
      </c>
      <c r="P7" s="148" t="s">
        <v>318</v>
      </c>
      <c r="Q7"/>
      <c r="R7"/>
      <c r="S7"/>
      <c r="T7"/>
      <c r="U7"/>
      <c r="V7"/>
      <c r="W7"/>
    </row>
    <row r="8" spans="1:23" ht="26.4" x14ac:dyDescent="0.25">
      <c r="A8" s="155" t="str">
        <f ca="1">HYPERLINK(MID(CELL("filename",A1),FIND("[",CELL("filename",A1)),FIND("]",CELL("filename",A1)) - FIND("[",CELL("filename",A1)) + 1) &amp; "'x-201'!TABLE_CLIENT_1","x-201 1")</f>
        <v>x-201 1</v>
      </c>
      <c r="B8" s="75" t="s">
        <v>319</v>
      </c>
      <c r="C8" s="75">
        <v>1992</v>
      </c>
      <c r="D8" s="75" t="s">
        <v>320</v>
      </c>
      <c r="E8" s="75" t="s">
        <v>321</v>
      </c>
      <c r="F8" s="75" t="s">
        <v>322</v>
      </c>
      <c r="G8" s="75" t="s">
        <v>323</v>
      </c>
      <c r="H8" s="75">
        <v>2</v>
      </c>
      <c r="I8" s="73">
        <v>201</v>
      </c>
      <c r="J8" t="s">
        <v>324</v>
      </c>
      <c r="K8" s="74" t="s">
        <v>325</v>
      </c>
      <c r="L8" s="74"/>
      <c r="M8" s="156">
        <v>45070</v>
      </c>
      <c r="N8" s="156">
        <v>45014</v>
      </c>
      <c r="O8" s="75" t="s">
        <v>326</v>
      </c>
      <c r="P8" s="156" t="s">
        <v>327</v>
      </c>
    </row>
    <row r="9" spans="1:23" ht="26.4" x14ac:dyDescent="0.25">
      <c r="A9" s="155" t="str">
        <f ca="1">HYPERLINK(MID(CELL("filename",A1),FIND("[",CELL("filename",A1)),FIND("]",CELL("filename",A1)) - FIND("[",CELL("filename",A1)) + 1) &amp; "'x-202'!TABLE_CLIENT_1","x-202 1")</f>
        <v>x-202 1</v>
      </c>
      <c r="B9" s="75" t="s">
        <v>319</v>
      </c>
      <c r="C9" s="75">
        <v>1992</v>
      </c>
      <c r="D9" s="75" t="s">
        <v>320</v>
      </c>
      <c r="E9" s="75" t="s">
        <v>321</v>
      </c>
      <c r="F9" s="75" t="s">
        <v>328</v>
      </c>
      <c r="G9" s="75" t="s">
        <v>323</v>
      </c>
      <c r="H9" s="75">
        <v>2</v>
      </c>
      <c r="I9" s="73">
        <v>202</v>
      </c>
      <c r="J9" t="s">
        <v>329</v>
      </c>
      <c r="K9" s="74" t="s">
        <v>330</v>
      </c>
      <c r="L9" s="74"/>
      <c r="M9" s="156">
        <v>45070</v>
      </c>
      <c r="N9" s="156">
        <v>45014</v>
      </c>
      <c r="O9" s="75" t="s">
        <v>326</v>
      </c>
      <c r="P9" s="156" t="s">
        <v>327</v>
      </c>
    </row>
    <row r="10" spans="1:23" ht="26.4" x14ac:dyDescent="0.25">
      <c r="A10" s="155" t="str">
        <f ca="1">HYPERLINK(MID(CELL("filename",A1),FIND("[",CELL("filename",A1)),FIND("]",CELL("filename",A1)) - FIND("[",CELL("filename",A1)) + 1) &amp; "'x-203'!TABLE_CLIENT_1","x-203 1")</f>
        <v>x-203 1</v>
      </c>
      <c r="B10" s="75" t="s">
        <v>319</v>
      </c>
      <c r="C10" s="75">
        <v>2007</v>
      </c>
      <c r="D10" s="75" t="s">
        <v>320</v>
      </c>
      <c r="E10" s="75" t="s">
        <v>331</v>
      </c>
      <c r="F10" s="75" t="s">
        <v>322</v>
      </c>
      <c r="G10" s="75" t="s">
        <v>323</v>
      </c>
      <c r="H10" s="75">
        <v>1</v>
      </c>
      <c r="I10" s="73">
        <v>203</v>
      </c>
      <c r="J10" t="s">
        <v>332</v>
      </c>
      <c r="K10" s="74" t="s">
        <v>325</v>
      </c>
      <c r="L10" s="74"/>
      <c r="M10" s="156">
        <v>45070</v>
      </c>
      <c r="N10" s="156">
        <v>45014</v>
      </c>
      <c r="O10" s="75" t="s">
        <v>326</v>
      </c>
      <c r="P10" s="156" t="s">
        <v>327</v>
      </c>
    </row>
    <row r="11" spans="1:23" ht="26.4" x14ac:dyDescent="0.25">
      <c r="A11" s="155" t="str">
        <f ca="1">HYPERLINK(MID(CELL("filename",A1),FIND("[",CELL("filename",A1)),FIND("]",CELL("filename",A1)) - FIND("[",CELL("filename",A1)) + 1) &amp; "'x-204'!TABLE_CLIENT_1","x-204 1")</f>
        <v>x-204 1</v>
      </c>
      <c r="B11" s="75" t="s">
        <v>319</v>
      </c>
      <c r="C11" s="75">
        <v>2007</v>
      </c>
      <c r="D11" s="75" t="s">
        <v>320</v>
      </c>
      <c r="E11" s="75" t="s">
        <v>333</v>
      </c>
      <c r="F11" s="75" t="s">
        <v>328</v>
      </c>
      <c r="G11" s="75" t="s">
        <v>323</v>
      </c>
      <c r="H11" s="75">
        <v>1</v>
      </c>
      <c r="I11" s="73">
        <v>204</v>
      </c>
      <c r="J11" t="s">
        <v>334</v>
      </c>
      <c r="K11" s="74" t="s">
        <v>330</v>
      </c>
      <c r="L11" s="74"/>
      <c r="M11" s="156">
        <v>45070</v>
      </c>
      <c r="N11" s="156">
        <v>45014</v>
      </c>
      <c r="O11" s="75" t="s">
        <v>326</v>
      </c>
      <c r="P11" s="156" t="s">
        <v>327</v>
      </c>
    </row>
    <row r="12" spans="1:23" ht="26.4" x14ac:dyDescent="0.25">
      <c r="A12" s="155" t="str">
        <f ca="1">HYPERLINK(MID(CELL("filename",A1),FIND("[",CELL("filename",A1)),FIND("]",CELL("filename",A1)) - FIND("[",CELL("filename",A1)) + 1) &amp; "'x-205'!TABLE_CLIENT_1","x-205 1")</f>
        <v>x-205 1</v>
      </c>
      <c r="B12" s="75" t="s">
        <v>319</v>
      </c>
      <c r="C12" s="75">
        <v>2007</v>
      </c>
      <c r="D12" s="75" t="s">
        <v>320</v>
      </c>
      <c r="E12" s="75" t="s">
        <v>335</v>
      </c>
      <c r="F12" s="75" t="s">
        <v>328</v>
      </c>
      <c r="G12" s="75" t="s">
        <v>323</v>
      </c>
      <c r="H12" s="75">
        <v>1</v>
      </c>
      <c r="I12" s="73">
        <v>205</v>
      </c>
      <c r="J12" t="s">
        <v>336</v>
      </c>
      <c r="K12" s="74" t="s">
        <v>337</v>
      </c>
      <c r="L12" s="74"/>
      <c r="M12" s="156">
        <v>45070</v>
      </c>
      <c r="N12" s="156">
        <v>45014</v>
      </c>
      <c r="O12" s="75" t="s">
        <v>326</v>
      </c>
      <c r="P12" s="156" t="s">
        <v>327</v>
      </c>
    </row>
    <row r="13" spans="1:23" s="76" customFormat="1" ht="26.4" x14ac:dyDescent="0.25">
      <c r="A13" s="155" t="str">
        <f ca="1">HYPERLINK(MID(CELL("filename",A1),FIND("[",CELL("filename",A1)),FIND("]",CELL("filename",A1)) - FIND("[",CELL("filename",A1)) + 1) &amp; "'x-206'!TABLE_CLIENT_1","x-206 1")</f>
        <v>x-206 1</v>
      </c>
      <c r="B13" s="75" t="s">
        <v>319</v>
      </c>
      <c r="C13" s="75">
        <v>2007</v>
      </c>
      <c r="D13" s="75" t="s">
        <v>320</v>
      </c>
      <c r="E13" s="75" t="s">
        <v>321</v>
      </c>
      <c r="F13" s="75" t="s">
        <v>322</v>
      </c>
      <c r="G13" s="75" t="s">
        <v>323</v>
      </c>
      <c r="H13" s="75">
        <v>1</v>
      </c>
      <c r="I13" s="73">
        <v>206</v>
      </c>
      <c r="J13" t="s">
        <v>338</v>
      </c>
      <c r="K13" s="74" t="s">
        <v>339</v>
      </c>
      <c r="L13" s="74"/>
      <c r="M13" s="156">
        <v>45070</v>
      </c>
      <c r="N13" s="156">
        <v>45014</v>
      </c>
      <c r="O13" s="75" t="s">
        <v>326</v>
      </c>
      <c r="P13" s="156" t="s">
        <v>327</v>
      </c>
      <c r="Q13"/>
      <c r="R13"/>
      <c r="S13"/>
      <c r="T13"/>
      <c r="U13"/>
      <c r="V13"/>
      <c r="W13"/>
    </row>
    <row r="14" spans="1:23" s="76" customFormat="1" ht="26.4" x14ac:dyDescent="0.25">
      <c r="A14" s="155" t="str">
        <f ca="1">HYPERLINK(MID(CELL("filename",A1),FIND("[",CELL("filename",A1)),FIND("]",CELL("filename",A1)) - FIND("[",CELL("filename",A1)) + 1) &amp; "'x-207'!TABLE_CLIENT_1","x-207 1")</f>
        <v>x-207 1</v>
      </c>
      <c r="B14" s="75" t="s">
        <v>319</v>
      </c>
      <c r="C14" s="75">
        <v>2007</v>
      </c>
      <c r="D14" s="75" t="s">
        <v>320</v>
      </c>
      <c r="E14" s="75" t="s">
        <v>321</v>
      </c>
      <c r="F14" s="75" t="s">
        <v>328</v>
      </c>
      <c r="G14" s="75" t="s">
        <v>323</v>
      </c>
      <c r="H14" s="75">
        <v>1</v>
      </c>
      <c r="I14" s="73">
        <v>207</v>
      </c>
      <c r="J14" t="s">
        <v>340</v>
      </c>
      <c r="K14" s="74" t="s">
        <v>341</v>
      </c>
      <c r="L14" s="74"/>
      <c r="M14" s="156">
        <v>45070</v>
      </c>
      <c r="N14" s="156">
        <v>45014</v>
      </c>
      <c r="O14" s="75" t="s">
        <v>326</v>
      </c>
      <c r="P14" s="156" t="s">
        <v>327</v>
      </c>
      <c r="Q14"/>
      <c r="R14"/>
      <c r="S14"/>
      <c r="T14"/>
      <c r="U14"/>
      <c r="V14"/>
      <c r="W14"/>
    </row>
    <row r="15" spans="1:23" ht="26.4" x14ac:dyDescent="0.25">
      <c r="A15" s="155" t="str">
        <f ca="1">HYPERLINK(MID(CELL("filename",A1),FIND("[",CELL("filename",A1)),FIND("]",CELL("filename",A1)) - FIND("[",CELL("filename",A1)) + 1) &amp; "'x-208'!TABLE_CLIENT_1","x-208 1")</f>
        <v>x-208 1</v>
      </c>
      <c r="B15" s="75" t="s">
        <v>319</v>
      </c>
      <c r="C15" s="75">
        <v>2015</v>
      </c>
      <c r="D15" s="75" t="s">
        <v>320</v>
      </c>
      <c r="E15" s="75" t="s">
        <v>342</v>
      </c>
      <c r="F15" s="75" t="s">
        <v>322</v>
      </c>
      <c r="G15" s="75" t="s">
        <v>323</v>
      </c>
      <c r="H15" s="75">
        <v>0</v>
      </c>
      <c r="I15" s="73">
        <v>208</v>
      </c>
      <c r="J15" t="s">
        <v>343</v>
      </c>
      <c r="K15" s="74" t="s">
        <v>344</v>
      </c>
      <c r="L15" s="74"/>
      <c r="M15" s="156">
        <v>45070</v>
      </c>
      <c r="N15" s="156">
        <v>45014</v>
      </c>
      <c r="O15" s="75" t="s">
        <v>326</v>
      </c>
      <c r="P15" s="156" t="s">
        <v>327</v>
      </c>
    </row>
    <row r="16" spans="1:23" ht="26.4" x14ac:dyDescent="0.25">
      <c r="A16" s="155" t="str">
        <f ca="1">HYPERLINK(MID(CELL("filename",A1),FIND("[",CELL("filename",A1)),FIND("]",CELL("filename",A1)) - FIND("[",CELL("filename",A1)) + 1) &amp; "'x-209'!TABLE_CLIENT_1","x-209 1")</f>
        <v>x-209 1</v>
      </c>
      <c r="B16" s="75" t="s">
        <v>319</v>
      </c>
      <c r="C16" s="75">
        <v>2015</v>
      </c>
      <c r="D16" s="75" t="s">
        <v>320</v>
      </c>
      <c r="E16" s="75" t="s">
        <v>342</v>
      </c>
      <c r="F16" s="75" t="s">
        <v>328</v>
      </c>
      <c r="G16" s="75" t="s">
        <v>323</v>
      </c>
      <c r="H16" s="75">
        <v>0</v>
      </c>
      <c r="I16" s="73">
        <v>209</v>
      </c>
      <c r="J16" t="s">
        <v>345</v>
      </c>
      <c r="K16" s="74" t="s">
        <v>346</v>
      </c>
      <c r="L16" s="74"/>
      <c r="M16" s="156">
        <v>45070</v>
      </c>
      <c r="N16" s="156">
        <v>45014</v>
      </c>
      <c r="O16" s="75" t="s">
        <v>326</v>
      </c>
      <c r="P16" s="156" t="s">
        <v>327</v>
      </c>
    </row>
    <row r="17" spans="1:16" ht="26.4" x14ac:dyDescent="0.25">
      <c r="A17" s="155" t="str">
        <f ca="1">HYPERLINK(MID(CELL("filename",A1),FIND("[",CELL("filename",A1)),FIND("]",CELL("filename",A1)) - FIND("[",CELL("filename",A1)) + 1) &amp; "'x-210'!TABLE_CLIENT_1","x-210 1")</f>
        <v>x-210 1</v>
      </c>
      <c r="B17" s="75" t="s">
        <v>319</v>
      </c>
      <c r="C17" s="75">
        <v>2015</v>
      </c>
      <c r="D17" s="75" t="s">
        <v>320</v>
      </c>
      <c r="E17" s="75" t="s">
        <v>347</v>
      </c>
      <c r="F17" s="75" t="s">
        <v>322</v>
      </c>
      <c r="G17" s="75" t="s">
        <v>323</v>
      </c>
      <c r="H17" s="75">
        <v>0</v>
      </c>
      <c r="I17" s="73">
        <v>210</v>
      </c>
      <c r="J17" t="s">
        <v>348</v>
      </c>
      <c r="K17" s="74" t="s">
        <v>349</v>
      </c>
      <c r="L17" s="74"/>
      <c r="M17" s="156">
        <v>45070</v>
      </c>
      <c r="N17" s="156">
        <v>45014</v>
      </c>
      <c r="O17" s="75" t="s">
        <v>326</v>
      </c>
      <c r="P17" s="156" t="s">
        <v>327</v>
      </c>
    </row>
    <row r="18" spans="1:16" ht="26.4" x14ac:dyDescent="0.25">
      <c r="A18" s="155" t="str">
        <f ca="1">HYPERLINK(MID(CELL("filename",A1),FIND("[",CELL("filename",A1)),FIND("]",CELL("filename",A1)) - FIND("[",CELL("filename",A1)) + 1) &amp; "'x-211'!TABLE_CLIENT_1","x-211 1")</f>
        <v>x-211 1</v>
      </c>
      <c r="B18" s="75" t="s">
        <v>319</v>
      </c>
      <c r="C18" s="75">
        <v>2015</v>
      </c>
      <c r="D18" s="75" t="s">
        <v>320</v>
      </c>
      <c r="E18" s="75" t="s">
        <v>347</v>
      </c>
      <c r="F18" s="75" t="s">
        <v>328</v>
      </c>
      <c r="G18" s="75" t="s">
        <v>323</v>
      </c>
      <c r="H18" s="75">
        <v>0</v>
      </c>
      <c r="I18" s="73">
        <v>211</v>
      </c>
      <c r="J18" t="s">
        <v>350</v>
      </c>
      <c r="K18" s="74" t="s">
        <v>351</v>
      </c>
      <c r="L18" s="74"/>
      <c r="M18" s="156">
        <v>45070</v>
      </c>
      <c r="N18" s="156">
        <v>45014</v>
      </c>
      <c r="O18" s="75" t="s">
        <v>326</v>
      </c>
      <c r="P18" s="156" t="s">
        <v>327</v>
      </c>
    </row>
    <row r="19" spans="1:16" ht="26.4" x14ac:dyDescent="0.25">
      <c r="A19" s="155" t="str">
        <f ca="1">HYPERLINK(MID(CELL("filename",A1),FIND("[",CELL("filename",A1)),FIND("]",CELL("filename",A1)) - FIND("[",CELL("filename",A1)) + 1) &amp; "'x-212'!TABLE_CLIENT_1","x-212 1")</f>
        <v>x-212 1</v>
      </c>
      <c r="B19" s="75" t="s">
        <v>319</v>
      </c>
      <c r="C19" s="75">
        <v>2015</v>
      </c>
      <c r="D19" s="75" t="s">
        <v>320</v>
      </c>
      <c r="E19" s="75" t="s">
        <v>352</v>
      </c>
      <c r="F19" s="75" t="s">
        <v>322</v>
      </c>
      <c r="G19" s="75" t="s">
        <v>323</v>
      </c>
      <c r="H19" s="75">
        <v>0</v>
      </c>
      <c r="I19" s="73">
        <v>212</v>
      </c>
      <c r="J19" t="s">
        <v>353</v>
      </c>
      <c r="K19" s="74" t="s">
        <v>354</v>
      </c>
      <c r="L19" s="74"/>
      <c r="M19" s="156">
        <v>45070</v>
      </c>
      <c r="N19" s="156">
        <v>45014</v>
      </c>
      <c r="O19" s="75" t="s">
        <v>326</v>
      </c>
      <c r="P19" s="156" t="s">
        <v>327</v>
      </c>
    </row>
    <row r="20" spans="1:16" ht="26.4" x14ac:dyDescent="0.25">
      <c r="A20" s="155" t="str">
        <f ca="1">HYPERLINK(MID(CELL("filename",A1),FIND("[",CELL("filename",A1)),FIND("]",CELL("filename",A1)) - FIND("[",CELL("filename",A1)) + 1) &amp; "'x-213'!TABLE_CLIENT_1","x-213 1")</f>
        <v>x-213 1</v>
      </c>
      <c r="B20" s="75" t="s">
        <v>319</v>
      </c>
      <c r="C20" s="75">
        <v>2015</v>
      </c>
      <c r="D20" s="75" t="s">
        <v>320</v>
      </c>
      <c r="E20" s="75" t="s">
        <v>352</v>
      </c>
      <c r="F20" s="75" t="s">
        <v>328</v>
      </c>
      <c r="G20" s="75" t="s">
        <v>323</v>
      </c>
      <c r="H20" s="75">
        <v>0</v>
      </c>
      <c r="I20" s="73">
        <v>213</v>
      </c>
      <c r="J20" t="s">
        <v>355</v>
      </c>
      <c r="K20" s="74" t="s">
        <v>356</v>
      </c>
      <c r="L20" s="74"/>
      <c r="M20" s="156">
        <v>45070</v>
      </c>
      <c r="N20" s="156">
        <v>45014</v>
      </c>
      <c r="O20" s="75" t="s">
        <v>326</v>
      </c>
      <c r="P20" s="156" t="s">
        <v>327</v>
      </c>
    </row>
    <row r="21" spans="1:16" ht="26.4" x14ac:dyDescent="0.25">
      <c r="A21" s="155" t="str">
        <f ca="1">HYPERLINK(MID(CELL("filename",A1),FIND("[",CELL("filename",A1)),FIND("]",CELL("filename",A1)) - FIND("[",CELL("filename",A1)) + 1) &amp; "'x-214'!TABLE_CLIENT_1","x-214 1")</f>
        <v>x-214 1</v>
      </c>
      <c r="B21" s="75" t="s">
        <v>319</v>
      </c>
      <c r="C21" s="75">
        <v>2015</v>
      </c>
      <c r="D21" s="75" t="s">
        <v>320</v>
      </c>
      <c r="E21" s="75" t="s">
        <v>357</v>
      </c>
      <c r="F21" s="75" t="s">
        <v>322</v>
      </c>
      <c r="G21" s="75" t="s">
        <v>323</v>
      </c>
      <c r="H21" s="75">
        <v>0</v>
      </c>
      <c r="I21" s="73">
        <v>214</v>
      </c>
      <c r="J21" t="s">
        <v>358</v>
      </c>
      <c r="K21" s="74" t="s">
        <v>359</v>
      </c>
      <c r="L21" s="74"/>
      <c r="M21" s="156">
        <v>45070</v>
      </c>
      <c r="N21" s="156">
        <v>45014</v>
      </c>
      <c r="O21" s="75" t="s">
        <v>326</v>
      </c>
      <c r="P21" s="156" t="s">
        <v>327</v>
      </c>
    </row>
    <row r="22" spans="1:16" ht="26.4" x14ac:dyDescent="0.25">
      <c r="A22" s="155" t="str">
        <f ca="1">HYPERLINK(MID(CELL("filename",A1),FIND("[",CELL("filename",A1)),FIND("]",CELL("filename",A1)) - FIND("[",CELL("filename",A1)) + 1) &amp; "'x-215'!TABLE_CLIENT_1","x-215 1")</f>
        <v>x-215 1</v>
      </c>
      <c r="B22" s="75" t="s">
        <v>319</v>
      </c>
      <c r="C22" s="75">
        <v>2015</v>
      </c>
      <c r="D22" s="75" t="s">
        <v>320</v>
      </c>
      <c r="E22" s="75" t="s">
        <v>357</v>
      </c>
      <c r="F22" s="75" t="s">
        <v>328</v>
      </c>
      <c r="G22" s="75" t="s">
        <v>323</v>
      </c>
      <c r="H22" s="75">
        <v>0</v>
      </c>
      <c r="I22" s="73">
        <v>215</v>
      </c>
      <c r="J22" t="s">
        <v>360</v>
      </c>
      <c r="K22" s="74" t="s">
        <v>361</v>
      </c>
      <c r="L22" s="74"/>
      <c r="M22" s="156">
        <v>45070</v>
      </c>
      <c r="N22" s="156">
        <v>45014</v>
      </c>
      <c r="O22" s="75" t="s">
        <v>326</v>
      </c>
      <c r="P22" s="156" t="s">
        <v>327</v>
      </c>
    </row>
    <row r="23" spans="1:16" ht="26.4" x14ac:dyDescent="0.25">
      <c r="A23" s="155" t="str">
        <f ca="1">HYPERLINK(MID(CELL("filename",A1),FIND("[",CELL("filename",A1)),FIND("]",CELL("filename",A1)) - FIND("[",CELL("filename",A1)) + 1) &amp; "'x-220'!TABLE_CLIENT_1","x-220 1")</f>
        <v>x-220 1</v>
      </c>
      <c r="B23" s="75" t="s">
        <v>319</v>
      </c>
      <c r="C23" s="75">
        <v>2015</v>
      </c>
      <c r="D23" s="75" t="s">
        <v>362</v>
      </c>
      <c r="E23" s="75" t="s">
        <v>363</v>
      </c>
      <c r="F23" s="75" t="s">
        <v>322</v>
      </c>
      <c r="G23" s="75" t="s">
        <v>323</v>
      </c>
      <c r="H23" s="75">
        <v>0</v>
      </c>
      <c r="I23" s="73">
        <v>220</v>
      </c>
      <c r="J23" t="s">
        <v>364</v>
      </c>
      <c r="K23" s="74" t="s">
        <v>365</v>
      </c>
      <c r="L23" s="74"/>
      <c r="M23" s="156">
        <v>45106</v>
      </c>
      <c r="N23" s="156">
        <v>45014</v>
      </c>
      <c r="O23" s="75" t="s">
        <v>326</v>
      </c>
      <c r="P23" s="156" t="s">
        <v>327</v>
      </c>
    </row>
    <row r="24" spans="1:16" ht="26.4" x14ac:dyDescent="0.25">
      <c r="A24" s="155" t="str">
        <f ca="1">HYPERLINK(MID(CELL("filename",A1),FIND("[",CELL("filename",A1)),FIND("]",CELL("filename",A1)) - FIND("[",CELL("filename",A1)) + 1) &amp; "'x-221'!TABLE_CLIENT_1","x-221 1")</f>
        <v>x-221 1</v>
      </c>
      <c r="B24" s="75" t="s">
        <v>319</v>
      </c>
      <c r="C24" s="75">
        <v>2015</v>
      </c>
      <c r="D24" s="75" t="s">
        <v>362</v>
      </c>
      <c r="E24" s="75" t="s">
        <v>363</v>
      </c>
      <c r="F24" s="75" t="s">
        <v>328</v>
      </c>
      <c r="G24" s="75" t="s">
        <v>323</v>
      </c>
      <c r="H24" s="75">
        <v>0</v>
      </c>
      <c r="I24" s="73">
        <v>221</v>
      </c>
      <c r="J24" t="s">
        <v>366</v>
      </c>
      <c r="K24" s="74" t="s">
        <v>367</v>
      </c>
      <c r="L24" s="74"/>
      <c r="M24" s="156">
        <v>45106</v>
      </c>
      <c r="N24" s="156">
        <v>45014</v>
      </c>
      <c r="O24" s="75" t="s">
        <v>326</v>
      </c>
      <c r="P24" s="156" t="s">
        <v>327</v>
      </c>
    </row>
    <row r="25" spans="1:16" ht="26.4" x14ac:dyDescent="0.25">
      <c r="A25" s="155" t="str">
        <f ca="1">HYPERLINK(MID(CELL("filename",A1),FIND("[",CELL("filename",A1)),FIND("]",CELL("filename",A1)) - FIND("[",CELL("filename",A1)) + 1) &amp; "'x-301'!TABLE_CLIENT_1","x-301 1")</f>
        <v>x-301 1</v>
      </c>
      <c r="B25" s="75" t="s">
        <v>319</v>
      </c>
      <c r="C25" s="75">
        <v>1992</v>
      </c>
      <c r="D25" s="75" t="s">
        <v>368</v>
      </c>
      <c r="E25" s="75" t="s">
        <v>369</v>
      </c>
      <c r="F25" s="75" t="s">
        <v>322</v>
      </c>
      <c r="G25" s="75" t="s">
        <v>323</v>
      </c>
      <c r="H25" s="75">
        <v>2</v>
      </c>
      <c r="I25" s="73">
        <v>301</v>
      </c>
      <c r="J25" t="s">
        <v>370</v>
      </c>
      <c r="K25" s="74" t="s">
        <v>371</v>
      </c>
      <c r="L25" s="74"/>
      <c r="M25" s="156">
        <v>45070</v>
      </c>
      <c r="N25" s="156">
        <v>45014</v>
      </c>
      <c r="O25" s="75" t="s">
        <v>326</v>
      </c>
      <c r="P25" s="156" t="s">
        <v>327</v>
      </c>
    </row>
    <row r="26" spans="1:16" ht="26.4" x14ac:dyDescent="0.25">
      <c r="A26" s="155" t="str">
        <f ca="1">HYPERLINK(MID(CELL("filename",A1),FIND("[",CELL("filename",A1)),FIND("]",CELL("filename",A1)) - FIND("[",CELL("filename",A1)) + 1) &amp; "'x-302'!TABLE_CLIENT_1","x-302 1")</f>
        <v>x-302 1</v>
      </c>
      <c r="B26" s="75" t="s">
        <v>319</v>
      </c>
      <c r="C26" s="75">
        <v>1992</v>
      </c>
      <c r="D26" s="75" t="s">
        <v>368</v>
      </c>
      <c r="E26" s="75" t="s">
        <v>369</v>
      </c>
      <c r="F26" s="75" t="s">
        <v>328</v>
      </c>
      <c r="G26" s="75" t="s">
        <v>323</v>
      </c>
      <c r="H26" s="75">
        <v>2</v>
      </c>
      <c r="I26" s="73">
        <v>302</v>
      </c>
      <c r="J26" t="s">
        <v>372</v>
      </c>
      <c r="K26" s="74" t="s">
        <v>373</v>
      </c>
      <c r="L26" s="74"/>
      <c r="M26" s="156">
        <v>45070</v>
      </c>
      <c r="N26" s="156">
        <v>45014</v>
      </c>
      <c r="O26" s="75" t="s">
        <v>326</v>
      </c>
      <c r="P26" s="156" t="s">
        <v>327</v>
      </c>
    </row>
    <row r="27" spans="1:16" ht="26.4" x14ac:dyDescent="0.25">
      <c r="A27" s="155" t="str">
        <f ca="1">HYPERLINK(MID(CELL("filename",A1),FIND("[",CELL("filename",A1)),FIND("]",CELL("filename",A1)) - FIND("[",CELL("filename",A1)) + 1) &amp; "'x-303'!TABLE_CLIENT_1","x-303 1")</f>
        <v>x-303 1</v>
      </c>
      <c r="B27" s="75" t="s">
        <v>319</v>
      </c>
      <c r="C27" s="75">
        <v>1992</v>
      </c>
      <c r="D27" s="75" t="s">
        <v>368</v>
      </c>
      <c r="E27" s="75" t="s">
        <v>374</v>
      </c>
      <c r="F27" s="75" t="s">
        <v>322</v>
      </c>
      <c r="G27" s="75" t="s">
        <v>323</v>
      </c>
      <c r="H27" s="75">
        <v>2</v>
      </c>
      <c r="I27" s="73">
        <v>303</v>
      </c>
      <c r="J27" t="s">
        <v>375</v>
      </c>
      <c r="K27" s="74" t="s">
        <v>376</v>
      </c>
      <c r="L27" s="74"/>
      <c r="M27" s="156">
        <v>45070</v>
      </c>
      <c r="N27" s="156">
        <v>45014</v>
      </c>
      <c r="O27" s="75" t="s">
        <v>326</v>
      </c>
      <c r="P27" s="156" t="s">
        <v>327</v>
      </c>
    </row>
    <row r="28" spans="1:16" ht="26.4" x14ac:dyDescent="0.25">
      <c r="A28" s="155" t="str">
        <f ca="1">HYPERLINK(MID(CELL("filename",A1),FIND("[",CELL("filename",A1)),FIND("]",CELL("filename",A1)) - FIND("[",CELL("filename",A1)) + 1) &amp; "'x-304'!TABLE_CLIENT_1","x-304 1")</f>
        <v>x-304 1</v>
      </c>
      <c r="B28" s="75" t="s">
        <v>319</v>
      </c>
      <c r="C28" s="75">
        <v>1992</v>
      </c>
      <c r="D28" s="75" t="s">
        <v>368</v>
      </c>
      <c r="E28" s="75" t="s">
        <v>374</v>
      </c>
      <c r="F28" s="75" t="s">
        <v>328</v>
      </c>
      <c r="G28" s="75" t="s">
        <v>323</v>
      </c>
      <c r="H28" s="75">
        <v>2</v>
      </c>
      <c r="I28" s="73">
        <v>304</v>
      </c>
      <c r="J28" t="s">
        <v>377</v>
      </c>
      <c r="K28" s="74" t="s">
        <v>378</v>
      </c>
      <c r="L28" s="74"/>
      <c r="M28" s="156">
        <v>45070</v>
      </c>
      <c r="N28" s="156">
        <v>45014</v>
      </c>
      <c r="O28" s="75" t="s">
        <v>326</v>
      </c>
      <c r="P28" s="156" t="s">
        <v>327</v>
      </c>
    </row>
    <row r="29" spans="1:16" ht="26.4" x14ac:dyDescent="0.25">
      <c r="A29" s="155" t="str">
        <f ca="1">HYPERLINK(MID(CELL("filename",A1),FIND("[",CELL("filename",A1)),FIND("]",CELL("filename",A1)) - FIND("[",CELL("filename",A1)) + 1) &amp; "'x-305'!TABLE_CLIENT_1","x-305 1")</f>
        <v>x-305 1</v>
      </c>
      <c r="B29" s="75" t="s">
        <v>319</v>
      </c>
      <c r="C29" s="75">
        <v>2007</v>
      </c>
      <c r="D29" s="75" t="s">
        <v>368</v>
      </c>
      <c r="E29" s="75" t="s">
        <v>369</v>
      </c>
      <c r="F29" s="75" t="s">
        <v>322</v>
      </c>
      <c r="G29" s="75" t="s">
        <v>323</v>
      </c>
      <c r="H29" s="75">
        <v>1</v>
      </c>
      <c r="I29" s="73">
        <v>305</v>
      </c>
      <c r="J29" t="s">
        <v>379</v>
      </c>
      <c r="K29" s="74" t="s">
        <v>371</v>
      </c>
      <c r="L29" s="74"/>
      <c r="M29" s="156">
        <v>45070</v>
      </c>
      <c r="N29" s="156">
        <v>45014</v>
      </c>
      <c r="O29" s="75" t="s">
        <v>326</v>
      </c>
      <c r="P29" s="156" t="s">
        <v>327</v>
      </c>
    </row>
    <row r="30" spans="1:16" ht="26.4" x14ac:dyDescent="0.25">
      <c r="A30" s="155" t="str">
        <f ca="1">HYPERLINK(MID(CELL("filename",A1),FIND("[",CELL("filename",A1)),FIND("]",CELL("filename",A1)) - FIND("[",CELL("filename",A1)) + 1) &amp; "'x-306'!TABLE_CLIENT_1","x-306 1")</f>
        <v>x-306 1</v>
      </c>
      <c r="B30" s="75" t="s">
        <v>319</v>
      </c>
      <c r="C30" s="75">
        <v>2007</v>
      </c>
      <c r="D30" s="75" t="s">
        <v>368</v>
      </c>
      <c r="E30" s="75" t="s">
        <v>369</v>
      </c>
      <c r="F30" s="75" t="s">
        <v>328</v>
      </c>
      <c r="G30" s="75" t="s">
        <v>323</v>
      </c>
      <c r="H30" s="75">
        <v>1</v>
      </c>
      <c r="I30" s="73">
        <v>306</v>
      </c>
      <c r="J30" t="s">
        <v>380</v>
      </c>
      <c r="K30" s="74" t="s">
        <v>373</v>
      </c>
      <c r="L30" s="74"/>
      <c r="M30" s="156">
        <v>45070</v>
      </c>
      <c r="N30" s="156">
        <v>45014</v>
      </c>
      <c r="O30" s="75" t="s">
        <v>326</v>
      </c>
      <c r="P30" s="156" t="s">
        <v>327</v>
      </c>
    </row>
    <row r="31" spans="1:16" ht="26.4" x14ac:dyDescent="0.25">
      <c r="A31" s="155" t="str">
        <f ca="1">HYPERLINK(MID(CELL("filename",A1),FIND("[",CELL("filename",A1)),FIND("]",CELL("filename",A1)) - FIND("[",CELL("filename",A1)) + 1) &amp; "'x-307'!TABLE_CLIENT_1","x-307 1")</f>
        <v>x-307 1</v>
      </c>
      <c r="B31" s="75" t="s">
        <v>319</v>
      </c>
      <c r="C31" s="75">
        <v>2007</v>
      </c>
      <c r="D31" s="75" t="s">
        <v>368</v>
      </c>
      <c r="E31" s="75" t="s">
        <v>374</v>
      </c>
      <c r="F31" s="75" t="s">
        <v>322</v>
      </c>
      <c r="G31" s="75" t="s">
        <v>323</v>
      </c>
      <c r="H31" s="75">
        <v>1</v>
      </c>
      <c r="I31" s="73">
        <v>307</v>
      </c>
      <c r="J31" t="s">
        <v>381</v>
      </c>
      <c r="K31" s="74" t="s">
        <v>376</v>
      </c>
      <c r="L31" s="74"/>
      <c r="M31" s="156">
        <v>45070</v>
      </c>
      <c r="N31" s="156">
        <v>45014</v>
      </c>
      <c r="O31" s="75" t="s">
        <v>326</v>
      </c>
      <c r="P31" s="156" t="s">
        <v>327</v>
      </c>
    </row>
    <row r="32" spans="1:16" ht="26.4" x14ac:dyDescent="0.25">
      <c r="A32" s="155" t="str">
        <f ca="1">HYPERLINK(MID(CELL("filename",A1),FIND("[",CELL("filename",A1)),FIND("]",CELL("filename",A1)) - FIND("[",CELL("filename",A1)) + 1) &amp; "'x-308'!TABLE_CLIENT_1","x-308 1")</f>
        <v>x-308 1</v>
      </c>
      <c r="B32" s="75" t="s">
        <v>319</v>
      </c>
      <c r="C32" s="75">
        <v>2007</v>
      </c>
      <c r="D32" s="75" t="s">
        <v>368</v>
      </c>
      <c r="E32" s="75" t="s">
        <v>374</v>
      </c>
      <c r="F32" s="75" t="s">
        <v>328</v>
      </c>
      <c r="G32" s="75" t="s">
        <v>323</v>
      </c>
      <c r="H32" s="75">
        <v>1</v>
      </c>
      <c r="I32" s="73">
        <v>308</v>
      </c>
      <c r="J32" t="s">
        <v>382</v>
      </c>
      <c r="K32" s="74" t="s">
        <v>378</v>
      </c>
      <c r="L32" s="74"/>
      <c r="M32" s="156">
        <v>45070</v>
      </c>
      <c r="N32" s="156">
        <v>45014</v>
      </c>
      <c r="O32" s="75" t="s">
        <v>326</v>
      </c>
      <c r="P32" s="156" t="s">
        <v>327</v>
      </c>
    </row>
    <row r="33" spans="1:16" ht="26.4" x14ac:dyDescent="0.25">
      <c r="A33" s="155" t="str">
        <f ca="1">HYPERLINK(MID(CELL("filename",A1),FIND("[",CELL("filename",A1)),FIND("]",CELL("filename",A1)) - FIND("[",CELL("filename",A1)) + 1) &amp; "'x-309'!TABLE_CLIENT_1","x-309 1")</f>
        <v>x-309 1</v>
      </c>
      <c r="B33" s="75" t="s">
        <v>319</v>
      </c>
      <c r="C33" s="75">
        <v>2015</v>
      </c>
      <c r="D33" s="75" t="s">
        <v>368</v>
      </c>
      <c r="E33" s="75" t="s">
        <v>369</v>
      </c>
      <c r="F33" s="75" t="s">
        <v>322</v>
      </c>
      <c r="G33" s="75" t="s">
        <v>323</v>
      </c>
      <c r="H33" s="75">
        <v>0</v>
      </c>
      <c r="I33" s="73">
        <v>309</v>
      </c>
      <c r="J33" t="s">
        <v>383</v>
      </c>
      <c r="K33" s="74" t="s">
        <v>325</v>
      </c>
      <c r="L33" s="74"/>
      <c r="M33" s="156">
        <v>45070</v>
      </c>
      <c r="N33" s="156">
        <v>45014</v>
      </c>
      <c r="O33" s="75" t="s">
        <v>326</v>
      </c>
      <c r="P33" s="156" t="s">
        <v>327</v>
      </c>
    </row>
    <row r="34" spans="1:16" ht="26.4" x14ac:dyDescent="0.25">
      <c r="A34" s="155" t="str">
        <f ca="1">HYPERLINK(MID(CELL("filename",A1),FIND("[",CELL("filename",A1)),FIND("]",CELL("filename",A1)) - FIND("[",CELL("filename",A1)) + 1) &amp; "'x-310'!TABLE_CLIENT_1","x-310 1")</f>
        <v>x-310 1</v>
      </c>
      <c r="B34" s="75" t="s">
        <v>319</v>
      </c>
      <c r="C34" s="75">
        <v>2015</v>
      </c>
      <c r="D34" s="75" t="s">
        <v>368</v>
      </c>
      <c r="E34" s="75" t="s">
        <v>369</v>
      </c>
      <c r="F34" s="75" t="s">
        <v>328</v>
      </c>
      <c r="G34" s="75" t="s">
        <v>323</v>
      </c>
      <c r="H34" s="75">
        <v>0</v>
      </c>
      <c r="I34" s="73">
        <v>310</v>
      </c>
      <c r="J34" t="s">
        <v>384</v>
      </c>
      <c r="K34" s="74" t="s">
        <v>330</v>
      </c>
      <c r="L34" s="74"/>
      <c r="M34" s="156">
        <v>45070</v>
      </c>
      <c r="N34" s="156">
        <v>45014</v>
      </c>
      <c r="O34" s="75" t="s">
        <v>326</v>
      </c>
      <c r="P34" s="156" t="s">
        <v>327</v>
      </c>
    </row>
    <row r="35" spans="1:16" ht="26.4" x14ac:dyDescent="0.25">
      <c r="A35" s="155" t="str">
        <f ca="1">HYPERLINK(MID(CELL("filename",A1),FIND("[",CELL("filename",A1)),FIND("]",CELL("filename",A1)) - FIND("[",CELL("filename",A1)) + 1) &amp; "'x-311'!TABLE_CLIENT_1","x-311 1")</f>
        <v>x-311 1</v>
      </c>
      <c r="B35" s="75" t="s">
        <v>319</v>
      </c>
      <c r="C35" s="75">
        <v>2015</v>
      </c>
      <c r="D35" s="75" t="s">
        <v>368</v>
      </c>
      <c r="E35" s="75" t="s">
        <v>374</v>
      </c>
      <c r="F35" s="75" t="s">
        <v>322</v>
      </c>
      <c r="G35" s="75" t="s">
        <v>323</v>
      </c>
      <c r="H35" s="75">
        <v>0</v>
      </c>
      <c r="I35" s="73">
        <v>311</v>
      </c>
      <c r="J35" t="s">
        <v>385</v>
      </c>
      <c r="K35" s="74" t="s">
        <v>339</v>
      </c>
      <c r="L35" s="74"/>
      <c r="M35" s="156">
        <v>45070</v>
      </c>
      <c r="N35" s="156">
        <v>45014</v>
      </c>
      <c r="O35" s="75" t="s">
        <v>326</v>
      </c>
      <c r="P35" s="156" t="s">
        <v>327</v>
      </c>
    </row>
    <row r="36" spans="1:16" ht="26.4" x14ac:dyDescent="0.25">
      <c r="A36" s="155" t="str">
        <f ca="1">HYPERLINK(MID(CELL("filename",A1),FIND("[",CELL("filename",A1)),FIND("]",CELL("filename",A1)) - FIND("[",CELL("filename",A1)) + 1) &amp; "'x-312'!TABLE_CLIENT_1","x-312 1")</f>
        <v>x-312 1</v>
      </c>
      <c r="B36" s="75" t="s">
        <v>319</v>
      </c>
      <c r="C36" s="75">
        <v>2015</v>
      </c>
      <c r="D36" s="75" t="s">
        <v>368</v>
      </c>
      <c r="E36" s="75" t="s">
        <v>374</v>
      </c>
      <c r="F36" s="75" t="s">
        <v>328</v>
      </c>
      <c r="G36" s="75" t="s">
        <v>323</v>
      </c>
      <c r="H36" s="75">
        <v>0</v>
      </c>
      <c r="I36" s="73">
        <v>312</v>
      </c>
      <c r="J36" t="s">
        <v>386</v>
      </c>
      <c r="K36" s="74" t="s">
        <v>341</v>
      </c>
      <c r="L36" s="74"/>
      <c r="M36" s="156">
        <v>45070</v>
      </c>
      <c r="N36" s="156">
        <v>45014</v>
      </c>
      <c r="O36" s="75" t="s">
        <v>326</v>
      </c>
      <c r="P36" s="156" t="s">
        <v>327</v>
      </c>
    </row>
    <row r="37" spans="1:16" ht="26.4" x14ac:dyDescent="0.25">
      <c r="A37" s="155" t="str">
        <f ca="1">HYPERLINK(MID(CELL("filename",A1),FIND("[",CELL("filename",A1)),FIND("]",CELL("filename",A1)) - FIND("[",CELL("filename",A1)) + 1) &amp; "'x-313'!TABLE_CLIENT_1","x-313 1")</f>
        <v>x-313 1</v>
      </c>
      <c r="B37" s="75" t="s">
        <v>319</v>
      </c>
      <c r="C37" s="75">
        <v>1992</v>
      </c>
      <c r="D37" s="75" t="s">
        <v>387</v>
      </c>
      <c r="E37" s="75" t="s">
        <v>388</v>
      </c>
      <c r="F37" s="75" t="s">
        <v>389</v>
      </c>
      <c r="G37" s="75" t="s">
        <v>323</v>
      </c>
      <c r="H37" s="75">
        <v>2</v>
      </c>
      <c r="I37" s="73">
        <v>313</v>
      </c>
      <c r="J37" t="s">
        <v>390</v>
      </c>
      <c r="K37" s="74" t="s">
        <v>391</v>
      </c>
      <c r="L37" s="74"/>
      <c r="M37" s="156">
        <v>45070</v>
      </c>
      <c r="N37" s="156">
        <v>45014</v>
      </c>
      <c r="O37" s="75" t="s">
        <v>326</v>
      </c>
      <c r="P37" s="156" t="s">
        <v>327</v>
      </c>
    </row>
    <row r="38" spans="1:16" ht="26.4" x14ac:dyDescent="0.25">
      <c r="A38" s="155" t="str">
        <f ca="1">HYPERLINK(MID(CELL("filename",A1),FIND("[",CELL("filename",A1)),FIND("]",CELL("filename",A1)) - FIND("[",CELL("filename",A1)) + 1) &amp; "'x-314'!TABLE_CLIENT_1","x-314 1")</f>
        <v>x-314 1</v>
      </c>
      <c r="B38" s="75" t="s">
        <v>319</v>
      </c>
      <c r="C38" s="75">
        <v>2007</v>
      </c>
      <c r="D38" s="75" t="s">
        <v>387</v>
      </c>
      <c r="E38" s="75" t="s">
        <v>388</v>
      </c>
      <c r="F38" s="75" t="s">
        <v>389</v>
      </c>
      <c r="G38" s="75" t="s">
        <v>323</v>
      </c>
      <c r="H38" s="75">
        <v>1</v>
      </c>
      <c r="I38" s="73">
        <v>314</v>
      </c>
      <c r="J38" t="s">
        <v>392</v>
      </c>
      <c r="K38" s="74" t="s">
        <v>391</v>
      </c>
      <c r="L38" s="74"/>
      <c r="M38" s="156">
        <v>45070</v>
      </c>
      <c r="N38" s="156">
        <v>45014</v>
      </c>
      <c r="O38" s="75" t="s">
        <v>326</v>
      </c>
      <c r="P38" s="156" t="s">
        <v>327</v>
      </c>
    </row>
    <row r="39" spans="1:16" ht="26.4" x14ac:dyDescent="0.25">
      <c r="A39" s="155" t="str">
        <f ca="1">HYPERLINK(MID(CELL("filename",A1),FIND("[",CELL("filename",A1)),FIND("]",CELL("filename",A1)) - FIND("[",CELL("filename",A1)) + 1) &amp; "'x-315'!TABLE_CLIENT_1","x-315 1")</f>
        <v>x-315 1</v>
      </c>
      <c r="B39" s="75" t="s">
        <v>319</v>
      </c>
      <c r="C39" s="75">
        <v>2007</v>
      </c>
      <c r="D39" s="75" t="s">
        <v>387</v>
      </c>
      <c r="E39" s="75" t="s">
        <v>393</v>
      </c>
      <c r="F39" s="75" t="s">
        <v>389</v>
      </c>
      <c r="G39" s="75" t="s">
        <v>323</v>
      </c>
      <c r="H39" s="75">
        <v>1</v>
      </c>
      <c r="I39" s="73">
        <v>315</v>
      </c>
      <c r="J39" t="s">
        <v>394</v>
      </c>
      <c r="K39" s="74" t="s">
        <v>395</v>
      </c>
      <c r="L39" s="74"/>
      <c r="M39" s="156">
        <v>45070</v>
      </c>
      <c r="N39" s="156">
        <v>45014</v>
      </c>
      <c r="O39" s="75" t="s">
        <v>326</v>
      </c>
      <c r="P39" s="156" t="s">
        <v>327</v>
      </c>
    </row>
    <row r="40" spans="1:16" ht="26.4" x14ac:dyDescent="0.25">
      <c r="A40" s="155" t="str">
        <f ca="1">HYPERLINK(MID(CELL("filename",A1),FIND("[",CELL("filename",A1)),FIND("]",CELL("filename",A1)) - FIND("[",CELL("filename",A1)) + 1) &amp; "'x-316'!TABLE_CLIENT_1","x-316 1")</f>
        <v>x-316 1</v>
      </c>
      <c r="B40" s="75" t="s">
        <v>319</v>
      </c>
      <c r="C40" s="75">
        <v>2015</v>
      </c>
      <c r="D40" s="75" t="s">
        <v>387</v>
      </c>
      <c r="E40" s="75" t="s">
        <v>396</v>
      </c>
      <c r="F40" s="75" t="s">
        <v>328</v>
      </c>
      <c r="G40" s="75" t="s">
        <v>323</v>
      </c>
      <c r="H40" s="75">
        <v>0</v>
      </c>
      <c r="I40" s="73">
        <v>316</v>
      </c>
      <c r="J40" t="s">
        <v>397</v>
      </c>
      <c r="K40" s="74" t="s">
        <v>398</v>
      </c>
      <c r="L40" s="74"/>
      <c r="M40" s="156">
        <v>45070</v>
      </c>
      <c r="N40" s="156">
        <v>45014</v>
      </c>
      <c r="O40" s="75" t="s">
        <v>326</v>
      </c>
      <c r="P40" s="156" t="s">
        <v>327</v>
      </c>
    </row>
    <row r="41" spans="1:16" ht="26.4" x14ac:dyDescent="0.25">
      <c r="A41" s="155" t="str">
        <f ca="1">HYPERLINK(MID(CELL("filename",A1),FIND("[",CELL("filename",A1)),FIND("]",CELL("filename",A1)) - FIND("[",CELL("filename",A1)) + 1) &amp; "'x-317'!TABLE_CLIENT_1","x-317 1")</f>
        <v>x-317 1</v>
      </c>
      <c r="B41" s="75" t="s">
        <v>319</v>
      </c>
      <c r="C41" s="75">
        <v>2015</v>
      </c>
      <c r="D41" s="75" t="s">
        <v>387</v>
      </c>
      <c r="E41" s="75" t="s">
        <v>399</v>
      </c>
      <c r="F41" s="75" t="s">
        <v>322</v>
      </c>
      <c r="G41" s="75" t="s">
        <v>323</v>
      </c>
      <c r="H41" s="75">
        <v>0</v>
      </c>
      <c r="I41" s="73">
        <v>317</v>
      </c>
      <c r="J41" t="s">
        <v>400</v>
      </c>
      <c r="K41" s="74" t="s">
        <v>401</v>
      </c>
      <c r="L41" s="74"/>
      <c r="M41" s="156">
        <v>45070</v>
      </c>
      <c r="N41" s="156">
        <v>45014</v>
      </c>
      <c r="O41" s="75" t="s">
        <v>326</v>
      </c>
      <c r="P41" s="156" t="s">
        <v>327</v>
      </c>
    </row>
    <row r="42" spans="1:16" ht="26.4" x14ac:dyDescent="0.25">
      <c r="A42" s="155" t="str">
        <f ca="1">HYPERLINK(MID(CELL("filename",A1),FIND("[",CELL("filename",A1)),FIND("]",CELL("filename",A1)) - FIND("[",CELL("filename",A1)) + 1) &amp; "'x-318'!TABLE_CLIENT_1","x-318 1")</f>
        <v>x-318 1</v>
      </c>
      <c r="B42" s="75" t="s">
        <v>319</v>
      </c>
      <c r="C42" s="75">
        <v>1992</v>
      </c>
      <c r="D42" s="75" t="s">
        <v>402</v>
      </c>
      <c r="E42" s="75" t="s">
        <v>403</v>
      </c>
      <c r="F42" s="75" t="s">
        <v>404</v>
      </c>
      <c r="G42" s="75" t="s">
        <v>405</v>
      </c>
      <c r="H42" s="75">
        <v>2</v>
      </c>
      <c r="I42" s="73">
        <v>318</v>
      </c>
      <c r="J42" t="s">
        <v>406</v>
      </c>
      <c r="K42" s="74" t="s">
        <v>407</v>
      </c>
      <c r="L42" s="74"/>
      <c r="M42" s="156">
        <v>45070</v>
      </c>
      <c r="N42" s="156">
        <v>45014</v>
      </c>
      <c r="O42" s="75" t="s">
        <v>326</v>
      </c>
      <c r="P42" s="156" t="s">
        <v>327</v>
      </c>
    </row>
    <row r="43" spans="1:16" ht="26.4" x14ac:dyDescent="0.25">
      <c r="A43" s="155" t="str">
        <f ca="1">HYPERLINK(MID(CELL("filename",A1),FIND("[",CELL("filename",A1)),FIND("]",CELL("filename",A1)) - FIND("[",CELL("filename",A1)) + 1) &amp; "'x-319'!TABLE_CLIENT_1","x-319 1")</f>
        <v>x-319 1</v>
      </c>
      <c r="B43" s="75" t="s">
        <v>319</v>
      </c>
      <c r="C43" s="75">
        <v>1992</v>
      </c>
      <c r="D43" s="75" t="s">
        <v>402</v>
      </c>
      <c r="E43" s="75" t="s">
        <v>408</v>
      </c>
      <c r="F43" s="75" t="s">
        <v>404</v>
      </c>
      <c r="G43" s="75" t="s">
        <v>405</v>
      </c>
      <c r="H43" s="75">
        <v>2</v>
      </c>
      <c r="I43" s="73">
        <v>319</v>
      </c>
      <c r="J43" t="s">
        <v>409</v>
      </c>
      <c r="K43" s="74" t="s">
        <v>410</v>
      </c>
      <c r="L43" s="74"/>
      <c r="M43" s="156">
        <v>45070</v>
      </c>
      <c r="N43" s="156">
        <v>45014</v>
      </c>
      <c r="O43" s="75" t="s">
        <v>326</v>
      </c>
      <c r="P43" s="156" t="s">
        <v>327</v>
      </c>
    </row>
    <row r="44" spans="1:16" ht="26.4" x14ac:dyDescent="0.25">
      <c r="A44" s="155" t="str">
        <f ca="1">HYPERLINK(MID(CELL("filename",A1),FIND("[",CELL("filename",A1)),FIND("]",CELL("filename",A1)) - FIND("[",CELL("filename",A1)) + 1) &amp; "'x-320'!TABLE_CLIENT_1","x-320 1")</f>
        <v>x-320 1</v>
      </c>
      <c r="B44" s="75" t="s">
        <v>319</v>
      </c>
      <c r="C44" s="75">
        <v>1992</v>
      </c>
      <c r="D44" s="75" t="s">
        <v>402</v>
      </c>
      <c r="E44" s="75" t="s">
        <v>411</v>
      </c>
      <c r="F44" s="75" t="s">
        <v>404</v>
      </c>
      <c r="G44" s="75" t="s">
        <v>405</v>
      </c>
      <c r="H44" s="75">
        <v>2</v>
      </c>
      <c r="I44" s="73">
        <v>320</v>
      </c>
      <c r="J44" t="s">
        <v>412</v>
      </c>
      <c r="K44" s="74" t="s">
        <v>413</v>
      </c>
      <c r="L44" s="74"/>
      <c r="M44" s="156">
        <v>45070</v>
      </c>
      <c r="N44" s="156">
        <v>45014</v>
      </c>
      <c r="O44" s="75" t="s">
        <v>326</v>
      </c>
      <c r="P44" s="156" t="s">
        <v>327</v>
      </c>
    </row>
    <row r="45" spans="1:16" ht="26.4" x14ac:dyDescent="0.25">
      <c r="A45" s="155" t="str">
        <f ca="1">HYPERLINK(MID(CELL("filename",A1),FIND("[",CELL("filename",A1)),FIND("]",CELL("filename",A1)) - FIND("[",CELL("filename",A1)) + 1) &amp; "'x-321'!TABLE_CLIENT_1","x-321 1")</f>
        <v>x-321 1</v>
      </c>
      <c r="B45" s="75" t="s">
        <v>319</v>
      </c>
      <c r="C45" s="75">
        <v>2007</v>
      </c>
      <c r="D45" s="75" t="s">
        <v>402</v>
      </c>
      <c r="E45" s="75" t="s">
        <v>414</v>
      </c>
      <c r="F45" s="75" t="s">
        <v>404</v>
      </c>
      <c r="G45" s="75" t="s">
        <v>415</v>
      </c>
      <c r="H45" s="75">
        <v>1</v>
      </c>
      <c r="I45" s="73">
        <v>321</v>
      </c>
      <c r="J45" t="s">
        <v>416</v>
      </c>
      <c r="K45" s="74" t="s">
        <v>407</v>
      </c>
      <c r="L45" s="74"/>
      <c r="M45" s="156">
        <v>45070</v>
      </c>
      <c r="N45" s="156">
        <v>45014</v>
      </c>
      <c r="O45" s="75" t="s">
        <v>326</v>
      </c>
      <c r="P45" s="156" t="s">
        <v>327</v>
      </c>
    </row>
    <row r="46" spans="1:16" ht="26.4" x14ac:dyDescent="0.25">
      <c r="A46" s="155" t="str">
        <f ca="1">HYPERLINK(MID(CELL("filename",A1),FIND("[",CELL("filename",A1)),FIND("]",CELL("filename",A1)) - FIND("[",CELL("filename",A1)) + 1) &amp; "'x-322'!TABLE_CLIENT_1","x-322 1")</f>
        <v>x-322 1</v>
      </c>
      <c r="B46" s="75" t="s">
        <v>319</v>
      </c>
      <c r="C46" s="75">
        <v>2007</v>
      </c>
      <c r="D46" s="75" t="s">
        <v>402</v>
      </c>
      <c r="E46" s="75" t="s">
        <v>417</v>
      </c>
      <c r="F46" s="75" t="s">
        <v>404</v>
      </c>
      <c r="G46" s="75" t="s">
        <v>415</v>
      </c>
      <c r="H46" s="75">
        <v>1</v>
      </c>
      <c r="I46" s="73">
        <v>322</v>
      </c>
      <c r="J46" t="s">
        <v>418</v>
      </c>
      <c r="K46" s="74" t="s">
        <v>419</v>
      </c>
      <c r="L46" s="74"/>
      <c r="M46" s="156">
        <v>45070</v>
      </c>
      <c r="N46" s="156">
        <v>45014</v>
      </c>
      <c r="O46" s="75" t="s">
        <v>326</v>
      </c>
      <c r="P46" s="156" t="s">
        <v>327</v>
      </c>
    </row>
    <row r="47" spans="1:16" ht="26.4" x14ac:dyDescent="0.25">
      <c r="A47" s="155" t="str">
        <f ca="1">HYPERLINK(MID(CELL("filename",A1),FIND("[",CELL("filename",A1)),FIND("]",CELL("filename",A1)) - FIND("[",CELL("filename",A1)) + 1) &amp; "'x-323'!TABLE_CLIENT_1","x-323 1")</f>
        <v>x-323 1</v>
      </c>
      <c r="B47" s="75" t="s">
        <v>319</v>
      </c>
      <c r="C47" s="75">
        <v>2007</v>
      </c>
      <c r="D47" s="75" t="s">
        <v>402</v>
      </c>
      <c r="E47" s="75" t="s">
        <v>420</v>
      </c>
      <c r="F47" s="75" t="s">
        <v>404</v>
      </c>
      <c r="G47" s="75" t="s">
        <v>415</v>
      </c>
      <c r="H47" s="75">
        <v>1</v>
      </c>
      <c r="I47" s="73">
        <v>323</v>
      </c>
      <c r="J47" t="s">
        <v>421</v>
      </c>
      <c r="K47" s="74" t="s">
        <v>410</v>
      </c>
      <c r="L47" s="74"/>
      <c r="M47" s="156">
        <v>45070</v>
      </c>
      <c r="N47" s="156">
        <v>45014</v>
      </c>
      <c r="O47" s="75" t="s">
        <v>326</v>
      </c>
      <c r="P47" s="156" t="s">
        <v>327</v>
      </c>
    </row>
    <row r="48" spans="1:16" ht="26.4" x14ac:dyDescent="0.25">
      <c r="A48" s="155" t="str">
        <f ca="1">HYPERLINK(MID(CELL("filename",A1),FIND("[",CELL("filename",A1)),FIND("]",CELL("filename",A1)) - FIND("[",CELL("filename",A1)) + 1) &amp; "'x-324'!TABLE_CLIENT_1","x-324 1")</f>
        <v>x-324 1</v>
      </c>
      <c r="B48" s="75" t="s">
        <v>319</v>
      </c>
      <c r="C48" s="75">
        <v>2007</v>
      </c>
      <c r="D48" s="75" t="s">
        <v>402</v>
      </c>
      <c r="E48" s="75" t="s">
        <v>422</v>
      </c>
      <c r="F48" s="75" t="s">
        <v>404</v>
      </c>
      <c r="G48" s="75" t="s">
        <v>415</v>
      </c>
      <c r="H48" s="75">
        <v>1</v>
      </c>
      <c r="I48" s="73">
        <v>324</v>
      </c>
      <c r="J48" t="s">
        <v>423</v>
      </c>
      <c r="K48" s="74" t="s">
        <v>424</v>
      </c>
      <c r="L48" s="74"/>
      <c r="M48" s="156">
        <v>45070</v>
      </c>
      <c r="N48" s="156">
        <v>45014</v>
      </c>
      <c r="O48" s="75" t="s">
        <v>326</v>
      </c>
      <c r="P48" s="156" t="s">
        <v>327</v>
      </c>
    </row>
    <row r="49" spans="1:16" ht="26.4" x14ac:dyDescent="0.25">
      <c r="A49" s="155" t="str">
        <f ca="1">HYPERLINK(MID(CELL("filename",A1),FIND("[",CELL("filename",A1)),FIND("]",CELL("filename",A1)) - FIND("[",CELL("filename",A1)) + 1) &amp; "'x-325'!TABLE_CLIENT_1","x-325 1")</f>
        <v>x-325 1</v>
      </c>
      <c r="B49" s="75" t="s">
        <v>319</v>
      </c>
      <c r="C49" s="75">
        <v>2007</v>
      </c>
      <c r="D49" s="75" t="s">
        <v>402</v>
      </c>
      <c r="E49" s="75" t="s">
        <v>425</v>
      </c>
      <c r="F49" s="75" t="s">
        <v>404</v>
      </c>
      <c r="G49" s="75" t="s">
        <v>415</v>
      </c>
      <c r="H49" s="75">
        <v>1</v>
      </c>
      <c r="I49" s="73">
        <v>325</v>
      </c>
      <c r="J49" t="s">
        <v>426</v>
      </c>
      <c r="K49" s="74" t="s">
        <v>413</v>
      </c>
      <c r="L49" s="74"/>
      <c r="M49" s="156">
        <v>45070</v>
      </c>
      <c r="N49" s="156">
        <v>45014</v>
      </c>
      <c r="O49" s="75" t="s">
        <v>326</v>
      </c>
      <c r="P49" s="156" t="s">
        <v>327</v>
      </c>
    </row>
    <row r="50" spans="1:16" ht="26.4" x14ac:dyDescent="0.25">
      <c r="A50" s="155" t="str">
        <f ca="1">HYPERLINK(MID(CELL("filename",A1),FIND("[",CELL("filename",A1)),FIND("]",CELL("filename",A1)) - FIND("[",CELL("filename",A1)) + 1) &amp; "'x-326'!TABLE_CLIENT_1","x-326 1")</f>
        <v>x-326 1</v>
      </c>
      <c r="B50" s="75" t="s">
        <v>319</v>
      </c>
      <c r="C50" s="75">
        <v>2007</v>
      </c>
      <c r="D50" s="75" t="s">
        <v>402</v>
      </c>
      <c r="E50" s="75" t="s">
        <v>427</v>
      </c>
      <c r="F50" s="75" t="s">
        <v>404</v>
      </c>
      <c r="G50" s="75" t="s">
        <v>415</v>
      </c>
      <c r="H50" s="75">
        <v>1</v>
      </c>
      <c r="I50" s="73">
        <v>326</v>
      </c>
      <c r="J50" t="s">
        <v>428</v>
      </c>
      <c r="K50" s="74" t="s">
        <v>429</v>
      </c>
      <c r="L50" s="74"/>
      <c r="M50" s="156">
        <v>45070</v>
      </c>
      <c r="N50" s="156">
        <v>45014</v>
      </c>
      <c r="O50" s="75" t="s">
        <v>326</v>
      </c>
      <c r="P50" s="156" t="s">
        <v>327</v>
      </c>
    </row>
    <row r="51" spans="1:16" ht="26.4" x14ac:dyDescent="0.25">
      <c r="A51" s="155" t="str">
        <f ca="1">HYPERLINK(MID(CELL("filename",A1),FIND("[",CELL("filename",A1)),FIND("]",CELL("filename",A1)) - FIND("[",CELL("filename",A1)) + 1) &amp; "'x-327'!TABLE_CLIENT_1","x-327 1")</f>
        <v>x-327 1</v>
      </c>
      <c r="B51" s="75" t="s">
        <v>319</v>
      </c>
      <c r="C51" s="75">
        <v>2015</v>
      </c>
      <c r="D51" s="75" t="s">
        <v>402</v>
      </c>
      <c r="E51" s="75" t="s">
        <v>430</v>
      </c>
      <c r="F51" s="75" t="s">
        <v>404</v>
      </c>
      <c r="G51" s="75" t="s">
        <v>431</v>
      </c>
      <c r="H51" s="75">
        <v>0</v>
      </c>
      <c r="I51" s="73">
        <v>327</v>
      </c>
      <c r="J51" t="s">
        <v>432</v>
      </c>
      <c r="K51" s="74" t="s">
        <v>433</v>
      </c>
      <c r="L51" s="74"/>
      <c r="M51" s="156">
        <v>45070</v>
      </c>
      <c r="N51" s="156">
        <v>45014</v>
      </c>
      <c r="O51" s="75" t="s">
        <v>326</v>
      </c>
      <c r="P51" s="156" t="s">
        <v>327</v>
      </c>
    </row>
    <row r="52" spans="1:16" ht="26.4" x14ac:dyDescent="0.25">
      <c r="A52" s="155" t="str">
        <f ca="1">HYPERLINK(MID(CELL("filename",A1),FIND("[",CELL("filename",A1)),FIND("]",CELL("filename",A1)) - FIND("[",CELL("filename",A1)) + 1) &amp; "'x-328'!TABLE_CLIENT_1","x-328 1")</f>
        <v>x-328 1</v>
      </c>
      <c r="B52" s="75" t="s">
        <v>319</v>
      </c>
      <c r="C52" s="75">
        <v>2015</v>
      </c>
      <c r="D52" s="75" t="s">
        <v>402</v>
      </c>
      <c r="E52" s="75" t="s">
        <v>434</v>
      </c>
      <c r="F52" s="75" t="s">
        <v>404</v>
      </c>
      <c r="G52" s="75" t="s">
        <v>431</v>
      </c>
      <c r="H52" s="75">
        <v>0</v>
      </c>
      <c r="I52" s="73">
        <v>328</v>
      </c>
      <c r="J52" t="s">
        <v>435</v>
      </c>
      <c r="K52" s="74" t="s">
        <v>436</v>
      </c>
      <c r="L52" s="74"/>
      <c r="M52" s="156">
        <v>45070</v>
      </c>
      <c r="N52" s="156">
        <v>45014</v>
      </c>
      <c r="O52" s="75" t="s">
        <v>326</v>
      </c>
      <c r="P52" s="156" t="s">
        <v>327</v>
      </c>
    </row>
    <row r="53" spans="1:16" ht="39.6" x14ac:dyDescent="0.25">
      <c r="A53" s="155" t="str">
        <f ca="1">HYPERLINK(MID(CELL("filename",A1),FIND("[",CELL("filename",A1)),FIND("]",CELL("filename",A1)) - FIND("[",CELL("filename",A1)) + 1) &amp; "'x-401'!TABLE_CLIENT_1","x-401 1")</f>
        <v>x-401 1</v>
      </c>
      <c r="B53" s="75" t="s">
        <v>319</v>
      </c>
      <c r="C53" s="75">
        <v>2007</v>
      </c>
      <c r="D53" s="75" t="s">
        <v>437</v>
      </c>
      <c r="E53" s="75" t="s">
        <v>438</v>
      </c>
      <c r="F53" s="75" t="s">
        <v>404</v>
      </c>
      <c r="G53" s="75" t="s">
        <v>415</v>
      </c>
      <c r="H53" s="75">
        <v>1</v>
      </c>
      <c r="I53" s="73">
        <v>401</v>
      </c>
      <c r="J53" t="s">
        <v>439</v>
      </c>
      <c r="K53" s="74" t="s">
        <v>440</v>
      </c>
      <c r="L53" s="74"/>
      <c r="M53" s="156">
        <v>45106</v>
      </c>
      <c r="N53" s="156">
        <v>45106</v>
      </c>
      <c r="O53" s="75" t="s">
        <v>326</v>
      </c>
      <c r="P53" s="156" t="s">
        <v>327</v>
      </c>
    </row>
    <row r="54" spans="1:16" ht="26.4" x14ac:dyDescent="0.25">
      <c r="A54" s="155" t="str">
        <f ca="1">HYPERLINK(MID(CELL("filename",A1),FIND("[",CELL("filename",A1)),FIND("]",CELL("filename",A1)) - FIND("[",CELL("filename",A1)) + 1) &amp; "'x-402'!TABLE_CLIENT_1","x-402 1")</f>
        <v>x-402 1</v>
      </c>
      <c r="B54" s="75" t="s">
        <v>319</v>
      </c>
      <c r="C54" s="75">
        <v>2015</v>
      </c>
      <c r="D54" s="75" t="s">
        <v>437</v>
      </c>
      <c r="E54" s="75" t="s">
        <v>441</v>
      </c>
      <c r="F54" s="75" t="s">
        <v>404</v>
      </c>
      <c r="G54" s="75" t="s">
        <v>442</v>
      </c>
      <c r="H54" s="75">
        <v>0</v>
      </c>
      <c r="I54" s="73">
        <v>402</v>
      </c>
      <c r="J54" t="s">
        <v>443</v>
      </c>
      <c r="K54" s="74" t="s">
        <v>440</v>
      </c>
      <c r="L54" s="74"/>
      <c r="M54" s="156">
        <v>45106</v>
      </c>
      <c r="N54" s="156">
        <v>45106</v>
      </c>
      <c r="O54" s="75" t="s">
        <v>326</v>
      </c>
      <c r="P54" s="156" t="s">
        <v>327</v>
      </c>
    </row>
    <row r="55" spans="1:16" ht="52.8" x14ac:dyDescent="0.25">
      <c r="A55" s="155" t="str">
        <f ca="1">HYPERLINK(MID(CELL("filename",A1),FIND("[",CELL("filename",A1)),FIND("]",CELL("filename",A1)) - FIND("[",CELL("filename",A1)) + 1) &amp; "'x-403'!TABLE_CLIENT_1","x-403 1")</f>
        <v>x-403 1</v>
      </c>
      <c r="B55" s="75" t="s">
        <v>319</v>
      </c>
      <c r="C55" s="75">
        <v>2015</v>
      </c>
      <c r="D55" s="75" t="s">
        <v>437</v>
      </c>
      <c r="E55" s="75" t="s">
        <v>444</v>
      </c>
      <c r="F55" s="75" t="s">
        <v>404</v>
      </c>
      <c r="G55" s="75" t="s">
        <v>442</v>
      </c>
      <c r="H55" s="75">
        <v>0</v>
      </c>
      <c r="I55" s="73">
        <v>403</v>
      </c>
      <c r="J55" t="s">
        <v>445</v>
      </c>
      <c r="K55" s="74" t="s">
        <v>446</v>
      </c>
      <c r="L55" s="74"/>
      <c r="M55" s="156">
        <v>45106</v>
      </c>
      <c r="N55" s="156">
        <v>45106</v>
      </c>
      <c r="O55" s="75" t="s">
        <v>326</v>
      </c>
      <c r="P55" s="156" t="s">
        <v>327</v>
      </c>
    </row>
    <row r="56" spans="1:16" ht="26.4" x14ac:dyDescent="0.25">
      <c r="A56" s="155" t="str">
        <f ca="1">HYPERLINK(MID(CELL("filename",A1),FIND("[",CELL("filename",A1)),FIND("]",CELL("filename",A1)) - FIND("[",CELL("filename",A1)) + 1) &amp; "'x-404'!TABLE_CLIENT_1","x-404 1")</f>
        <v>x-404 1</v>
      </c>
      <c r="B56" s="75" t="s">
        <v>319</v>
      </c>
      <c r="C56" s="75">
        <v>2015</v>
      </c>
      <c r="D56" s="75" t="s">
        <v>447</v>
      </c>
      <c r="E56" s="75" t="s">
        <v>448</v>
      </c>
      <c r="F56" s="75" t="s">
        <v>404</v>
      </c>
      <c r="G56" s="75" t="s">
        <v>449</v>
      </c>
      <c r="H56" s="75">
        <v>0</v>
      </c>
      <c r="I56" s="73">
        <v>404</v>
      </c>
      <c r="J56" t="s">
        <v>450</v>
      </c>
      <c r="K56" s="74" t="s">
        <v>440</v>
      </c>
      <c r="L56" s="74"/>
      <c r="M56" s="156">
        <v>45106</v>
      </c>
      <c r="N56" s="156">
        <v>45106</v>
      </c>
      <c r="O56" s="75" t="s">
        <v>326</v>
      </c>
      <c r="P56" s="156" t="s">
        <v>327</v>
      </c>
    </row>
    <row r="57" spans="1:16" ht="26.4" x14ac:dyDescent="0.25">
      <c r="A57" s="155" t="str">
        <f ca="1">HYPERLINK(MID(CELL("filename",A1),FIND("[",CELL("filename",A1)),FIND("]",CELL("filename",A1)) - FIND("[",CELL("filename",A1)) + 1) &amp; "'x-405'!TABLE_CLIENT_1","x-405 1")</f>
        <v>x-405 1</v>
      </c>
      <c r="B57" s="75" t="s">
        <v>319</v>
      </c>
      <c r="C57" s="75">
        <v>2015</v>
      </c>
      <c r="D57" s="75" t="s">
        <v>447</v>
      </c>
      <c r="E57" s="75" t="s">
        <v>451</v>
      </c>
      <c r="F57" s="75" t="s">
        <v>404</v>
      </c>
      <c r="G57" s="75" t="s">
        <v>452</v>
      </c>
      <c r="H57" s="75">
        <v>0</v>
      </c>
      <c r="I57" s="73">
        <v>405</v>
      </c>
      <c r="J57" t="s">
        <v>453</v>
      </c>
      <c r="K57" s="74" t="s">
        <v>446</v>
      </c>
      <c r="L57" s="74"/>
      <c r="M57" s="156">
        <v>45106</v>
      </c>
      <c r="N57" s="156">
        <v>45106</v>
      </c>
      <c r="O57" s="75" t="s">
        <v>326</v>
      </c>
      <c r="P57" s="156" t="s">
        <v>327</v>
      </c>
    </row>
    <row r="58" spans="1:16" ht="52.8" x14ac:dyDescent="0.25">
      <c r="A58" s="155" t="str">
        <f ca="1">HYPERLINK(MID(CELL("filename",A1),FIND("[",CELL("filename",A1)),FIND("]",CELL("filename",A1)) - FIND("[",CELL("filename",A1)) + 1) &amp; "'x-406'!TABLE_CLIENT_1","x-406 1")</f>
        <v>x-406 1</v>
      </c>
      <c r="B58" s="75" t="s">
        <v>319</v>
      </c>
      <c r="C58" s="75">
        <v>2015</v>
      </c>
      <c r="D58" s="75" t="s">
        <v>447</v>
      </c>
      <c r="E58" s="75" t="s">
        <v>454</v>
      </c>
      <c r="F58" s="75" t="s">
        <v>404</v>
      </c>
      <c r="G58" s="75" t="s">
        <v>455</v>
      </c>
      <c r="H58" s="75">
        <v>0</v>
      </c>
      <c r="I58" s="73">
        <v>406</v>
      </c>
      <c r="J58" t="s">
        <v>456</v>
      </c>
      <c r="K58" s="74" t="s">
        <v>457</v>
      </c>
      <c r="L58" s="74"/>
      <c r="M58" s="156">
        <v>45106</v>
      </c>
      <c r="N58" s="156">
        <v>45106</v>
      </c>
      <c r="O58" s="75" t="s">
        <v>326</v>
      </c>
      <c r="P58" s="156" t="s">
        <v>327</v>
      </c>
    </row>
    <row r="59" spans="1:16" ht="52.8" x14ac:dyDescent="0.25">
      <c r="A59" s="155" t="str">
        <f ca="1">HYPERLINK(MID(CELL("filename",A1),FIND("[",CELL("filename",A1)),FIND("]",CELL("filename",A1)) - FIND("[",CELL("filename",A1)) + 1) &amp; "'x-407'!TABLE_CLIENT_1","x-407 1")</f>
        <v>x-407 1</v>
      </c>
      <c r="B59" s="75" t="s">
        <v>319</v>
      </c>
      <c r="C59" s="75">
        <v>2015</v>
      </c>
      <c r="D59" s="75" t="s">
        <v>447</v>
      </c>
      <c r="E59" s="75" t="s">
        <v>458</v>
      </c>
      <c r="F59" s="75" t="s">
        <v>404</v>
      </c>
      <c r="G59" s="75" t="s">
        <v>455</v>
      </c>
      <c r="H59" s="75">
        <v>0</v>
      </c>
      <c r="I59" s="73">
        <v>407</v>
      </c>
      <c r="J59" t="s">
        <v>459</v>
      </c>
      <c r="K59" s="74" t="s">
        <v>433</v>
      </c>
      <c r="L59" s="74"/>
      <c r="M59" s="156">
        <v>45106</v>
      </c>
      <c r="N59" s="156">
        <v>45106</v>
      </c>
      <c r="O59" s="75" t="s">
        <v>326</v>
      </c>
      <c r="P59" s="156" t="s">
        <v>327</v>
      </c>
    </row>
    <row r="60" spans="1:16" ht="26.4" x14ac:dyDescent="0.25">
      <c r="A60" s="155" t="str">
        <f ca="1">HYPERLINK(MID(CELL("filename",A1),FIND("[",CELL("filename",A1)),FIND("]",CELL("filename",A1)) - FIND("[",CELL("filename",A1)) + 1) &amp; "'x-501'!TABLE_CLIENT_1","x-501 1")</f>
        <v>x-501 1</v>
      </c>
      <c r="B60" s="75" t="s">
        <v>319</v>
      </c>
      <c r="C60" s="75" t="s">
        <v>460</v>
      </c>
      <c r="D60" s="75" t="s">
        <v>461</v>
      </c>
      <c r="E60" s="75" t="s">
        <v>462</v>
      </c>
      <c r="F60" s="75" t="s">
        <v>404</v>
      </c>
      <c r="G60" s="75" t="s">
        <v>463</v>
      </c>
      <c r="H60" s="75">
        <v>1</v>
      </c>
      <c r="I60" s="73">
        <v>501</v>
      </c>
      <c r="J60" t="s">
        <v>464</v>
      </c>
      <c r="K60" s="74" t="s">
        <v>465</v>
      </c>
      <c r="L60" s="74"/>
      <c r="M60" s="156">
        <v>45135</v>
      </c>
      <c r="N60" s="156">
        <v>45135</v>
      </c>
      <c r="O60" s="75" t="s">
        <v>326</v>
      </c>
      <c r="P60" s="156" t="s">
        <v>327</v>
      </c>
    </row>
    <row r="61" spans="1:16" ht="39.6" x14ac:dyDescent="0.25">
      <c r="A61" s="155" t="str">
        <f ca="1">HYPERLINK(MID(CELL("filename",A1),FIND("[",CELL("filename",A1)),FIND("]",CELL("filename",A1)) - FIND("[",CELL("filename",A1)) + 1) &amp; "'x-502'!TABLE_CLIENT_1","x-502 1")</f>
        <v>x-502 1</v>
      </c>
      <c r="B61" s="75" t="s">
        <v>319</v>
      </c>
      <c r="C61" s="75" t="s">
        <v>460</v>
      </c>
      <c r="D61" s="75" t="s">
        <v>461</v>
      </c>
      <c r="E61" s="75" t="s">
        <v>466</v>
      </c>
      <c r="F61" s="75" t="s">
        <v>404</v>
      </c>
      <c r="G61" s="75" t="s">
        <v>463</v>
      </c>
      <c r="H61" s="75">
        <v>1</v>
      </c>
      <c r="I61" s="73">
        <v>502</v>
      </c>
      <c r="J61" t="s">
        <v>467</v>
      </c>
      <c r="K61" s="74" t="s">
        <v>468</v>
      </c>
      <c r="L61" s="74"/>
      <c r="M61" s="156">
        <v>45135</v>
      </c>
      <c r="N61" s="156">
        <v>45135</v>
      </c>
      <c r="O61" s="75" t="s">
        <v>326</v>
      </c>
      <c r="P61" s="156" t="s">
        <v>327</v>
      </c>
    </row>
    <row r="62" spans="1:16" ht="26.4" x14ac:dyDescent="0.25">
      <c r="A62" s="155" t="str">
        <f ca="1">HYPERLINK(MID(CELL("filename",A1),FIND("[",CELL("filename",A1)),FIND("]",CELL("filename",A1)) - FIND("[",CELL("filename",A1)) + 1) &amp; "'x-503'!TABLE_CLIENT_1","x-503 1")</f>
        <v>x-503 1</v>
      </c>
      <c r="B62" s="75" t="s">
        <v>319</v>
      </c>
      <c r="C62" s="75">
        <v>2015</v>
      </c>
      <c r="D62" s="75" t="s">
        <v>461</v>
      </c>
      <c r="E62" s="75" t="s">
        <v>469</v>
      </c>
      <c r="F62" s="75" t="s">
        <v>404</v>
      </c>
      <c r="G62" s="75" t="s">
        <v>463</v>
      </c>
      <c r="H62" s="75">
        <v>0</v>
      </c>
      <c r="I62" s="73">
        <v>503</v>
      </c>
      <c r="J62" t="s">
        <v>470</v>
      </c>
      <c r="K62" s="74" t="s">
        <v>465</v>
      </c>
      <c r="L62" s="74"/>
      <c r="M62" s="156">
        <v>45135</v>
      </c>
      <c r="N62" s="156">
        <v>45135</v>
      </c>
      <c r="O62" s="75" t="s">
        <v>326</v>
      </c>
      <c r="P62" s="156" t="s">
        <v>327</v>
      </c>
    </row>
    <row r="63" spans="1:16" ht="26.4" x14ac:dyDescent="0.25">
      <c r="A63" s="155" t="str">
        <f ca="1">HYPERLINK(MID(CELL("filename",A1),FIND("[",CELL("filename",A1)),FIND("]",CELL("filename",A1)) - FIND("[",CELL("filename",A1)) + 1) &amp; "'x-504'!TABLE_CLIENT_1","x-504 1")</f>
        <v>x-504 1</v>
      </c>
      <c r="B63" s="75" t="s">
        <v>319</v>
      </c>
      <c r="C63" s="75">
        <v>2015</v>
      </c>
      <c r="D63" s="75" t="s">
        <v>461</v>
      </c>
      <c r="E63" s="75" t="s">
        <v>471</v>
      </c>
      <c r="F63" s="75" t="s">
        <v>404</v>
      </c>
      <c r="G63" s="75" t="s">
        <v>463</v>
      </c>
      <c r="H63" s="75">
        <v>0</v>
      </c>
      <c r="I63" s="73">
        <v>504</v>
      </c>
      <c r="J63" t="s">
        <v>472</v>
      </c>
      <c r="K63" s="74" t="s">
        <v>468</v>
      </c>
      <c r="L63" s="74"/>
      <c r="M63" s="156">
        <v>45135</v>
      </c>
      <c r="N63" s="156">
        <v>45135</v>
      </c>
      <c r="O63" s="75" t="s">
        <v>326</v>
      </c>
      <c r="P63" s="156" t="s">
        <v>327</v>
      </c>
    </row>
    <row r="64" spans="1:16" ht="26.4" x14ac:dyDescent="0.25">
      <c r="A64" s="155" t="str">
        <f ca="1">HYPERLINK(MID(CELL("filename",A1),FIND("[",CELL("filename",A1)),FIND("]",CELL("filename",A1)) - FIND("[",CELL("filename",A1)) + 1) &amp; "'x-505'!TABLE_CLIENT_1","x-505 1")</f>
        <v>x-505 1</v>
      </c>
      <c r="B64" s="75" t="s">
        <v>319</v>
      </c>
      <c r="C64" s="75">
        <v>1992</v>
      </c>
      <c r="D64" s="75" t="s">
        <v>473</v>
      </c>
      <c r="E64" s="75" t="s">
        <v>474</v>
      </c>
      <c r="F64" s="75" t="s">
        <v>404</v>
      </c>
      <c r="G64" s="75" t="s">
        <v>475</v>
      </c>
      <c r="H64" s="75">
        <v>0</v>
      </c>
      <c r="I64" s="73">
        <v>505</v>
      </c>
      <c r="J64" t="s">
        <v>476</v>
      </c>
      <c r="K64" s="74" t="s">
        <v>465</v>
      </c>
      <c r="L64" s="74"/>
      <c r="M64" s="156">
        <v>45019</v>
      </c>
      <c r="N64" s="156">
        <v>45019</v>
      </c>
      <c r="O64" s="75" t="s">
        <v>326</v>
      </c>
      <c r="P64" s="156" t="s">
        <v>327</v>
      </c>
    </row>
    <row r="65" spans="1:16" ht="52.8" x14ac:dyDescent="0.25">
      <c r="A65" s="155" t="str">
        <f ca="1">HYPERLINK(MID(CELL("filename",A1),FIND("[",CELL("filename",A1)),FIND("]",CELL("filename",A1)) - FIND("[",CELL("filename",A1)) + 1) &amp; "'x-506'!TABLE_CLIENT_1","x-506 1")</f>
        <v>x-506 1</v>
      </c>
      <c r="B65" s="75" t="s">
        <v>319</v>
      </c>
      <c r="C65" s="75" t="s">
        <v>477</v>
      </c>
      <c r="D65" s="75" t="s">
        <v>461</v>
      </c>
      <c r="E65" s="75" t="s">
        <v>478</v>
      </c>
      <c r="F65" s="75" t="s">
        <v>404</v>
      </c>
      <c r="G65" s="75" t="s">
        <v>479</v>
      </c>
      <c r="H65" s="75">
        <v>0</v>
      </c>
      <c r="I65" s="73">
        <v>506</v>
      </c>
      <c r="J65" t="s">
        <v>480</v>
      </c>
      <c r="K65" s="74" t="s">
        <v>344</v>
      </c>
      <c r="L65" s="74"/>
      <c r="M65" s="156">
        <v>45135</v>
      </c>
      <c r="N65" s="156">
        <v>45135</v>
      </c>
      <c r="O65" s="75" t="s">
        <v>326</v>
      </c>
      <c r="P65" s="156" t="s">
        <v>327</v>
      </c>
    </row>
    <row r="66" spans="1:16" ht="26.4" x14ac:dyDescent="0.25">
      <c r="A66" s="155" t="str">
        <f ca="1">HYPERLINK(MID(CELL("filename",A1),FIND("[",CELL("filename",A1)),FIND("]",CELL("filename",A1)) - FIND("[",CELL("filename",A1)) + 1) &amp; "'x-603'!TABLE_CLIENT_1","x-603 1")</f>
        <v>x-603 1</v>
      </c>
      <c r="B66" s="75" t="s">
        <v>319</v>
      </c>
      <c r="C66" s="75">
        <v>1992</v>
      </c>
      <c r="D66" s="75" t="s">
        <v>481</v>
      </c>
      <c r="E66" s="75" t="s">
        <v>482</v>
      </c>
      <c r="F66" s="75" t="s">
        <v>483</v>
      </c>
      <c r="G66" s="75" t="s">
        <v>484</v>
      </c>
      <c r="H66" s="75">
        <v>2</v>
      </c>
      <c r="I66" s="73">
        <v>603</v>
      </c>
      <c r="J66" t="s">
        <v>485</v>
      </c>
      <c r="K66" s="74" t="s">
        <v>325</v>
      </c>
      <c r="L66" s="74"/>
      <c r="M66" s="156">
        <v>45135</v>
      </c>
      <c r="N66" s="156">
        <v>45135</v>
      </c>
      <c r="O66" s="75" t="s">
        <v>326</v>
      </c>
      <c r="P66" s="156" t="s">
        <v>327</v>
      </c>
    </row>
    <row r="67" spans="1:16" ht="26.4" x14ac:dyDescent="0.25">
      <c r="A67" s="155" t="str">
        <f ca="1">HYPERLINK(MID(CELL("filename",A1),FIND("[",CELL("filename",A1)),FIND("]",CELL("filename",A1)) - FIND("[",CELL("filename",A1)) + 1) &amp; "'x-604'!TABLE_CLIENT_1","x-604 1")</f>
        <v>x-604 1</v>
      </c>
      <c r="B67" s="75" t="s">
        <v>319</v>
      </c>
      <c r="C67" s="75">
        <v>1992</v>
      </c>
      <c r="D67" s="75" t="s">
        <v>481</v>
      </c>
      <c r="E67" s="75" t="s">
        <v>486</v>
      </c>
      <c r="F67" s="75" t="s">
        <v>483</v>
      </c>
      <c r="G67" s="75" t="s">
        <v>484</v>
      </c>
      <c r="H67" s="75">
        <v>2</v>
      </c>
      <c r="I67" s="73">
        <v>604</v>
      </c>
      <c r="J67" t="s">
        <v>487</v>
      </c>
      <c r="K67" s="74" t="s">
        <v>330</v>
      </c>
      <c r="L67" s="74"/>
      <c r="M67" s="156">
        <v>45135</v>
      </c>
      <c r="N67" s="156">
        <v>45135</v>
      </c>
      <c r="O67" s="75" t="s">
        <v>326</v>
      </c>
      <c r="P67" s="156" t="s">
        <v>327</v>
      </c>
    </row>
    <row r="68" spans="1:16" ht="26.4" x14ac:dyDescent="0.25">
      <c r="A68" s="155" t="str">
        <f ca="1">HYPERLINK(MID(CELL("filename",A1),FIND("[",CELL("filename",A1)),FIND("]",CELL("filename",A1)) - FIND("[",CELL("filename",A1)) + 1) &amp; "'x-605'!TABLE_CLIENT_1","x-605 1")</f>
        <v>x-605 1</v>
      </c>
      <c r="B68" s="75" t="s">
        <v>319</v>
      </c>
      <c r="C68" s="75">
        <v>2007</v>
      </c>
      <c r="D68" s="75" t="s">
        <v>481</v>
      </c>
      <c r="E68" s="75" t="s">
        <v>488</v>
      </c>
      <c r="F68" s="75" t="s">
        <v>483</v>
      </c>
      <c r="G68" s="75" t="s">
        <v>484</v>
      </c>
      <c r="H68" s="75">
        <v>1</v>
      </c>
      <c r="I68" s="73">
        <v>605</v>
      </c>
      <c r="J68" t="s">
        <v>489</v>
      </c>
      <c r="K68" s="74" t="s">
        <v>325</v>
      </c>
      <c r="L68" s="74"/>
      <c r="M68" s="156">
        <v>45135</v>
      </c>
      <c r="N68" s="156">
        <v>45135</v>
      </c>
      <c r="O68" s="75" t="s">
        <v>326</v>
      </c>
      <c r="P68" s="156" t="s">
        <v>327</v>
      </c>
    </row>
    <row r="69" spans="1:16" ht="26.4" x14ac:dyDescent="0.25">
      <c r="A69" s="155" t="str">
        <f ca="1">HYPERLINK(MID(CELL("filename",A1),FIND("[",CELL("filename",A1)),FIND("]",CELL("filename",A1)) - FIND("[",CELL("filename",A1)) + 1) &amp; "'x-606'!TABLE_CLIENT_1","x-606 1")</f>
        <v>x-606 1</v>
      </c>
      <c r="B69" s="75" t="s">
        <v>319</v>
      </c>
      <c r="C69" s="75">
        <v>2007</v>
      </c>
      <c r="D69" s="75" t="s">
        <v>481</v>
      </c>
      <c r="E69" s="75" t="s">
        <v>490</v>
      </c>
      <c r="F69" s="75" t="s">
        <v>483</v>
      </c>
      <c r="G69" s="75" t="s">
        <v>484</v>
      </c>
      <c r="H69" s="75">
        <v>1</v>
      </c>
      <c r="I69" s="73">
        <v>606</v>
      </c>
      <c r="J69" t="s">
        <v>491</v>
      </c>
      <c r="K69" s="74" t="s">
        <v>330</v>
      </c>
      <c r="L69" s="74"/>
      <c r="M69" s="156">
        <v>45135</v>
      </c>
      <c r="N69" s="156">
        <v>45135</v>
      </c>
      <c r="O69" s="75" t="s">
        <v>326</v>
      </c>
      <c r="P69" s="156" t="s">
        <v>327</v>
      </c>
    </row>
    <row r="70" spans="1:16" ht="26.4" x14ac:dyDescent="0.25">
      <c r="A70" s="155" t="str">
        <f ca="1">HYPERLINK(MID(CELL("filename",A1),FIND("[",CELL("filename",A1)),FIND("]",CELL("filename",A1)) - FIND("[",CELL("filename",A1)) + 1) &amp; "'x-607'!TABLE_CLIENT_1","x-607 1")</f>
        <v>x-607 1</v>
      </c>
      <c r="B70" s="75" t="s">
        <v>319</v>
      </c>
      <c r="C70" s="75">
        <v>2015</v>
      </c>
      <c r="D70" s="75" t="s">
        <v>481</v>
      </c>
      <c r="E70" s="75" t="s">
        <v>492</v>
      </c>
      <c r="F70" s="75" t="s">
        <v>322</v>
      </c>
      <c r="G70" s="75" t="s">
        <v>484</v>
      </c>
      <c r="H70" s="75">
        <v>0</v>
      </c>
      <c r="I70" s="73">
        <v>607</v>
      </c>
      <c r="J70" t="s">
        <v>493</v>
      </c>
      <c r="K70" s="74" t="s">
        <v>325</v>
      </c>
      <c r="L70" s="74"/>
      <c r="M70" s="156">
        <v>45135</v>
      </c>
      <c r="N70" s="156">
        <v>45135</v>
      </c>
      <c r="O70" s="75" t="s">
        <v>326</v>
      </c>
      <c r="P70" s="156" t="s">
        <v>327</v>
      </c>
    </row>
    <row r="71" spans="1:16" ht="26.4" x14ac:dyDescent="0.25">
      <c r="A71" s="155" t="str">
        <f ca="1">HYPERLINK(MID(CELL("filename",A1),FIND("[",CELL("filename",A1)),FIND("]",CELL("filename",A1)) - FIND("[",CELL("filename",A1)) + 1) &amp; "'x-608'!TABLE_CLIENT_1","x-608 1")</f>
        <v>x-608 1</v>
      </c>
      <c r="B71" s="75" t="s">
        <v>319</v>
      </c>
      <c r="C71" s="75">
        <v>2015</v>
      </c>
      <c r="D71" s="75" t="s">
        <v>481</v>
      </c>
      <c r="E71" s="75" t="s">
        <v>492</v>
      </c>
      <c r="F71" s="75" t="s">
        <v>328</v>
      </c>
      <c r="G71" s="75" t="s">
        <v>484</v>
      </c>
      <c r="H71" s="75">
        <v>0</v>
      </c>
      <c r="I71" s="73">
        <v>608</v>
      </c>
      <c r="J71" t="s">
        <v>494</v>
      </c>
      <c r="K71" s="74" t="s">
        <v>330</v>
      </c>
      <c r="L71" s="74"/>
      <c r="M71" s="156">
        <v>45135</v>
      </c>
      <c r="N71" s="156">
        <v>45135</v>
      </c>
      <c r="O71" s="75" t="s">
        <v>326</v>
      </c>
      <c r="P71" s="156" t="s">
        <v>327</v>
      </c>
    </row>
    <row r="72" spans="1:16" ht="26.4" x14ac:dyDescent="0.25">
      <c r="A72" s="155" t="str">
        <f ca="1">HYPERLINK(MID(CELL("filename",A1),FIND("[",CELL("filename",A1)),FIND("]",CELL("filename",A1)) - FIND("[",CELL("filename",A1)) + 1) &amp; "'x-609'!TABLE_CLIENT_1","x-609 1")</f>
        <v>x-609 1</v>
      </c>
      <c r="B72" s="75" t="s">
        <v>319</v>
      </c>
      <c r="C72" s="75">
        <v>2015</v>
      </c>
      <c r="D72" s="75" t="s">
        <v>481</v>
      </c>
      <c r="E72" s="75" t="s">
        <v>495</v>
      </c>
      <c r="F72" s="75" t="s">
        <v>483</v>
      </c>
      <c r="G72" s="75" t="s">
        <v>323</v>
      </c>
      <c r="H72" s="75">
        <v>0</v>
      </c>
      <c r="I72" s="73">
        <v>609</v>
      </c>
      <c r="J72" t="s">
        <v>496</v>
      </c>
      <c r="K72" s="74" t="s">
        <v>398</v>
      </c>
      <c r="L72" s="74"/>
      <c r="M72" s="156">
        <v>45135</v>
      </c>
      <c r="N72" s="156">
        <v>45135</v>
      </c>
      <c r="O72" s="75" t="s">
        <v>326</v>
      </c>
      <c r="P72" s="156" t="s">
        <v>327</v>
      </c>
    </row>
    <row r="73" spans="1:16" ht="26.4" x14ac:dyDescent="0.25">
      <c r="A73" s="155" t="str">
        <f ca="1">HYPERLINK(MID(CELL("filename",A1),FIND("[",CELL("filename",A1)),FIND("]",CELL("filename",A1)) - FIND("[",CELL("filename",A1)) + 1) &amp; "'x-610'!TABLE_CLIENT_1","x-610 1")</f>
        <v>x-610 1</v>
      </c>
      <c r="B73" s="75" t="s">
        <v>319</v>
      </c>
      <c r="C73" s="75">
        <v>2015</v>
      </c>
      <c r="D73" s="75" t="s">
        <v>481</v>
      </c>
      <c r="E73" s="75" t="s">
        <v>497</v>
      </c>
      <c r="F73" s="75" t="s">
        <v>483</v>
      </c>
      <c r="G73" s="75" t="s">
        <v>323</v>
      </c>
      <c r="H73" s="75">
        <v>0</v>
      </c>
      <c r="I73" s="73">
        <v>610</v>
      </c>
      <c r="J73" t="s">
        <v>498</v>
      </c>
      <c r="K73" s="74" t="s">
        <v>499</v>
      </c>
      <c r="L73" s="74"/>
      <c r="M73" s="156">
        <v>45135</v>
      </c>
      <c r="N73" s="156">
        <v>45135</v>
      </c>
      <c r="O73" s="75" t="s">
        <v>326</v>
      </c>
      <c r="P73" s="156" t="s">
        <v>327</v>
      </c>
    </row>
    <row r="74" spans="1:16" ht="26.4" x14ac:dyDescent="0.25">
      <c r="A74" s="155" t="str">
        <f ca="1">HYPERLINK(MID(CELL("filename",A1),FIND("[",CELL("filename",A1)),FIND("]",CELL("filename",A1)) - FIND("[",CELL("filename",A1)) + 1) &amp; "'x-611'!TABLE_CLIENT_1","x-611 1")</f>
        <v>x-611 1</v>
      </c>
      <c r="B74" s="75" t="s">
        <v>319</v>
      </c>
      <c r="C74" s="75">
        <v>1992</v>
      </c>
      <c r="D74" s="75" t="s">
        <v>481</v>
      </c>
      <c r="E74" s="75" t="s">
        <v>500</v>
      </c>
      <c r="F74" s="75" t="s">
        <v>404</v>
      </c>
      <c r="G74" s="75" t="s">
        <v>405</v>
      </c>
      <c r="H74" s="75">
        <v>2</v>
      </c>
      <c r="I74" s="73">
        <v>611</v>
      </c>
      <c r="J74" t="s">
        <v>501</v>
      </c>
      <c r="K74" s="74" t="s">
        <v>339</v>
      </c>
      <c r="L74" s="74"/>
      <c r="M74" s="156">
        <v>45135</v>
      </c>
      <c r="N74" s="156">
        <v>45135</v>
      </c>
      <c r="O74" s="75" t="s">
        <v>326</v>
      </c>
      <c r="P74" s="156" t="s">
        <v>327</v>
      </c>
    </row>
    <row r="75" spans="1:16" ht="26.4" x14ac:dyDescent="0.25">
      <c r="A75" s="155" t="str">
        <f ca="1">HYPERLINK(MID(CELL("filename",A1),FIND("[",CELL("filename",A1)),FIND("]",CELL("filename",A1)) - FIND("[",CELL("filename",A1)) + 1) &amp; "'x-612'!TABLE_CLIENT_1","x-612 1")</f>
        <v>x-612 1</v>
      </c>
      <c r="B75" s="75" t="s">
        <v>319</v>
      </c>
      <c r="C75" s="75">
        <v>1992</v>
      </c>
      <c r="D75" s="75" t="s">
        <v>481</v>
      </c>
      <c r="E75" s="75" t="s">
        <v>502</v>
      </c>
      <c r="F75" s="75" t="s">
        <v>404</v>
      </c>
      <c r="G75" s="75" t="s">
        <v>405</v>
      </c>
      <c r="H75" s="75">
        <v>2</v>
      </c>
      <c r="I75" s="73">
        <v>612</v>
      </c>
      <c r="J75" t="s">
        <v>503</v>
      </c>
      <c r="K75" s="74" t="s">
        <v>341</v>
      </c>
      <c r="L75" s="74"/>
      <c r="M75" s="156">
        <v>45135</v>
      </c>
      <c r="N75" s="156">
        <v>45135</v>
      </c>
      <c r="O75" s="75" t="s">
        <v>326</v>
      </c>
      <c r="P75" s="156" t="s">
        <v>327</v>
      </c>
    </row>
    <row r="76" spans="1:16" ht="26.4" x14ac:dyDescent="0.25">
      <c r="A76" s="155" t="str">
        <f ca="1">HYPERLINK(MID(CELL("filename",A1),FIND("[",CELL("filename",A1)),FIND("]",CELL("filename",A1)) - FIND("[",CELL("filename",A1)) + 1) &amp; "'x-613'!TABLE_CLIENT_1","x-613 1")</f>
        <v>x-613 1</v>
      </c>
      <c r="B76" s="75" t="s">
        <v>319</v>
      </c>
      <c r="C76" s="75">
        <v>1992</v>
      </c>
      <c r="D76" s="75" t="s">
        <v>481</v>
      </c>
      <c r="E76" s="75" t="s">
        <v>504</v>
      </c>
      <c r="F76" s="75" t="s">
        <v>404</v>
      </c>
      <c r="G76" s="75" t="s">
        <v>405</v>
      </c>
      <c r="H76" s="75">
        <v>2</v>
      </c>
      <c r="I76" s="73">
        <v>613</v>
      </c>
      <c r="J76" t="s">
        <v>505</v>
      </c>
      <c r="K76" s="74" t="s">
        <v>457</v>
      </c>
      <c r="L76" s="74"/>
      <c r="M76" s="156">
        <v>45135</v>
      </c>
      <c r="N76" s="156">
        <v>45135</v>
      </c>
      <c r="O76" s="75" t="s">
        <v>326</v>
      </c>
      <c r="P76" s="156" t="s">
        <v>327</v>
      </c>
    </row>
    <row r="77" spans="1:16" ht="39.6" x14ac:dyDescent="0.25">
      <c r="A77" s="155" t="str">
        <f ca="1">HYPERLINK(MID(CELL("filename",A1),FIND("[",CELL("filename",A1)),FIND("]",CELL("filename",A1)) - FIND("[",CELL("filename",A1)) + 1) &amp; "'x-614'!TABLE_CLIENT_1","x-614 1")</f>
        <v>x-614 1</v>
      </c>
      <c r="B77" s="75" t="s">
        <v>319</v>
      </c>
      <c r="C77" s="75">
        <v>2007</v>
      </c>
      <c r="D77" s="75" t="s">
        <v>481</v>
      </c>
      <c r="E77" s="75" t="s">
        <v>506</v>
      </c>
      <c r="F77" s="75" t="s">
        <v>404</v>
      </c>
      <c r="G77" s="75" t="s">
        <v>507</v>
      </c>
      <c r="H77" s="75">
        <v>1</v>
      </c>
      <c r="I77" s="73">
        <v>614</v>
      </c>
      <c r="J77" t="s">
        <v>508</v>
      </c>
      <c r="K77" s="74" t="s">
        <v>339</v>
      </c>
      <c r="L77" s="74"/>
      <c r="M77" s="156">
        <v>45135</v>
      </c>
      <c r="N77" s="156">
        <v>45135</v>
      </c>
      <c r="O77" s="75" t="s">
        <v>326</v>
      </c>
      <c r="P77" s="156" t="s">
        <v>327</v>
      </c>
    </row>
    <row r="78" spans="1:16" ht="26.4" x14ac:dyDescent="0.25">
      <c r="A78" s="155" t="str">
        <f ca="1">HYPERLINK(MID(CELL("filename",A1),FIND("[",CELL("filename",A1)),FIND("]",CELL("filename",A1)) - FIND("[",CELL("filename",A1)) + 1) &amp; "'x-615'!TABLE_CLIENT_1","x-615 1")</f>
        <v>x-615 1</v>
      </c>
      <c r="B78" s="75" t="s">
        <v>319</v>
      </c>
      <c r="C78" s="75">
        <v>2007</v>
      </c>
      <c r="D78" s="75" t="s">
        <v>481</v>
      </c>
      <c r="E78" s="75" t="s">
        <v>509</v>
      </c>
      <c r="F78" s="75" t="s">
        <v>404</v>
      </c>
      <c r="G78" s="75" t="s">
        <v>507</v>
      </c>
      <c r="H78" s="75">
        <v>1</v>
      </c>
      <c r="I78" s="73">
        <v>615</v>
      </c>
      <c r="J78" t="s">
        <v>510</v>
      </c>
      <c r="K78" s="74" t="s">
        <v>341</v>
      </c>
      <c r="L78" s="74"/>
      <c r="M78" s="156">
        <v>45135</v>
      </c>
      <c r="N78" s="156">
        <v>45135</v>
      </c>
      <c r="O78" s="75" t="s">
        <v>326</v>
      </c>
      <c r="P78" s="156" t="s">
        <v>327</v>
      </c>
    </row>
    <row r="79" spans="1:16" ht="39.6" x14ac:dyDescent="0.25">
      <c r="A79" s="155" t="str">
        <f ca="1">HYPERLINK(MID(CELL("filename",A1),FIND("[",CELL("filename",A1)),FIND("]",CELL("filename",A1)) - FIND("[",CELL("filename",A1)) + 1) &amp; "'x-616'!TABLE_CLIENT_1","x-616 1")</f>
        <v>x-616 1</v>
      </c>
      <c r="B79" s="75" t="s">
        <v>319</v>
      </c>
      <c r="C79" s="75">
        <v>2007</v>
      </c>
      <c r="D79" s="75" t="s">
        <v>481</v>
      </c>
      <c r="E79" s="75" t="s">
        <v>511</v>
      </c>
      <c r="F79" s="75" t="s">
        <v>404</v>
      </c>
      <c r="G79" s="75" t="s">
        <v>507</v>
      </c>
      <c r="H79" s="75">
        <v>1</v>
      </c>
      <c r="I79" s="73">
        <v>616</v>
      </c>
      <c r="J79" t="s">
        <v>512</v>
      </c>
      <c r="K79" s="74" t="s">
        <v>513</v>
      </c>
      <c r="L79" s="74"/>
      <c r="M79" s="156">
        <v>45135</v>
      </c>
      <c r="N79" s="156">
        <v>45135</v>
      </c>
      <c r="O79" s="75" t="s">
        <v>326</v>
      </c>
      <c r="P79" s="156" t="s">
        <v>327</v>
      </c>
    </row>
    <row r="80" spans="1:16" ht="39.6" x14ac:dyDescent="0.25">
      <c r="A80" s="155" t="str">
        <f ca="1">HYPERLINK(MID(CELL("filename",A1),FIND("[",CELL("filename",A1)),FIND("]",CELL("filename",A1)) - FIND("[",CELL("filename",A1)) + 1) &amp; "'x-617'!TABLE_CLIENT_1","x-617 1")</f>
        <v>x-617 1</v>
      </c>
      <c r="B80" s="75" t="s">
        <v>319</v>
      </c>
      <c r="C80" s="75">
        <v>2007</v>
      </c>
      <c r="D80" s="75" t="s">
        <v>481</v>
      </c>
      <c r="E80" s="75" t="s">
        <v>514</v>
      </c>
      <c r="F80" s="75" t="s">
        <v>404</v>
      </c>
      <c r="G80" s="75" t="s">
        <v>507</v>
      </c>
      <c r="H80" s="75">
        <v>1</v>
      </c>
      <c r="I80" s="73">
        <v>617</v>
      </c>
      <c r="J80" t="s">
        <v>515</v>
      </c>
      <c r="K80" s="74" t="s">
        <v>516</v>
      </c>
      <c r="L80" s="74"/>
      <c r="M80" s="156">
        <v>45135</v>
      </c>
      <c r="N80" s="156">
        <v>45135</v>
      </c>
      <c r="O80" s="75" t="s">
        <v>326</v>
      </c>
      <c r="P80" s="156" t="s">
        <v>327</v>
      </c>
    </row>
    <row r="81" spans="1:16" ht="26.4" x14ac:dyDescent="0.25">
      <c r="A81" s="155" t="str">
        <f ca="1">HYPERLINK(MID(CELL("filename",A1),FIND("[",CELL("filename",A1)),FIND("]",CELL("filename",A1)) - FIND("[",CELL("filename",A1)) + 1) &amp; "'x-618'!TABLE_CLIENT_1","x-618 1")</f>
        <v>x-618 1</v>
      </c>
      <c r="B81" s="75" t="s">
        <v>319</v>
      </c>
      <c r="C81" s="75">
        <v>2007</v>
      </c>
      <c r="D81" s="75" t="s">
        <v>481</v>
      </c>
      <c r="E81" s="75" t="s">
        <v>517</v>
      </c>
      <c r="F81" s="75" t="s">
        <v>404</v>
      </c>
      <c r="G81" s="75" t="s">
        <v>507</v>
      </c>
      <c r="H81" s="75">
        <v>1</v>
      </c>
      <c r="I81" s="73">
        <v>618</v>
      </c>
      <c r="J81" t="s">
        <v>518</v>
      </c>
      <c r="K81" s="74" t="s">
        <v>457</v>
      </c>
      <c r="L81" s="74"/>
      <c r="M81" s="156">
        <v>45135</v>
      </c>
      <c r="N81" s="156">
        <v>45135</v>
      </c>
      <c r="O81" s="75" t="s">
        <v>326</v>
      </c>
      <c r="P81" s="156" t="s">
        <v>327</v>
      </c>
    </row>
    <row r="82" spans="1:16" ht="39.6" x14ac:dyDescent="0.25">
      <c r="A82" s="155" t="str">
        <f ca="1">HYPERLINK(MID(CELL("filename",A1),FIND("[",CELL("filename",A1)),FIND("]",CELL("filename",A1)) - FIND("[",CELL("filename",A1)) + 1) &amp; "'x-619'!TABLE_CLIENT_1","x-619 1")</f>
        <v>x-619 1</v>
      </c>
      <c r="B82" s="75" t="s">
        <v>319</v>
      </c>
      <c r="C82" s="75">
        <v>2007</v>
      </c>
      <c r="D82" s="75" t="s">
        <v>481</v>
      </c>
      <c r="E82" s="75" t="s">
        <v>519</v>
      </c>
      <c r="F82" s="75" t="s">
        <v>404</v>
      </c>
      <c r="G82" s="75" t="s">
        <v>507</v>
      </c>
      <c r="H82" s="75">
        <v>1</v>
      </c>
      <c r="I82" s="73">
        <v>619</v>
      </c>
      <c r="J82" t="s">
        <v>520</v>
      </c>
      <c r="K82" s="74" t="s">
        <v>521</v>
      </c>
      <c r="L82" s="74"/>
      <c r="M82" s="156">
        <v>45135</v>
      </c>
      <c r="N82" s="156">
        <v>45135</v>
      </c>
      <c r="O82" s="75" t="s">
        <v>326</v>
      </c>
      <c r="P82" s="156" t="s">
        <v>327</v>
      </c>
    </row>
    <row r="83" spans="1:16" ht="26.4" x14ac:dyDescent="0.25">
      <c r="A83" s="155" t="str">
        <f ca="1">HYPERLINK(MID(CELL("filename",A1),FIND("[",CELL("filename",A1)),FIND("]",CELL("filename",A1)) - FIND("[",CELL("filename",A1)) + 1) &amp; "'x-620'!TABLE_CLIENT_1","x-620 1")</f>
        <v>x-620 1</v>
      </c>
      <c r="B83" s="75" t="s">
        <v>319</v>
      </c>
      <c r="C83" s="75">
        <v>2015</v>
      </c>
      <c r="D83" s="75" t="s">
        <v>481</v>
      </c>
      <c r="E83" s="75" t="s">
        <v>522</v>
      </c>
      <c r="F83" s="75" t="s">
        <v>404</v>
      </c>
      <c r="G83" s="75" t="s">
        <v>431</v>
      </c>
      <c r="H83" s="75">
        <v>0</v>
      </c>
      <c r="I83" s="73">
        <v>620</v>
      </c>
      <c r="J83" t="s">
        <v>523</v>
      </c>
      <c r="K83" s="74" t="s">
        <v>339</v>
      </c>
      <c r="L83" s="74"/>
      <c r="M83" s="156">
        <v>45135</v>
      </c>
      <c r="N83" s="156">
        <v>45135</v>
      </c>
      <c r="O83" s="75" t="s">
        <v>326</v>
      </c>
      <c r="P83" s="156" t="s">
        <v>327</v>
      </c>
    </row>
    <row r="84" spans="1:16" ht="26.4" x14ac:dyDescent="0.25">
      <c r="A84" s="155" t="str">
        <f ca="1">HYPERLINK(MID(CELL("filename",A1),FIND("[",CELL("filename",A1)),FIND("]",CELL("filename",A1)) - FIND("[",CELL("filename",A1)) + 1) &amp; "'x-621'!TABLE_CLIENT_1","x-621 1")</f>
        <v>x-621 1</v>
      </c>
      <c r="B84" s="75" t="s">
        <v>319</v>
      </c>
      <c r="C84" s="75">
        <v>2015</v>
      </c>
      <c r="D84" s="75" t="s">
        <v>481</v>
      </c>
      <c r="E84" s="75" t="s">
        <v>524</v>
      </c>
      <c r="F84" s="75" t="s">
        <v>404</v>
      </c>
      <c r="G84" s="75" t="s">
        <v>431</v>
      </c>
      <c r="H84" s="75">
        <v>0</v>
      </c>
      <c r="I84" s="73">
        <v>621</v>
      </c>
      <c r="J84" t="s">
        <v>525</v>
      </c>
      <c r="K84" s="74" t="s">
        <v>341</v>
      </c>
      <c r="L84" s="74"/>
      <c r="M84" s="156">
        <v>45135</v>
      </c>
      <c r="N84" s="156">
        <v>45135</v>
      </c>
      <c r="O84" s="75" t="s">
        <v>326</v>
      </c>
      <c r="P84" s="156" t="s">
        <v>327</v>
      </c>
    </row>
    <row r="85" spans="1:16" ht="26.4" x14ac:dyDescent="0.25">
      <c r="A85" s="155" t="str">
        <f ca="1">HYPERLINK(MID(CELL("filename",A1),FIND("[",CELL("filename",A1)),FIND("]",CELL("filename",A1)) - FIND("[",CELL("filename",A1)) + 1) &amp; "'x-622'!TABLE_CLIENT_1","x-622 1")</f>
        <v>x-622 1</v>
      </c>
      <c r="B85" s="75" t="s">
        <v>319</v>
      </c>
      <c r="C85" s="75">
        <v>1992</v>
      </c>
      <c r="D85" s="75" t="s">
        <v>526</v>
      </c>
      <c r="E85" s="75" t="s">
        <v>527</v>
      </c>
      <c r="F85" s="75" t="s">
        <v>483</v>
      </c>
      <c r="G85" s="75" t="s">
        <v>528</v>
      </c>
      <c r="H85" s="75">
        <v>2</v>
      </c>
      <c r="I85" s="73">
        <v>622</v>
      </c>
      <c r="J85" t="s">
        <v>529</v>
      </c>
      <c r="K85" s="74" t="s">
        <v>433</v>
      </c>
      <c r="L85" s="74"/>
      <c r="M85" s="156">
        <v>45135</v>
      </c>
      <c r="N85" s="156">
        <v>45135</v>
      </c>
      <c r="O85" s="75" t="s">
        <v>530</v>
      </c>
      <c r="P85" s="156" t="s">
        <v>327</v>
      </c>
    </row>
    <row r="86" spans="1:16" ht="26.4" x14ac:dyDescent="0.25">
      <c r="A86" s="155" t="str">
        <f ca="1">HYPERLINK(MID(CELL("filename",A1),FIND("[",CELL("filename",A1)),FIND("]",CELL("filename",A1)) - FIND("[",CELL("filename",A1)) + 1) &amp; "'x-623'!TABLE_CLIENT_1","x-623 1")</f>
        <v>x-623 1</v>
      </c>
      <c r="B86" s="75" t="s">
        <v>319</v>
      </c>
      <c r="C86" s="75">
        <v>1992</v>
      </c>
      <c r="D86" s="75" t="s">
        <v>526</v>
      </c>
      <c r="E86" s="75" t="s">
        <v>531</v>
      </c>
      <c r="F86" s="75" t="s">
        <v>483</v>
      </c>
      <c r="G86" s="75" t="s">
        <v>528</v>
      </c>
      <c r="H86" s="75">
        <v>2</v>
      </c>
      <c r="I86" s="73">
        <v>623</v>
      </c>
      <c r="J86" t="s">
        <v>532</v>
      </c>
      <c r="K86" s="74" t="s">
        <v>436</v>
      </c>
      <c r="L86" s="74"/>
      <c r="M86" s="156">
        <v>45135</v>
      </c>
      <c r="N86" s="156">
        <v>45135</v>
      </c>
      <c r="O86" s="75" t="s">
        <v>530</v>
      </c>
      <c r="P86" s="156" t="s">
        <v>327</v>
      </c>
    </row>
    <row r="87" spans="1:16" ht="26.4" x14ac:dyDescent="0.25">
      <c r="A87" s="155" t="str">
        <f ca="1">HYPERLINK(MID(CELL("filename",A1),FIND("[",CELL("filename",A1)),FIND("]",CELL("filename",A1)) - FIND("[",CELL("filename",A1)) + 1) &amp; "'x-624'!TABLE_CLIENT_1","x-624 1")</f>
        <v>x-624 1</v>
      </c>
      <c r="B87" s="75" t="s">
        <v>319</v>
      </c>
      <c r="C87" s="75">
        <v>2007</v>
      </c>
      <c r="D87" s="75" t="s">
        <v>526</v>
      </c>
      <c r="E87" s="75" t="s">
        <v>533</v>
      </c>
      <c r="F87" s="75" t="s">
        <v>483</v>
      </c>
      <c r="G87" s="75" t="s">
        <v>528</v>
      </c>
      <c r="H87" s="75">
        <v>1</v>
      </c>
      <c r="I87" s="73">
        <v>624</v>
      </c>
      <c r="J87" t="s">
        <v>534</v>
      </c>
      <c r="K87" s="74" t="s">
        <v>433</v>
      </c>
      <c r="L87" s="74"/>
      <c r="M87" s="156">
        <v>45135</v>
      </c>
      <c r="N87" s="156">
        <v>45135</v>
      </c>
      <c r="O87" s="75" t="s">
        <v>530</v>
      </c>
      <c r="P87" s="156" t="s">
        <v>327</v>
      </c>
    </row>
    <row r="88" spans="1:16" ht="26.4" x14ac:dyDescent="0.25">
      <c r="A88" s="155" t="str">
        <f ca="1">HYPERLINK(MID(CELL("filename",A1),FIND("[",CELL("filename",A1)),FIND("]",CELL("filename",A1)) - FIND("[",CELL("filename",A1)) + 1) &amp; "'x-625'!TABLE_CLIENT_1","x-625 1")</f>
        <v>x-625 1</v>
      </c>
      <c r="B88" s="75" t="s">
        <v>319</v>
      </c>
      <c r="C88" s="75">
        <v>2007</v>
      </c>
      <c r="D88" s="75" t="s">
        <v>526</v>
      </c>
      <c r="E88" s="75" t="s">
        <v>535</v>
      </c>
      <c r="F88" s="75" t="s">
        <v>483</v>
      </c>
      <c r="G88" s="75" t="s">
        <v>528</v>
      </c>
      <c r="H88" s="75">
        <v>1</v>
      </c>
      <c r="I88" s="73">
        <v>625</v>
      </c>
      <c r="J88" t="s">
        <v>536</v>
      </c>
      <c r="K88" s="74" t="s">
        <v>436</v>
      </c>
      <c r="L88" s="74"/>
      <c r="M88" s="156">
        <v>45135</v>
      </c>
      <c r="N88" s="156">
        <v>45135</v>
      </c>
      <c r="O88" s="75" t="s">
        <v>530</v>
      </c>
      <c r="P88" s="156" t="s">
        <v>327</v>
      </c>
    </row>
    <row r="89" spans="1:16" ht="26.4" x14ac:dyDescent="0.25">
      <c r="A89" s="155" t="str">
        <f ca="1">HYPERLINK(MID(CELL("filename",A1),FIND("[",CELL("filename",A1)),FIND("]",CELL("filename",A1)) - FIND("[",CELL("filename",A1)) + 1) &amp; "'x-626'!TABLE_CLIENT_1","x-626 1")</f>
        <v>x-626 1</v>
      </c>
      <c r="B89" s="75" t="s">
        <v>319</v>
      </c>
      <c r="C89" s="75">
        <v>2015</v>
      </c>
      <c r="D89" s="75" t="s">
        <v>526</v>
      </c>
      <c r="E89" s="75" t="s">
        <v>533</v>
      </c>
      <c r="F89" s="75" t="s">
        <v>483</v>
      </c>
      <c r="G89" s="75" t="s">
        <v>528</v>
      </c>
      <c r="H89" s="75">
        <v>0</v>
      </c>
      <c r="I89" s="73">
        <v>626</v>
      </c>
      <c r="J89" t="s">
        <v>537</v>
      </c>
      <c r="K89" s="74" t="s">
        <v>440</v>
      </c>
      <c r="L89" s="74"/>
      <c r="M89" s="156">
        <v>45135</v>
      </c>
      <c r="N89" s="156">
        <v>45135</v>
      </c>
      <c r="O89" s="75" t="s">
        <v>530</v>
      </c>
      <c r="P89" s="156" t="s">
        <v>327</v>
      </c>
    </row>
    <row r="90" spans="1:16" ht="26.4" x14ac:dyDescent="0.25">
      <c r="A90" s="155" t="str">
        <f ca="1">HYPERLINK(MID(CELL("filename",A1),FIND("[",CELL("filename",A1)),FIND("]",CELL("filename",A1)) - FIND("[",CELL("filename",A1)) + 1) &amp; "'x-627'!TABLE_CLIENT_1","x-627 1")</f>
        <v>x-627 1</v>
      </c>
      <c r="B90" s="75" t="s">
        <v>319</v>
      </c>
      <c r="C90" s="75">
        <v>2015</v>
      </c>
      <c r="D90" s="75" t="s">
        <v>526</v>
      </c>
      <c r="E90" s="75" t="s">
        <v>538</v>
      </c>
      <c r="F90" s="75" t="s">
        <v>483</v>
      </c>
      <c r="G90" s="75" t="s">
        <v>528</v>
      </c>
      <c r="H90" s="75">
        <v>0</v>
      </c>
      <c r="I90" s="73">
        <v>627</v>
      </c>
      <c r="J90" t="s">
        <v>539</v>
      </c>
      <c r="K90" s="74" t="s">
        <v>446</v>
      </c>
      <c r="L90" s="74"/>
      <c r="M90" s="156">
        <v>45135</v>
      </c>
      <c r="N90" s="156">
        <v>45135</v>
      </c>
      <c r="O90" s="75" t="s">
        <v>530</v>
      </c>
      <c r="P90" s="156" t="s">
        <v>327</v>
      </c>
    </row>
    <row r="91" spans="1:16" ht="26.4" x14ac:dyDescent="0.25">
      <c r="A91" s="155" t="str">
        <f ca="1">HYPERLINK(MID(CELL("filename",A1),FIND("[",CELL("filename",A1)),FIND("]",CELL("filename",A1)) - FIND("[",CELL("filename",A1)) + 1) &amp; "'x-701'!TABLE_CLIENT_1","x-701 1")</f>
        <v>x-701 1</v>
      </c>
      <c r="B91" s="75" t="s">
        <v>319</v>
      </c>
      <c r="C91" s="75">
        <v>2015</v>
      </c>
      <c r="D91" s="75" t="s">
        <v>540</v>
      </c>
      <c r="E91" s="75" t="s">
        <v>541</v>
      </c>
      <c r="F91" s="75" t="s">
        <v>404</v>
      </c>
      <c r="G91" s="75" t="s">
        <v>542</v>
      </c>
      <c r="H91" s="75">
        <v>0</v>
      </c>
      <c r="I91" s="73" t="s">
        <v>543</v>
      </c>
      <c r="J91" t="s">
        <v>544</v>
      </c>
      <c r="K91" s="74" t="s">
        <v>465</v>
      </c>
      <c r="L91" s="74"/>
      <c r="M91" s="156">
        <v>45196</v>
      </c>
      <c r="N91" s="156">
        <v>45197</v>
      </c>
      <c r="O91" s="75" t="s">
        <v>326</v>
      </c>
      <c r="P91" s="156" t="s">
        <v>327</v>
      </c>
    </row>
    <row r="92" spans="1:16" ht="26.4" x14ac:dyDescent="0.25">
      <c r="A92" s="155" t="str">
        <f ca="1">HYPERLINK(MID(CELL("filename",A1),FIND("[",CELL("filename",A1)),FIND("]",CELL("filename",A1)) - FIND("[",CELL("filename",A1)) + 1) &amp; "'x-701'!TABLE_CLIENT_2","x-701 2")</f>
        <v>x-701 2</v>
      </c>
      <c r="B92" s="75" t="s">
        <v>319</v>
      </c>
      <c r="C92" s="75">
        <v>2015</v>
      </c>
      <c r="D92" s="75" t="s">
        <v>540</v>
      </c>
      <c r="E92" s="75" t="s">
        <v>541</v>
      </c>
      <c r="F92" s="75" t="s">
        <v>404</v>
      </c>
      <c r="G92" s="75" t="s">
        <v>542</v>
      </c>
      <c r="H92" s="75">
        <v>0</v>
      </c>
      <c r="I92" s="73" t="s">
        <v>545</v>
      </c>
      <c r="J92" t="s">
        <v>546</v>
      </c>
      <c r="K92" s="74" t="s">
        <v>465</v>
      </c>
      <c r="L92" s="74"/>
      <c r="M92" s="156">
        <v>45196</v>
      </c>
      <c r="N92" s="156">
        <v>45197</v>
      </c>
      <c r="O92" s="75" t="s">
        <v>326</v>
      </c>
      <c r="P92" s="156" t="s">
        <v>327</v>
      </c>
    </row>
    <row r="93" spans="1:16" ht="26.4" x14ac:dyDescent="0.25">
      <c r="A93" s="155" t="str">
        <f ca="1">HYPERLINK(MID(CELL("filename",A1),FIND("[",CELL("filename",A1)),FIND("]",CELL("filename",A1)) - FIND("[",CELL("filename",A1)) + 1) &amp; "'x-702'!TABLE_CLIENT_1","x-702 1")</f>
        <v>x-702 1</v>
      </c>
      <c r="B93" s="75" t="s">
        <v>319</v>
      </c>
      <c r="C93" s="75">
        <v>2015</v>
      </c>
      <c r="D93" s="75" t="s">
        <v>540</v>
      </c>
      <c r="E93" s="75" t="s">
        <v>547</v>
      </c>
      <c r="F93" s="75" t="s">
        <v>404</v>
      </c>
      <c r="G93" s="75" t="s">
        <v>548</v>
      </c>
      <c r="H93" s="75">
        <v>0</v>
      </c>
      <c r="I93" s="73">
        <v>702</v>
      </c>
      <c r="J93" t="s">
        <v>549</v>
      </c>
      <c r="K93" s="74" t="s">
        <v>468</v>
      </c>
      <c r="L93" s="74"/>
      <c r="M93" s="156">
        <v>45196</v>
      </c>
      <c r="N93" s="156">
        <v>45197</v>
      </c>
      <c r="O93" s="75" t="s">
        <v>326</v>
      </c>
      <c r="P93" s="156" t="s">
        <v>327</v>
      </c>
    </row>
    <row r="94" spans="1:16" x14ac:dyDescent="0.25">
      <c r="A94" s="155" t="str">
        <f ca="1">HYPERLINK(MID(CELL("filename",A1),FIND("[",CELL("filename",A1)),FIND("]",CELL("filename",A1)) - FIND("[",CELL("filename",A1)) + 1) &amp; "'x-802'!TABLE_CLIENT_1","x-802 1")</f>
        <v>x-802 1</v>
      </c>
      <c r="B94" s="75" t="s">
        <v>319</v>
      </c>
      <c r="C94" s="75">
        <v>2007</v>
      </c>
      <c r="D94" s="75" t="s">
        <v>550</v>
      </c>
      <c r="E94" s="75" t="s">
        <v>551</v>
      </c>
      <c r="F94" s="75" t="s">
        <v>404</v>
      </c>
      <c r="G94" s="75" t="s">
        <v>528</v>
      </c>
      <c r="H94" s="75">
        <v>0</v>
      </c>
      <c r="I94" s="73">
        <v>802</v>
      </c>
      <c r="J94" t="s">
        <v>552</v>
      </c>
      <c r="K94" s="74" t="s">
        <v>440</v>
      </c>
      <c r="L94" s="74"/>
      <c r="M94" s="156"/>
      <c r="N94" s="156"/>
      <c r="O94" s="75" t="s">
        <v>553</v>
      </c>
      <c r="P94" s="156"/>
    </row>
    <row r="95" spans="1:16" x14ac:dyDescent="0.25">
      <c r="A95" s="155" t="str">
        <f ca="1">HYPERLINK(MID(CELL("filename",A1),FIND("[",CELL("filename",A1)),FIND("]",CELL("filename",A1)) - FIND("[",CELL("filename",A1)) + 1) &amp; "'x-802'!TABLE_CLIENT_2","x-802 2")</f>
        <v>x-802 2</v>
      </c>
      <c r="B95" s="75" t="s">
        <v>319</v>
      </c>
      <c r="C95" s="75">
        <v>2007</v>
      </c>
      <c r="D95" s="75" t="s">
        <v>550</v>
      </c>
      <c r="E95" s="75" t="s">
        <v>554</v>
      </c>
      <c r="F95" s="75" t="s">
        <v>404</v>
      </c>
      <c r="G95" s="75" t="s">
        <v>528</v>
      </c>
      <c r="H95" s="75">
        <v>0</v>
      </c>
      <c r="I95" s="73">
        <v>802</v>
      </c>
      <c r="J95" t="s">
        <v>555</v>
      </c>
      <c r="K95" s="74" t="s">
        <v>446</v>
      </c>
      <c r="L95" s="74"/>
      <c r="M95" s="156"/>
      <c r="N95" s="156"/>
      <c r="O95" s="75" t="s">
        <v>553</v>
      </c>
      <c r="P95" s="156"/>
    </row>
    <row r="96" spans="1:16" x14ac:dyDescent="0.25">
      <c r="A96" s="155" t="str">
        <f ca="1">HYPERLINK(MID(CELL("filename",A1),FIND("[",CELL("filename",A1)),FIND("]",CELL("filename",A1)) - FIND("[",CELL("filename",A1)) + 1) &amp; "'x-802'!TABLE_CLIENT_3","x-802 3")</f>
        <v>x-802 3</v>
      </c>
      <c r="B96" s="75" t="s">
        <v>319</v>
      </c>
      <c r="C96" s="75">
        <v>2007</v>
      </c>
      <c r="D96" s="75" t="s">
        <v>550</v>
      </c>
      <c r="E96" s="75" t="s">
        <v>556</v>
      </c>
      <c r="F96" s="75" t="s">
        <v>404</v>
      </c>
      <c r="G96" s="75" t="s">
        <v>528</v>
      </c>
      <c r="H96" s="75">
        <v>0</v>
      </c>
      <c r="I96" s="73">
        <v>802</v>
      </c>
      <c r="J96" t="s">
        <v>557</v>
      </c>
      <c r="K96" s="74" t="s">
        <v>457</v>
      </c>
      <c r="L96" s="74"/>
      <c r="M96" s="156"/>
      <c r="N96" s="156"/>
      <c r="O96" s="75" t="s">
        <v>553</v>
      </c>
      <c r="P96" s="156"/>
    </row>
  </sheetData>
  <autoFilter ref="A7:W7" xr:uid="{00000000-0001-0000-0500-000000000000}"/>
  <sortState xmlns:xlrd2="http://schemas.microsoft.com/office/spreadsheetml/2017/richdata2" ref="B8:Q34">
    <sortCondition ref="I8:I34"/>
    <sortCondition ref="H8:H34"/>
    <sortCondition ref="J8:J34"/>
    <sortCondition ref="F8:F34"/>
  </sortState>
  <phoneticPr fontId="5" type="noConversion"/>
  <conditionalFormatting sqref="A8:J96 L8:O96">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A8:J96">
    <cfRule type="expression" priority="17" stopIfTrue="1">
      <formula>MOD(ROW(),2)=0</formula>
    </cfRule>
    <cfRule type="expression" priority="18" stopIfTrue="1">
      <formula>MOD(ROW(),2)&lt;&gt;0</formula>
    </cfRule>
  </conditionalFormatting>
  <conditionalFormatting sqref="A8:P96">
    <cfRule type="expression" dxfId="1007" priority="1" stopIfTrue="1">
      <formula>MOD(ROW(),2)=0</formula>
    </cfRule>
    <cfRule type="expression" dxfId="1006" priority="2" stopIfTrue="1">
      <formula>MOD(ROW(),2)&lt;&gt;0</formula>
    </cfRule>
  </conditionalFormatting>
  <conditionalFormatting sqref="L8:P96">
    <cfRule type="expression" priority="7" stopIfTrue="1">
      <formula>MOD(ROW(),2)=0</formula>
    </cfRule>
    <cfRule type="expression" priority="8" stopIfTrue="1">
      <formula>MOD(ROW(),2)&lt;&gt;0</formula>
    </cfRule>
  </conditionalFormatting>
  <conditionalFormatting sqref="P8:P96">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0"/>
  <dimension ref="A1:L46"/>
  <sheetViews>
    <sheetView showGridLines="0" zoomScale="85" zoomScaleNormal="85" workbookViewId="0">
      <selection activeCell="A4" sqref="A4"/>
    </sheetView>
  </sheetViews>
  <sheetFormatPr defaultColWidth="10" defaultRowHeight="13.2" x14ac:dyDescent="0.25"/>
  <cols>
    <col min="1" max="1" width="31.77734375" style="27" customWidth="1"/>
    <col min="2" max="12" width="22.77734375" style="27" customWidth="1"/>
    <col min="13" max="16384" width="10" style="27"/>
  </cols>
  <sheetData>
    <row r="1" spans="1:12" ht="21" x14ac:dyDescent="0.4">
      <c r="A1" s="40" t="s">
        <v>227</v>
      </c>
      <c r="B1" s="41"/>
      <c r="C1" s="41"/>
      <c r="D1" s="41"/>
      <c r="E1" s="41"/>
      <c r="F1" s="41"/>
      <c r="G1" s="41"/>
      <c r="H1" s="41"/>
      <c r="I1" s="41"/>
    </row>
    <row r="2" spans="1:12" ht="15.6" x14ac:dyDescent="0.3">
      <c r="A2" s="42" t="str">
        <f>IF(title="&gt; Enter workbook title here","Enter workbook title in Cover sheet",title)</f>
        <v>Fire Wales - Consolidated Factor Spreadsheet</v>
      </c>
      <c r="B2" s="43"/>
      <c r="C2" s="43"/>
      <c r="D2" s="43"/>
      <c r="E2" s="43"/>
      <c r="F2" s="43"/>
      <c r="G2" s="43"/>
      <c r="H2" s="43"/>
      <c r="I2" s="43"/>
    </row>
    <row r="3" spans="1:12" ht="15.6" x14ac:dyDescent="0.3">
      <c r="A3" s="44" t="str">
        <f>TABLE_FACTOR_TYPE_1&amp;" - x-"&amp;TABLE_SERIES_NUMBER_1</f>
        <v>LRF - x-407</v>
      </c>
      <c r="B3" s="43"/>
      <c r="C3" s="43"/>
      <c r="D3" s="43"/>
      <c r="E3" s="43"/>
      <c r="F3" s="43"/>
      <c r="G3" s="43"/>
      <c r="H3" s="43"/>
      <c r="I3" s="43"/>
    </row>
    <row r="4" spans="1:12" x14ac:dyDescent="0.25">
      <c r="A4" s="45"/>
    </row>
    <row r="6" spans="1:12" x14ac:dyDescent="0.25">
      <c r="A6" s="77" t="s">
        <v>558</v>
      </c>
      <c r="B6" s="152" t="s">
        <v>559</v>
      </c>
      <c r="C6" s="152"/>
      <c r="D6" s="152"/>
      <c r="E6" s="152"/>
      <c r="F6" s="152"/>
      <c r="G6" s="152"/>
      <c r="H6" s="152"/>
      <c r="I6" s="152"/>
      <c r="J6" s="152"/>
      <c r="K6" s="152"/>
      <c r="L6" s="152"/>
    </row>
    <row r="7" spans="1:12" x14ac:dyDescent="0.25">
      <c r="A7" s="79" t="s">
        <v>305</v>
      </c>
      <c r="B7" s="152" t="s">
        <v>319</v>
      </c>
      <c r="C7" s="152"/>
      <c r="D7" s="152"/>
      <c r="E7" s="152"/>
      <c r="F7" s="152"/>
      <c r="G7" s="152"/>
      <c r="H7" s="152"/>
      <c r="I7" s="152"/>
      <c r="J7" s="152"/>
      <c r="K7" s="152"/>
      <c r="L7" s="152"/>
    </row>
    <row r="8" spans="1:12" x14ac:dyDescent="0.25">
      <c r="A8" s="79" t="s">
        <v>306</v>
      </c>
      <c r="B8" s="152">
        <v>2015</v>
      </c>
      <c r="C8" s="152"/>
      <c r="D8" s="152"/>
      <c r="E8" s="152"/>
      <c r="F8" s="152"/>
      <c r="G8" s="152"/>
      <c r="H8" s="152"/>
      <c r="I8" s="152"/>
      <c r="J8" s="152"/>
      <c r="K8" s="152"/>
      <c r="L8" s="152"/>
    </row>
    <row r="9" spans="1:12" x14ac:dyDescent="0.25">
      <c r="A9" s="79" t="s">
        <v>307</v>
      </c>
      <c r="B9" s="152" t="s">
        <v>447</v>
      </c>
      <c r="C9" s="152"/>
      <c r="D9" s="152"/>
      <c r="E9" s="152"/>
      <c r="F9" s="152"/>
      <c r="G9" s="152"/>
      <c r="H9" s="152"/>
      <c r="I9" s="152"/>
      <c r="J9" s="152"/>
      <c r="K9" s="152"/>
      <c r="L9" s="152"/>
    </row>
    <row r="10" spans="1:12" x14ac:dyDescent="0.25">
      <c r="A10" s="79" t="s">
        <v>233</v>
      </c>
      <c r="B10" s="152" t="s">
        <v>458</v>
      </c>
      <c r="C10" s="152"/>
      <c r="D10" s="152"/>
      <c r="E10" s="152"/>
      <c r="F10" s="152"/>
      <c r="G10" s="152"/>
      <c r="H10" s="152"/>
      <c r="I10" s="152"/>
      <c r="J10" s="152"/>
      <c r="K10" s="152"/>
      <c r="L10" s="152"/>
    </row>
    <row r="11" spans="1:12" x14ac:dyDescent="0.25">
      <c r="A11" s="79" t="s">
        <v>308</v>
      </c>
      <c r="B11" s="152" t="s">
        <v>404</v>
      </c>
      <c r="C11" s="152"/>
      <c r="D11" s="152"/>
      <c r="E11" s="152"/>
      <c r="F11" s="152"/>
      <c r="G11" s="152"/>
      <c r="H11" s="152"/>
      <c r="I11" s="152"/>
      <c r="J11" s="152"/>
      <c r="K11" s="152"/>
      <c r="L11" s="152"/>
    </row>
    <row r="12" spans="1:12" x14ac:dyDescent="0.25">
      <c r="A12" s="79" t="s">
        <v>309</v>
      </c>
      <c r="B12" s="152" t="s">
        <v>455</v>
      </c>
      <c r="C12" s="152"/>
      <c r="D12" s="152"/>
      <c r="E12" s="152"/>
      <c r="F12" s="152"/>
      <c r="G12" s="152"/>
      <c r="H12" s="152"/>
      <c r="I12" s="152"/>
      <c r="J12" s="152"/>
      <c r="K12" s="152"/>
      <c r="L12" s="152"/>
    </row>
    <row r="13" spans="1:12" x14ac:dyDescent="0.25">
      <c r="A13" s="79" t="s">
        <v>566</v>
      </c>
      <c r="B13" s="152">
        <v>0</v>
      </c>
      <c r="C13" s="152"/>
      <c r="D13" s="152"/>
      <c r="E13" s="152"/>
      <c r="F13" s="152"/>
      <c r="G13" s="152"/>
      <c r="H13" s="152"/>
      <c r="I13" s="152"/>
      <c r="J13" s="152"/>
      <c r="K13" s="152"/>
      <c r="L13" s="152"/>
    </row>
    <row r="14" spans="1:12" x14ac:dyDescent="0.25">
      <c r="A14" s="79" t="s">
        <v>311</v>
      </c>
      <c r="B14" s="152">
        <v>407</v>
      </c>
      <c r="C14" s="152"/>
      <c r="D14" s="152"/>
      <c r="E14" s="152"/>
      <c r="F14" s="152"/>
      <c r="G14" s="152"/>
      <c r="H14" s="152"/>
      <c r="I14" s="152"/>
      <c r="J14" s="152"/>
      <c r="K14" s="152"/>
      <c r="L14" s="152"/>
    </row>
    <row r="15" spans="1:12" x14ac:dyDescent="0.25">
      <c r="A15" s="79" t="s">
        <v>569</v>
      </c>
      <c r="B15" s="152" t="s">
        <v>459</v>
      </c>
      <c r="C15" s="152"/>
      <c r="D15" s="152"/>
      <c r="E15" s="152"/>
      <c r="F15" s="152"/>
      <c r="G15" s="152"/>
      <c r="H15" s="152"/>
      <c r="I15" s="152"/>
      <c r="J15" s="152"/>
      <c r="K15" s="152"/>
      <c r="L15" s="152"/>
    </row>
    <row r="16" spans="1:12" x14ac:dyDescent="0.25">
      <c r="A16" s="79" t="s">
        <v>313</v>
      </c>
      <c r="B16" s="152" t="s">
        <v>433</v>
      </c>
      <c r="C16" s="152"/>
      <c r="D16" s="152"/>
      <c r="E16" s="152"/>
      <c r="F16" s="152"/>
      <c r="G16" s="152"/>
      <c r="H16" s="152"/>
      <c r="I16" s="152"/>
      <c r="J16" s="152"/>
      <c r="K16" s="152"/>
      <c r="L16" s="152"/>
    </row>
    <row r="17" spans="1:12" x14ac:dyDescent="0.25">
      <c r="A17" s="79" t="s">
        <v>639</v>
      </c>
      <c r="B17" s="152"/>
      <c r="C17" s="152"/>
      <c r="D17" s="152"/>
      <c r="E17" s="152"/>
      <c r="F17" s="152"/>
      <c r="G17" s="152"/>
      <c r="H17" s="152"/>
      <c r="I17" s="152"/>
      <c r="J17" s="152"/>
      <c r="K17" s="152"/>
      <c r="L17" s="152"/>
    </row>
    <row r="18" spans="1:12" x14ac:dyDescent="0.25">
      <c r="A18" s="79" t="s">
        <v>315</v>
      </c>
      <c r="B18" s="154">
        <v>45106</v>
      </c>
      <c r="C18" s="152"/>
      <c r="D18" s="152"/>
      <c r="E18" s="152"/>
      <c r="F18" s="152"/>
      <c r="G18" s="152"/>
      <c r="H18" s="152"/>
      <c r="I18" s="152"/>
      <c r="J18" s="152"/>
      <c r="K18" s="152"/>
      <c r="L18" s="152"/>
    </row>
    <row r="19" spans="1:12" x14ac:dyDescent="0.25">
      <c r="A19" s="79" t="s">
        <v>316</v>
      </c>
      <c r="B19" s="154">
        <v>45106</v>
      </c>
      <c r="C19" s="152"/>
      <c r="D19" s="152"/>
      <c r="E19" s="152"/>
      <c r="F19" s="152"/>
      <c r="G19" s="152"/>
      <c r="H19" s="152"/>
      <c r="I19" s="152"/>
      <c r="J19" s="152"/>
      <c r="K19" s="152"/>
      <c r="L19" s="152"/>
    </row>
    <row r="20" spans="1:12" x14ac:dyDescent="0.25">
      <c r="A20" s="79" t="s">
        <v>317</v>
      </c>
      <c r="B20" s="152" t="s">
        <v>326</v>
      </c>
      <c r="C20" s="152"/>
      <c r="D20" s="152"/>
      <c r="E20" s="152"/>
      <c r="F20" s="152"/>
      <c r="G20" s="152"/>
      <c r="H20" s="152"/>
      <c r="I20" s="152"/>
      <c r="J20" s="152"/>
      <c r="K20" s="152"/>
      <c r="L20" s="152"/>
    </row>
    <row r="21" spans="1:12" x14ac:dyDescent="0.25">
      <c r="A21" s="79" t="s">
        <v>318</v>
      </c>
      <c r="B21" s="152" t="s">
        <v>327</v>
      </c>
      <c r="C21" s="152"/>
      <c r="D21" s="152"/>
      <c r="E21" s="152"/>
      <c r="F21" s="152"/>
      <c r="G21" s="152"/>
      <c r="H21" s="152"/>
      <c r="I21" s="152"/>
      <c r="J21" s="152"/>
      <c r="K21" s="152"/>
      <c r="L21" s="152"/>
    </row>
    <row r="23" spans="1:12" x14ac:dyDescent="0.25">
      <c r="B23" s="96" t="str">
        <f>HYPERLINK("#'Factor List'!A1","Back to Factor List")</f>
        <v>Back to Factor List</v>
      </c>
    </row>
    <row r="24" spans="1:12" x14ac:dyDescent="0.25">
      <c r="B24" s="96" t="str">
        <f>HYPERLINK("#'Assumptions'!A1","Assumptions")</f>
        <v>Assumptions</v>
      </c>
    </row>
    <row r="26" spans="1:12" x14ac:dyDescent="0.25">
      <c r="A26" s="86" t="s">
        <v>669</v>
      </c>
      <c r="B26" s="82">
        <v>59</v>
      </c>
      <c r="C26" s="82">
        <v>60</v>
      </c>
      <c r="D26" s="82">
        <v>61</v>
      </c>
      <c r="E26" s="82">
        <v>62</v>
      </c>
      <c r="F26" s="82">
        <v>63</v>
      </c>
      <c r="G26" s="82">
        <v>64</v>
      </c>
      <c r="H26" s="82">
        <v>65</v>
      </c>
      <c r="I26" s="82">
        <v>66</v>
      </c>
      <c r="J26" s="82">
        <v>67</v>
      </c>
      <c r="K26" s="82">
        <v>68</v>
      </c>
      <c r="L26" s="82">
        <v>69</v>
      </c>
    </row>
    <row r="27" spans="1:12" x14ac:dyDescent="0.25">
      <c r="A27" s="83">
        <v>0</v>
      </c>
      <c r="B27" s="88">
        <v>0</v>
      </c>
      <c r="C27" s="88">
        <v>0</v>
      </c>
      <c r="D27" s="88">
        <v>0</v>
      </c>
      <c r="E27" s="88">
        <v>0</v>
      </c>
      <c r="F27" s="88">
        <v>0</v>
      </c>
      <c r="G27" s="88">
        <v>0</v>
      </c>
      <c r="H27" s="88">
        <v>0</v>
      </c>
      <c r="I27" s="88">
        <v>0</v>
      </c>
      <c r="J27" s="88">
        <v>0</v>
      </c>
      <c r="K27" s="88">
        <v>0</v>
      </c>
      <c r="L27" s="88">
        <v>0</v>
      </c>
    </row>
    <row r="28" spans="1:12" x14ac:dyDescent="0.25">
      <c r="A28" s="83">
        <v>1</v>
      </c>
      <c r="B28" s="88">
        <v>4.0000000000000001E-3</v>
      </c>
      <c r="C28" s="88">
        <v>4.0000000000000001E-3</v>
      </c>
      <c r="D28" s="88">
        <v>4.0000000000000001E-3</v>
      </c>
      <c r="E28" s="88">
        <v>4.0000000000000001E-3</v>
      </c>
      <c r="F28" s="88">
        <v>4.0000000000000001E-3</v>
      </c>
      <c r="G28" s="88">
        <v>4.0000000000000001E-3</v>
      </c>
      <c r="H28" s="88">
        <v>4.0000000000000001E-3</v>
      </c>
      <c r="I28" s="88">
        <v>4.0000000000000001E-3</v>
      </c>
      <c r="J28" s="88">
        <v>5.0000000000000001E-3</v>
      </c>
      <c r="K28" s="88">
        <v>5.0000000000000001E-3</v>
      </c>
      <c r="L28" s="88">
        <v>5.0000000000000001E-3</v>
      </c>
    </row>
    <row r="29" spans="1:12" x14ac:dyDescent="0.25">
      <c r="A29" s="83">
        <v>2</v>
      </c>
      <c r="B29" s="88">
        <v>7.0000000000000001E-3</v>
      </c>
      <c r="C29" s="88">
        <v>7.0000000000000001E-3</v>
      </c>
      <c r="D29" s="88">
        <v>8.0000000000000002E-3</v>
      </c>
      <c r="E29" s="88">
        <v>8.0000000000000002E-3</v>
      </c>
      <c r="F29" s="88">
        <v>8.0000000000000002E-3</v>
      </c>
      <c r="G29" s="88">
        <v>8.0000000000000002E-3</v>
      </c>
      <c r="H29" s="88">
        <v>8.9999999999999993E-3</v>
      </c>
      <c r="I29" s="88">
        <v>8.9999999999999993E-3</v>
      </c>
      <c r="J29" s="88">
        <v>8.9999999999999993E-3</v>
      </c>
      <c r="K29" s="88">
        <v>8.9999999999999993E-3</v>
      </c>
      <c r="L29" s="88">
        <v>0.01</v>
      </c>
    </row>
    <row r="30" spans="1:12" x14ac:dyDescent="0.25">
      <c r="A30" s="83">
        <v>3</v>
      </c>
      <c r="B30" s="88">
        <v>1.0999999999999999E-2</v>
      </c>
      <c r="C30" s="88">
        <v>1.0999999999999999E-2</v>
      </c>
      <c r="D30" s="88">
        <v>1.0999999999999999E-2</v>
      </c>
      <c r="E30" s="88">
        <v>1.2E-2</v>
      </c>
      <c r="F30" s="88">
        <v>1.2E-2</v>
      </c>
      <c r="G30" s="88">
        <v>1.2999999999999999E-2</v>
      </c>
      <c r="H30" s="88">
        <v>1.2999999999999999E-2</v>
      </c>
      <c r="I30" s="88">
        <v>1.2999999999999999E-2</v>
      </c>
      <c r="J30" s="88">
        <v>1.4E-2</v>
      </c>
      <c r="K30" s="88">
        <v>1.4E-2</v>
      </c>
      <c r="L30" s="88">
        <v>1.4999999999999999E-2</v>
      </c>
    </row>
    <row r="31" spans="1:12" x14ac:dyDescent="0.25">
      <c r="A31" s="83">
        <v>4</v>
      </c>
      <c r="B31" s="88">
        <v>1.4999999999999999E-2</v>
      </c>
      <c r="C31" s="88">
        <v>1.4999999999999999E-2</v>
      </c>
      <c r="D31" s="88">
        <v>1.4999999999999999E-2</v>
      </c>
      <c r="E31" s="88">
        <v>1.6E-2</v>
      </c>
      <c r="F31" s="88">
        <v>1.6E-2</v>
      </c>
      <c r="G31" s="88">
        <v>1.7000000000000001E-2</v>
      </c>
      <c r="H31" s="88">
        <v>1.7000000000000001E-2</v>
      </c>
      <c r="I31" s="88">
        <v>1.7999999999999999E-2</v>
      </c>
      <c r="J31" s="88">
        <v>1.7999999999999999E-2</v>
      </c>
      <c r="K31" s="88">
        <v>1.9E-2</v>
      </c>
      <c r="L31" s="88">
        <v>0.02</v>
      </c>
    </row>
    <row r="32" spans="1:12" x14ac:dyDescent="0.25">
      <c r="A32" s="83">
        <v>5</v>
      </c>
      <c r="B32" s="88">
        <v>1.9E-2</v>
      </c>
      <c r="C32" s="88">
        <v>1.9E-2</v>
      </c>
      <c r="D32" s="88">
        <v>1.9E-2</v>
      </c>
      <c r="E32" s="88">
        <v>0.02</v>
      </c>
      <c r="F32" s="88">
        <v>0.02</v>
      </c>
      <c r="G32" s="88">
        <v>2.1000000000000001E-2</v>
      </c>
      <c r="H32" s="88">
        <v>2.1999999999999999E-2</v>
      </c>
      <c r="I32" s="88">
        <v>2.1999999999999999E-2</v>
      </c>
      <c r="J32" s="88">
        <v>2.3E-2</v>
      </c>
      <c r="K32" s="88">
        <v>2.4E-2</v>
      </c>
      <c r="L32" s="88">
        <v>2.5000000000000001E-2</v>
      </c>
    </row>
    <row r="33" spans="1:12" x14ac:dyDescent="0.25">
      <c r="A33" s="83">
        <v>6</v>
      </c>
      <c r="B33" s="88">
        <v>2.1999999999999999E-2</v>
      </c>
      <c r="C33" s="88">
        <v>2.1999999999999999E-2</v>
      </c>
      <c r="D33" s="88">
        <v>2.3E-2</v>
      </c>
      <c r="E33" s="88">
        <v>2.4E-2</v>
      </c>
      <c r="F33" s="88">
        <v>2.4E-2</v>
      </c>
      <c r="G33" s="88">
        <v>2.5000000000000001E-2</v>
      </c>
      <c r="H33" s="88">
        <v>2.5999999999999999E-2</v>
      </c>
      <c r="I33" s="88">
        <v>2.7E-2</v>
      </c>
      <c r="J33" s="88">
        <v>2.7E-2</v>
      </c>
      <c r="K33" s="88">
        <v>2.8000000000000001E-2</v>
      </c>
      <c r="L33" s="88">
        <v>0.03</v>
      </c>
    </row>
    <row r="34" spans="1:12" x14ac:dyDescent="0.25">
      <c r="A34" s="83">
        <v>7</v>
      </c>
      <c r="B34" s="88">
        <v>2.5999999999999999E-2</v>
      </c>
      <c r="C34" s="88">
        <v>2.5999999999999999E-2</v>
      </c>
      <c r="D34" s="88">
        <v>2.7E-2</v>
      </c>
      <c r="E34" s="88">
        <v>2.8000000000000001E-2</v>
      </c>
      <c r="F34" s="88">
        <v>2.8000000000000001E-2</v>
      </c>
      <c r="G34" s="88">
        <v>2.9000000000000001E-2</v>
      </c>
      <c r="H34" s="88">
        <v>0.03</v>
      </c>
      <c r="I34" s="88">
        <v>3.1E-2</v>
      </c>
      <c r="J34" s="88">
        <v>3.2000000000000001E-2</v>
      </c>
      <c r="K34" s="88">
        <v>3.3000000000000002E-2</v>
      </c>
      <c r="L34" s="88">
        <v>3.5000000000000003E-2</v>
      </c>
    </row>
    <row r="35" spans="1:12" x14ac:dyDescent="0.25">
      <c r="A35" s="83">
        <v>8</v>
      </c>
      <c r="B35" s="88">
        <v>0.03</v>
      </c>
      <c r="C35" s="88">
        <v>0.03</v>
      </c>
      <c r="D35" s="88">
        <v>0.03</v>
      </c>
      <c r="E35" s="88">
        <v>3.1E-2</v>
      </c>
      <c r="F35" s="88">
        <v>3.2000000000000001E-2</v>
      </c>
      <c r="G35" s="88">
        <v>3.4000000000000002E-2</v>
      </c>
      <c r="H35" s="88">
        <v>3.5000000000000003E-2</v>
      </c>
      <c r="I35" s="88">
        <v>3.5999999999999997E-2</v>
      </c>
      <c r="J35" s="88">
        <v>3.6999999999999998E-2</v>
      </c>
      <c r="K35" s="88">
        <v>3.7999999999999999E-2</v>
      </c>
      <c r="L35" s="88">
        <v>0.04</v>
      </c>
    </row>
    <row r="36" spans="1:12" x14ac:dyDescent="0.25">
      <c r="A36" s="83">
        <v>9</v>
      </c>
      <c r="B36" s="88">
        <v>3.3000000000000002E-2</v>
      </c>
      <c r="C36" s="88">
        <v>3.3000000000000002E-2</v>
      </c>
      <c r="D36" s="88">
        <v>3.4000000000000002E-2</v>
      </c>
      <c r="E36" s="88">
        <v>3.5000000000000003E-2</v>
      </c>
      <c r="F36" s="88">
        <v>3.6999999999999998E-2</v>
      </c>
      <c r="G36" s="88">
        <v>3.7999999999999999E-2</v>
      </c>
      <c r="H36" s="88">
        <v>3.9E-2</v>
      </c>
      <c r="I36" s="88">
        <v>0.04</v>
      </c>
      <c r="J36" s="88">
        <v>4.1000000000000002E-2</v>
      </c>
      <c r="K36" s="88">
        <v>4.2000000000000003E-2</v>
      </c>
      <c r="L36" s="88">
        <v>4.4999999999999998E-2</v>
      </c>
    </row>
    <row r="37" spans="1:12" x14ac:dyDescent="0.25">
      <c r="A37" s="83">
        <v>10</v>
      </c>
      <c r="B37" s="88">
        <v>3.6999999999999998E-2</v>
      </c>
      <c r="C37" s="88">
        <v>3.6999999999999998E-2</v>
      </c>
      <c r="D37" s="88">
        <v>3.7999999999999999E-2</v>
      </c>
      <c r="E37" s="88">
        <v>3.9E-2</v>
      </c>
      <c r="F37" s="88">
        <v>4.1000000000000002E-2</v>
      </c>
      <c r="G37" s="88">
        <v>4.2000000000000003E-2</v>
      </c>
      <c r="H37" s="88">
        <v>4.2999999999999997E-2</v>
      </c>
      <c r="I37" s="88">
        <v>4.4999999999999998E-2</v>
      </c>
      <c r="J37" s="88">
        <v>4.5999999999999999E-2</v>
      </c>
      <c r="K37" s="88">
        <v>4.7E-2</v>
      </c>
      <c r="L37" s="88">
        <v>0.05</v>
      </c>
    </row>
    <row r="38" spans="1:12" x14ac:dyDescent="0.25">
      <c r="A38" s="83">
        <v>11</v>
      </c>
      <c r="B38" s="88">
        <v>4.1000000000000002E-2</v>
      </c>
      <c r="C38" s="88">
        <v>4.1000000000000002E-2</v>
      </c>
      <c r="D38" s="88">
        <v>4.2000000000000003E-2</v>
      </c>
      <c r="E38" s="88">
        <v>4.2999999999999997E-2</v>
      </c>
      <c r="F38" s="88">
        <v>4.4999999999999998E-2</v>
      </c>
      <c r="G38" s="88">
        <v>4.5999999999999999E-2</v>
      </c>
      <c r="H38" s="88">
        <v>4.8000000000000001E-2</v>
      </c>
      <c r="I38" s="88">
        <v>4.9000000000000002E-2</v>
      </c>
      <c r="J38" s="88">
        <v>0.05</v>
      </c>
      <c r="K38" s="88">
        <v>5.1999999999999998E-2</v>
      </c>
      <c r="L38" s="88">
        <v>5.5E-2</v>
      </c>
    </row>
    <row r="44" spans="1:12" ht="39.6" customHeight="1" x14ac:dyDescent="0.25"/>
    <row r="46" spans="1:12" ht="27.6" customHeight="1" x14ac:dyDescent="0.25"/>
  </sheetData>
  <sheetProtection algorithmName="SHA-512" hashValue="Eod/zufgMyVaiCU7jtmOTEIKlnCtc0rsLxQ9zUkQqQHcE/eBBJwxFy7QOgOPW6wQ3c8sP3Ubhqg3kWz/S62qqw==" saltValue="i4bdRhCoCMEwAaE+0HAtUQ==" spinCount="100000" sheet="1" objects="1" scenarios="1"/>
  <conditionalFormatting sqref="A6:A21">
    <cfRule type="expression" dxfId="379" priority="9" stopIfTrue="1">
      <formula>MOD(ROW(),2)=0</formula>
    </cfRule>
    <cfRule type="expression" dxfId="378" priority="10" stopIfTrue="1">
      <formula>MOD(ROW(),2)&lt;&gt;0</formula>
    </cfRule>
  </conditionalFormatting>
  <conditionalFormatting sqref="A26:A38">
    <cfRule type="expression" dxfId="377" priority="7" stopIfTrue="1">
      <formula>MOD(ROW(),2)=0</formula>
    </cfRule>
    <cfRule type="expression" dxfId="376" priority="8" stopIfTrue="1">
      <formula>MOD(ROW(),2)&lt;&gt;0</formula>
    </cfRule>
  </conditionalFormatting>
  <conditionalFormatting sqref="B12">
    <cfRule type="expression" dxfId="375" priority="13" stopIfTrue="1">
      <formula>MOD(ROW(),2)=0</formula>
    </cfRule>
    <cfRule type="expression" dxfId="374" priority="14" stopIfTrue="1">
      <formula>MOD(ROW(),2)&lt;&gt;0</formula>
    </cfRule>
  </conditionalFormatting>
  <conditionalFormatting sqref="B17:B21">
    <cfRule type="expression" dxfId="373" priority="1" stopIfTrue="1">
      <formula>MOD(ROW(),2)=0</formula>
    </cfRule>
    <cfRule type="expression" dxfId="372" priority="2" stopIfTrue="1">
      <formula>MOD(ROW(),2)&lt;&gt;0</formula>
    </cfRule>
  </conditionalFormatting>
  <conditionalFormatting sqref="B6:L21">
    <cfRule type="expression" dxfId="371" priority="25" stopIfTrue="1">
      <formula>MOD(ROW(),2)=0</formula>
    </cfRule>
    <cfRule type="expression" dxfId="370" priority="26" stopIfTrue="1">
      <formula>MOD(ROW(),2)&lt;&gt;0</formula>
    </cfRule>
  </conditionalFormatting>
  <conditionalFormatting sqref="B26:L38">
    <cfRule type="expression" dxfId="369" priority="15" stopIfTrue="1">
      <formula>MOD(ROW(),2)=0</formula>
    </cfRule>
    <cfRule type="expression" dxfId="368" priority="16" stopIfTrue="1">
      <formula>MOD(ROW(),2)&lt;&gt;0</formula>
    </cfRule>
  </conditionalFormatting>
  <conditionalFormatting sqref="L6:L21">
    <cfRule type="expression" dxfId="367" priority="17" stopIfTrue="1">
      <formula>MOD(ROW(),2)=0</formula>
    </cfRule>
    <cfRule type="expression" dxfId="366" priority="1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28.4414062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Triv Comm - x-501</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t="s">
        <v>460</v>
      </c>
      <c r="C8" s="152"/>
    </row>
    <row r="9" spans="1:9" x14ac:dyDescent="0.25">
      <c r="A9" s="79" t="s">
        <v>307</v>
      </c>
      <c r="B9" s="152" t="s">
        <v>461</v>
      </c>
      <c r="C9" s="152"/>
    </row>
    <row r="10" spans="1:9" x14ac:dyDescent="0.25">
      <c r="A10" s="79" t="s">
        <v>233</v>
      </c>
      <c r="B10" s="152" t="s">
        <v>462</v>
      </c>
      <c r="C10" s="152"/>
    </row>
    <row r="11" spans="1:9" x14ac:dyDescent="0.25">
      <c r="A11" s="79" t="s">
        <v>308</v>
      </c>
      <c r="B11" s="152" t="s">
        <v>404</v>
      </c>
      <c r="C11" s="152"/>
    </row>
    <row r="12" spans="1:9" x14ac:dyDescent="0.25">
      <c r="A12" s="79" t="s">
        <v>309</v>
      </c>
      <c r="B12" s="152" t="s">
        <v>463</v>
      </c>
      <c r="C12" s="152"/>
    </row>
    <row r="13" spans="1:9" x14ac:dyDescent="0.25">
      <c r="A13" s="79" t="s">
        <v>566</v>
      </c>
      <c r="B13" s="152">
        <v>1</v>
      </c>
      <c r="C13" s="152"/>
    </row>
    <row r="14" spans="1:9" x14ac:dyDescent="0.25">
      <c r="A14" s="79" t="s">
        <v>311</v>
      </c>
      <c r="B14" s="152">
        <v>501</v>
      </c>
      <c r="C14" s="152"/>
    </row>
    <row r="15" spans="1:9" x14ac:dyDescent="0.25">
      <c r="A15" s="79" t="s">
        <v>569</v>
      </c>
      <c r="B15" s="152" t="s">
        <v>464</v>
      </c>
      <c r="C15" s="152"/>
    </row>
    <row r="16" spans="1:9" x14ac:dyDescent="0.25">
      <c r="A16" s="79" t="s">
        <v>313</v>
      </c>
      <c r="B16" s="152" t="s">
        <v>465</v>
      </c>
      <c r="C16" s="152"/>
    </row>
    <row r="17" spans="1:4" x14ac:dyDescent="0.25">
      <c r="A17" s="79" t="s">
        <v>639</v>
      </c>
      <c r="B17" s="152"/>
      <c r="C17" s="152"/>
    </row>
    <row r="18" spans="1:4" x14ac:dyDescent="0.25">
      <c r="A18" s="79" t="s">
        <v>315</v>
      </c>
      <c r="B18" s="154">
        <v>45135</v>
      </c>
      <c r="C18" s="152"/>
    </row>
    <row r="19" spans="1:4" x14ac:dyDescent="0.25">
      <c r="A19" s="79" t="s">
        <v>316</v>
      </c>
      <c r="B19" s="154">
        <v>45135</v>
      </c>
      <c r="C19" s="152"/>
    </row>
    <row r="20" spans="1:4" x14ac:dyDescent="0.25">
      <c r="A20" s="79" t="s">
        <v>317</v>
      </c>
      <c r="B20" s="152" t="s">
        <v>326</v>
      </c>
      <c r="C20" s="152"/>
    </row>
    <row r="21" spans="1:4" x14ac:dyDescent="0.25">
      <c r="A21" s="79" t="s">
        <v>318</v>
      </c>
      <c r="B21" s="152" t="s">
        <v>327</v>
      </c>
      <c r="C21" s="152"/>
    </row>
    <row r="23" spans="1:4" x14ac:dyDescent="0.25">
      <c r="B23" s="96" t="str">
        <f>HYPERLINK("#'Factor List'!A1","Back to Factor List")</f>
        <v>Back to Factor List</v>
      </c>
    </row>
    <row r="24" spans="1:4" x14ac:dyDescent="0.25">
      <c r="B24" s="96" t="str">
        <f>HYPERLINK("#'Assumptions'!A1","Assumptions")</f>
        <v>Assumptions</v>
      </c>
    </row>
    <row r="26" spans="1:4" ht="39.6" x14ac:dyDescent="0.25">
      <c r="A26" s="92" t="s">
        <v>640</v>
      </c>
      <c r="B26" s="92" t="s">
        <v>670</v>
      </c>
      <c r="C26" s="92" t="s">
        <v>671</v>
      </c>
    </row>
    <row r="27" spans="1:4" x14ac:dyDescent="0.25">
      <c r="A27" s="93">
        <v>60</v>
      </c>
      <c r="B27" s="95">
        <v>20.321000000000002</v>
      </c>
      <c r="C27" s="95">
        <v>3.8380000000000001</v>
      </c>
      <c r="D27" s="89"/>
    </row>
    <row r="28" spans="1:4" x14ac:dyDescent="0.25">
      <c r="A28" s="93">
        <v>61</v>
      </c>
      <c r="B28" s="95">
        <v>19.702999999999999</v>
      </c>
      <c r="C28" s="95">
        <v>3.8559999999999999</v>
      </c>
    </row>
    <row r="29" spans="1:4" x14ac:dyDescent="0.25">
      <c r="A29" s="93">
        <v>62</v>
      </c>
      <c r="B29" s="95">
        <v>19.081</v>
      </c>
      <c r="C29" s="95">
        <v>3.87</v>
      </c>
    </row>
    <row r="30" spans="1:4" x14ac:dyDescent="0.25">
      <c r="A30" s="93">
        <v>63</v>
      </c>
      <c r="B30" s="95">
        <v>18.456</v>
      </c>
      <c r="C30" s="95">
        <v>3.8820000000000001</v>
      </c>
    </row>
    <row r="31" spans="1:4" x14ac:dyDescent="0.25">
      <c r="A31" s="93">
        <v>64</v>
      </c>
      <c r="B31" s="95">
        <v>17.829000000000001</v>
      </c>
      <c r="C31" s="95">
        <v>3.8889999999999998</v>
      </c>
    </row>
    <row r="32" spans="1:4" x14ac:dyDescent="0.25">
      <c r="A32" s="93">
        <v>65</v>
      </c>
      <c r="B32" s="95">
        <v>17.2</v>
      </c>
      <c r="C32" s="95">
        <v>3.8919999999999999</v>
      </c>
    </row>
    <row r="33" spans="1:3" x14ac:dyDescent="0.25">
      <c r="A33" s="93">
        <v>66</v>
      </c>
      <c r="B33" s="95">
        <v>16.568999999999999</v>
      </c>
      <c r="C33" s="95">
        <v>3.8919999999999999</v>
      </c>
    </row>
    <row r="34" spans="1:3" x14ac:dyDescent="0.25">
      <c r="A34" s="93">
        <v>67</v>
      </c>
      <c r="B34" s="95">
        <v>15.938000000000001</v>
      </c>
      <c r="C34" s="95">
        <v>3.8860000000000001</v>
      </c>
    </row>
    <row r="35" spans="1:3" x14ac:dyDescent="0.25">
      <c r="A35" s="93">
        <v>68</v>
      </c>
      <c r="B35" s="95">
        <v>15.305999999999999</v>
      </c>
      <c r="C35" s="95">
        <v>3.8769999999999998</v>
      </c>
    </row>
    <row r="36" spans="1:3" x14ac:dyDescent="0.25">
      <c r="A36" s="93">
        <v>69</v>
      </c>
      <c r="B36" s="95">
        <v>14.675000000000001</v>
      </c>
      <c r="C36" s="95">
        <v>3.8620000000000001</v>
      </c>
    </row>
    <row r="37" spans="1:3" x14ac:dyDescent="0.25">
      <c r="A37" s="93">
        <v>70</v>
      </c>
      <c r="B37" s="95">
        <v>14.044</v>
      </c>
      <c r="C37" s="95">
        <v>3.843</v>
      </c>
    </row>
    <row r="38" spans="1:3" x14ac:dyDescent="0.25">
      <c r="A38" s="93">
        <v>71</v>
      </c>
      <c r="B38" s="95">
        <v>13.416</v>
      </c>
      <c r="C38" s="95">
        <v>3.819</v>
      </c>
    </row>
    <row r="39" spans="1:3" x14ac:dyDescent="0.25">
      <c r="A39" s="93">
        <v>72</v>
      </c>
      <c r="B39" s="95">
        <v>12.792</v>
      </c>
      <c r="C39" s="95">
        <v>3.7890000000000001</v>
      </c>
    </row>
    <row r="40" spans="1:3" x14ac:dyDescent="0.25">
      <c r="A40" s="93">
        <v>73</v>
      </c>
      <c r="B40" s="95">
        <v>12.173</v>
      </c>
      <c r="C40" s="95">
        <v>3.7519999999999998</v>
      </c>
    </row>
    <row r="41" spans="1:3" x14ac:dyDescent="0.25">
      <c r="A41" s="93">
        <v>74</v>
      </c>
      <c r="B41" s="95">
        <v>11.56</v>
      </c>
      <c r="C41" s="95">
        <v>3.6120000000000001</v>
      </c>
    </row>
    <row r="44" spans="1:3" ht="39.6" customHeight="1" x14ac:dyDescent="0.25"/>
    <row r="46" spans="1:3" ht="27.6" customHeight="1" x14ac:dyDescent="0.25"/>
  </sheetData>
  <sheetProtection algorithmName="SHA-512" hashValue="bjdiUQUNWiM18M3K1Hc5ugEgemKmfwcwjbSS5iGEK1pJ6PzKW8iU2xFGDfx3WdOJWI4VfGxP7nG7DFTjS8WPMQ==" saltValue="i9Trf0j5LiuEhw38ZSXFVA==" spinCount="100000" sheet="1" objects="1" scenarios="1"/>
  <conditionalFormatting sqref="A6:A21">
    <cfRule type="expression" dxfId="365" priority="11" stopIfTrue="1">
      <formula>MOD(ROW(),2)=0</formula>
    </cfRule>
    <cfRule type="expression" dxfId="364" priority="12" stopIfTrue="1">
      <formula>MOD(ROW(),2)&lt;&gt;0</formula>
    </cfRule>
  </conditionalFormatting>
  <conditionalFormatting sqref="A26:A41">
    <cfRule type="expression" dxfId="363" priority="3" stopIfTrue="1">
      <formula>MOD(ROW(),2)=0</formula>
    </cfRule>
    <cfRule type="expression" dxfId="362" priority="4" stopIfTrue="1">
      <formula>MOD(ROW(),2)&lt;&gt;0</formula>
    </cfRule>
  </conditionalFormatting>
  <conditionalFormatting sqref="B17:B21">
    <cfRule type="expression" dxfId="361" priority="1" stopIfTrue="1">
      <formula>MOD(ROW(),2)=0</formula>
    </cfRule>
    <cfRule type="expression" dxfId="360" priority="2" stopIfTrue="1">
      <formula>MOD(ROW(),2)&lt;&gt;0</formula>
    </cfRule>
  </conditionalFormatting>
  <conditionalFormatting sqref="B6:C21">
    <cfRule type="expression" dxfId="359" priority="21" stopIfTrue="1">
      <formula>MOD(ROW(),2)=0</formula>
    </cfRule>
    <cfRule type="expression" dxfId="358" priority="22" stopIfTrue="1">
      <formula>MOD(ROW(),2)&lt;&gt;0</formula>
    </cfRule>
  </conditionalFormatting>
  <conditionalFormatting sqref="B26:C41">
    <cfRule type="expression" dxfId="357" priority="5" stopIfTrue="1">
      <formula>MOD(ROW(),2)=0</formula>
    </cfRule>
    <cfRule type="expression" dxfId="35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1"/>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51.7773437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Triv Comm - x-502</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t="s">
        <v>460</v>
      </c>
    </row>
    <row r="9" spans="1:9" x14ac:dyDescent="0.25">
      <c r="A9" s="79" t="s">
        <v>307</v>
      </c>
      <c r="B9" s="152" t="s">
        <v>461</v>
      </c>
    </row>
    <row r="10" spans="1:9" x14ac:dyDescent="0.25">
      <c r="A10" s="79" t="s">
        <v>233</v>
      </c>
      <c r="B10" s="152" t="s">
        <v>466</v>
      </c>
    </row>
    <row r="11" spans="1:9" x14ac:dyDescent="0.25">
      <c r="A11" s="79" t="s">
        <v>308</v>
      </c>
      <c r="B11" s="152" t="s">
        <v>404</v>
      </c>
    </row>
    <row r="12" spans="1:9" x14ac:dyDescent="0.25">
      <c r="A12" s="79" t="s">
        <v>309</v>
      </c>
      <c r="B12" s="152" t="s">
        <v>463</v>
      </c>
    </row>
    <row r="13" spans="1:9" x14ac:dyDescent="0.25">
      <c r="A13" s="79" t="s">
        <v>566</v>
      </c>
      <c r="B13" s="152">
        <v>1</v>
      </c>
    </row>
    <row r="14" spans="1:9" x14ac:dyDescent="0.25">
      <c r="A14" s="79" t="s">
        <v>311</v>
      </c>
      <c r="B14" s="152">
        <v>502</v>
      </c>
    </row>
    <row r="15" spans="1:9" x14ac:dyDescent="0.25">
      <c r="A15" s="79" t="s">
        <v>569</v>
      </c>
      <c r="B15" s="152" t="s">
        <v>467</v>
      </c>
    </row>
    <row r="16" spans="1:9" x14ac:dyDescent="0.25">
      <c r="A16" s="79" t="s">
        <v>313</v>
      </c>
      <c r="B16" s="152" t="s">
        <v>468</v>
      </c>
    </row>
    <row r="17" spans="1:2" x14ac:dyDescent="0.25">
      <c r="A17" s="79" t="s">
        <v>639</v>
      </c>
      <c r="B17" s="152"/>
    </row>
    <row r="18" spans="1:2" x14ac:dyDescent="0.25">
      <c r="A18" s="79" t="s">
        <v>315</v>
      </c>
      <c r="B18" s="154">
        <v>45135</v>
      </c>
    </row>
    <row r="19" spans="1:2" x14ac:dyDescent="0.25">
      <c r="A19" s="79" t="s">
        <v>316</v>
      </c>
      <c r="B19" s="154">
        <v>45135</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x14ac:dyDescent="0.25">
      <c r="A26" s="92" t="s">
        <v>640</v>
      </c>
      <c r="B26" s="92" t="s">
        <v>672</v>
      </c>
    </row>
    <row r="27" spans="1:2" x14ac:dyDescent="0.25">
      <c r="A27" s="93">
        <v>25</v>
      </c>
      <c r="B27" s="95">
        <v>38.481999999999999</v>
      </c>
    </row>
    <row r="28" spans="1:2" x14ac:dyDescent="0.25">
      <c r="A28" s="93">
        <v>26</v>
      </c>
      <c r="B28" s="95">
        <v>38.1</v>
      </c>
    </row>
    <row r="29" spans="1:2" x14ac:dyDescent="0.25">
      <c r="A29" s="93">
        <v>27</v>
      </c>
      <c r="B29" s="95">
        <v>37.710999999999999</v>
      </c>
    </row>
    <row r="30" spans="1:2" x14ac:dyDescent="0.25">
      <c r="A30" s="93">
        <v>28</v>
      </c>
      <c r="B30" s="95">
        <v>37.314999999999998</v>
      </c>
    </row>
    <row r="31" spans="1:2" x14ac:dyDescent="0.25">
      <c r="A31" s="93">
        <v>29</v>
      </c>
      <c r="B31" s="95">
        <v>36.912999999999997</v>
      </c>
    </row>
    <row r="32" spans="1:2" x14ac:dyDescent="0.25">
      <c r="A32" s="93">
        <v>30</v>
      </c>
      <c r="B32" s="95">
        <v>36.505000000000003</v>
      </c>
    </row>
    <row r="33" spans="1:2" x14ac:dyDescent="0.25">
      <c r="A33" s="93">
        <v>31</v>
      </c>
      <c r="B33" s="95">
        <v>36.090000000000003</v>
      </c>
    </row>
    <row r="34" spans="1:2" x14ac:dyDescent="0.25">
      <c r="A34" s="93">
        <v>32</v>
      </c>
      <c r="B34" s="95">
        <v>35.667999999999999</v>
      </c>
    </row>
    <row r="35" spans="1:2" x14ac:dyDescent="0.25">
      <c r="A35" s="93">
        <v>33</v>
      </c>
      <c r="B35" s="95">
        <v>35.24</v>
      </c>
    </row>
    <row r="36" spans="1:2" x14ac:dyDescent="0.25">
      <c r="A36" s="93">
        <v>34</v>
      </c>
      <c r="B36" s="95">
        <v>34.805</v>
      </c>
    </row>
    <row r="37" spans="1:2" x14ac:dyDescent="0.25">
      <c r="A37" s="93">
        <v>35</v>
      </c>
      <c r="B37" s="95">
        <v>34.363999999999997</v>
      </c>
    </row>
    <row r="38" spans="1:2" x14ac:dyDescent="0.25">
      <c r="A38" s="93">
        <v>36</v>
      </c>
      <c r="B38" s="95">
        <v>33.917000000000002</v>
      </c>
    </row>
    <row r="39" spans="1:2" x14ac:dyDescent="0.25">
      <c r="A39" s="93">
        <v>37</v>
      </c>
      <c r="B39" s="95">
        <v>33.463000000000001</v>
      </c>
    </row>
    <row r="40" spans="1:2" x14ac:dyDescent="0.25">
      <c r="A40" s="93">
        <v>38</v>
      </c>
      <c r="B40" s="95">
        <v>33.003</v>
      </c>
    </row>
    <row r="41" spans="1:2" x14ac:dyDescent="0.25">
      <c r="A41" s="93">
        <v>39</v>
      </c>
      <c r="B41" s="95">
        <v>32.536999999999999</v>
      </c>
    </row>
    <row r="42" spans="1:2" x14ac:dyDescent="0.25">
      <c r="A42" s="93">
        <v>40</v>
      </c>
      <c r="B42" s="95">
        <v>32.064</v>
      </c>
    </row>
    <row r="43" spans="1:2" x14ac:dyDescent="0.25">
      <c r="A43" s="93">
        <v>41</v>
      </c>
      <c r="B43" s="95">
        <v>31.585000000000001</v>
      </c>
    </row>
    <row r="44" spans="1:2" x14ac:dyDescent="0.25">
      <c r="A44" s="93">
        <v>42</v>
      </c>
      <c r="B44" s="95">
        <v>31.1</v>
      </c>
    </row>
    <row r="45" spans="1:2" x14ac:dyDescent="0.25">
      <c r="A45" s="93">
        <v>43</v>
      </c>
      <c r="B45" s="95">
        <v>30.609000000000002</v>
      </c>
    </row>
    <row r="46" spans="1:2" x14ac:dyDescent="0.25">
      <c r="A46" s="93">
        <v>44</v>
      </c>
      <c r="B46" s="95">
        <v>30.113</v>
      </c>
    </row>
    <row r="47" spans="1:2" x14ac:dyDescent="0.25">
      <c r="A47" s="93">
        <v>45</v>
      </c>
      <c r="B47" s="95">
        <v>29.611999999999998</v>
      </c>
    </row>
    <row r="48" spans="1:2" x14ac:dyDescent="0.25">
      <c r="A48" s="93">
        <v>46</v>
      </c>
      <c r="B48" s="95">
        <v>29.106999999999999</v>
      </c>
    </row>
    <row r="49" spans="1:2" x14ac:dyDescent="0.25">
      <c r="A49" s="93">
        <v>47</v>
      </c>
      <c r="B49" s="95">
        <v>28.597000000000001</v>
      </c>
    </row>
    <row r="50" spans="1:2" x14ac:dyDescent="0.25">
      <c r="A50" s="93">
        <v>48</v>
      </c>
      <c r="B50" s="95">
        <v>28.082000000000001</v>
      </c>
    </row>
    <row r="51" spans="1:2" x14ac:dyDescent="0.25">
      <c r="A51" s="93">
        <v>49</v>
      </c>
      <c r="B51" s="95">
        <v>27.561</v>
      </c>
    </row>
    <row r="52" spans="1:2" x14ac:dyDescent="0.25">
      <c r="A52" s="93">
        <v>50</v>
      </c>
      <c r="B52" s="95">
        <v>27.035</v>
      </c>
    </row>
    <row r="53" spans="1:2" x14ac:dyDescent="0.25">
      <c r="A53" s="93">
        <v>51</v>
      </c>
      <c r="B53" s="95">
        <v>26.501999999999999</v>
      </c>
    </row>
    <row r="54" spans="1:2" x14ac:dyDescent="0.25">
      <c r="A54" s="93">
        <v>52</v>
      </c>
      <c r="B54" s="95">
        <v>25.963999999999999</v>
      </c>
    </row>
    <row r="55" spans="1:2" x14ac:dyDescent="0.25">
      <c r="A55" s="93">
        <v>53</v>
      </c>
      <c r="B55" s="95">
        <v>25.419</v>
      </c>
    </row>
    <row r="56" spans="1:2" x14ac:dyDescent="0.25">
      <c r="A56" s="93">
        <v>54</v>
      </c>
      <c r="B56" s="95">
        <v>24.869</v>
      </c>
    </row>
    <row r="57" spans="1:2" x14ac:dyDescent="0.25">
      <c r="A57" s="93">
        <v>55</v>
      </c>
      <c r="B57" s="95">
        <v>24.312000000000001</v>
      </c>
    </row>
    <row r="58" spans="1:2" x14ac:dyDescent="0.25">
      <c r="A58" s="93">
        <v>56</v>
      </c>
      <c r="B58" s="95">
        <v>23.748999999999999</v>
      </c>
    </row>
    <row r="59" spans="1:2" x14ac:dyDescent="0.25">
      <c r="A59" s="93">
        <v>57</v>
      </c>
      <c r="B59" s="95">
        <v>23.181000000000001</v>
      </c>
    </row>
    <row r="60" spans="1:2" x14ac:dyDescent="0.25">
      <c r="A60" s="93">
        <v>58</v>
      </c>
      <c r="B60" s="95">
        <v>22.606000000000002</v>
      </c>
    </row>
    <row r="61" spans="1:2" x14ac:dyDescent="0.25">
      <c r="A61" s="93">
        <v>59</v>
      </c>
      <c r="B61" s="95">
        <v>22.027000000000001</v>
      </c>
    </row>
    <row r="62" spans="1:2" x14ac:dyDescent="0.25">
      <c r="A62" s="93">
        <v>60</v>
      </c>
      <c r="B62" s="95">
        <v>21.440999999999999</v>
      </c>
    </row>
    <row r="63" spans="1:2" x14ac:dyDescent="0.25">
      <c r="A63" s="93">
        <v>61</v>
      </c>
      <c r="B63" s="95">
        <v>20.85</v>
      </c>
    </row>
    <row r="64" spans="1:2" x14ac:dyDescent="0.25">
      <c r="A64" s="93">
        <v>62</v>
      </c>
      <c r="B64" s="95">
        <v>20.254000000000001</v>
      </c>
    </row>
    <row r="65" spans="1:2" x14ac:dyDescent="0.25">
      <c r="A65" s="93">
        <v>63</v>
      </c>
      <c r="B65" s="95">
        <v>19.654</v>
      </c>
    </row>
    <row r="66" spans="1:2" x14ac:dyDescent="0.25">
      <c r="A66" s="93">
        <v>64</v>
      </c>
      <c r="B66" s="95">
        <v>19.048999999999999</v>
      </c>
    </row>
    <row r="67" spans="1:2" x14ac:dyDescent="0.25">
      <c r="A67" s="93">
        <v>65</v>
      </c>
      <c r="B67" s="95">
        <v>18.440999999999999</v>
      </c>
    </row>
    <row r="68" spans="1:2" x14ac:dyDescent="0.25">
      <c r="A68" s="93">
        <v>66</v>
      </c>
      <c r="B68" s="95">
        <v>17.829000000000001</v>
      </c>
    </row>
    <row r="69" spans="1:2" x14ac:dyDescent="0.25">
      <c r="A69" s="93">
        <v>67</v>
      </c>
      <c r="B69" s="95">
        <v>17.213999999999999</v>
      </c>
    </row>
    <row r="70" spans="1:2" x14ac:dyDescent="0.25">
      <c r="A70" s="93">
        <v>68</v>
      </c>
      <c r="B70" s="95">
        <v>16.596</v>
      </c>
    </row>
    <row r="71" spans="1:2" x14ac:dyDescent="0.25">
      <c r="A71" s="93">
        <v>69</v>
      </c>
      <c r="B71" s="95">
        <v>15.975</v>
      </c>
    </row>
    <row r="72" spans="1:2" x14ac:dyDescent="0.25">
      <c r="A72" s="93">
        <v>70</v>
      </c>
      <c r="B72" s="95">
        <v>15.349</v>
      </c>
    </row>
    <row r="73" spans="1:2" x14ac:dyDescent="0.25">
      <c r="A73" s="93">
        <v>71</v>
      </c>
      <c r="B73" s="95">
        <v>14.723000000000001</v>
      </c>
    </row>
    <row r="74" spans="1:2" x14ac:dyDescent="0.25">
      <c r="A74" s="93">
        <v>72</v>
      </c>
      <c r="B74" s="95">
        <v>14.101000000000001</v>
      </c>
    </row>
    <row r="75" spans="1:2" x14ac:dyDescent="0.25">
      <c r="A75" s="93">
        <v>73</v>
      </c>
      <c r="B75" s="95">
        <v>13.478999999999999</v>
      </c>
    </row>
    <row r="76" spans="1:2" x14ac:dyDescent="0.25">
      <c r="A76" s="93">
        <v>74</v>
      </c>
      <c r="B76" s="95">
        <v>12.859</v>
      </c>
    </row>
    <row r="77" spans="1:2" x14ac:dyDescent="0.25">
      <c r="A77" s="93">
        <v>75</v>
      </c>
      <c r="B77" s="95">
        <v>12.242000000000001</v>
      </c>
    </row>
    <row r="78" spans="1:2" x14ac:dyDescent="0.25">
      <c r="A78" s="93">
        <v>76</v>
      </c>
      <c r="B78" s="95">
        <v>11.629</v>
      </c>
    </row>
    <row r="79" spans="1:2" x14ac:dyDescent="0.25">
      <c r="A79" s="93">
        <v>77</v>
      </c>
      <c r="B79" s="95">
        <v>11.023</v>
      </c>
    </row>
    <row r="80" spans="1:2" x14ac:dyDescent="0.25">
      <c r="A80" s="93">
        <v>78</v>
      </c>
      <c r="B80" s="95">
        <v>10.423999999999999</v>
      </c>
    </row>
    <row r="81" spans="1:2" x14ac:dyDescent="0.25">
      <c r="A81" s="93">
        <v>79</v>
      </c>
      <c r="B81" s="95">
        <v>9.8350000000000009</v>
      </c>
    </row>
    <row r="82" spans="1:2" x14ac:dyDescent="0.25">
      <c r="A82" s="93">
        <v>80</v>
      </c>
      <c r="B82" s="95">
        <v>9.2569999999999997</v>
      </c>
    </row>
    <row r="83" spans="1:2" x14ac:dyDescent="0.25">
      <c r="A83" s="93">
        <v>81</v>
      </c>
      <c r="B83" s="95">
        <v>8.6920000000000002</v>
      </c>
    </row>
    <row r="84" spans="1:2" x14ac:dyDescent="0.25">
      <c r="A84" s="93">
        <v>82</v>
      </c>
      <c r="B84" s="95">
        <v>8.141</v>
      </c>
    </row>
    <row r="85" spans="1:2" x14ac:dyDescent="0.25">
      <c r="A85" s="93">
        <v>83</v>
      </c>
      <c r="B85" s="95">
        <v>7.6050000000000004</v>
      </c>
    </row>
    <row r="86" spans="1:2" x14ac:dyDescent="0.25">
      <c r="A86" s="93">
        <v>84</v>
      </c>
      <c r="B86" s="95">
        <v>7.085</v>
      </c>
    </row>
    <row r="87" spans="1:2" x14ac:dyDescent="0.25">
      <c r="A87" s="93">
        <v>85</v>
      </c>
      <c r="B87" s="95">
        <v>6.5830000000000002</v>
      </c>
    </row>
    <row r="88" spans="1:2" x14ac:dyDescent="0.25">
      <c r="A88" s="93">
        <v>86</v>
      </c>
      <c r="B88" s="95">
        <v>6.1040000000000001</v>
      </c>
    </row>
    <row r="89" spans="1:2" x14ac:dyDescent="0.25">
      <c r="A89" s="93">
        <v>87</v>
      </c>
      <c r="B89" s="95">
        <v>5.6509999999999998</v>
      </c>
    </row>
    <row r="90" spans="1:2" x14ac:dyDescent="0.25">
      <c r="A90" s="93">
        <v>88</v>
      </c>
      <c r="B90" s="95">
        <v>5.226</v>
      </c>
    </row>
    <row r="91" spans="1:2" x14ac:dyDescent="0.25">
      <c r="A91" s="93">
        <v>89</v>
      </c>
      <c r="B91" s="95">
        <v>4.827</v>
      </c>
    </row>
    <row r="92" spans="1:2" x14ac:dyDescent="0.25">
      <c r="A92" s="93">
        <v>90</v>
      </c>
      <c r="B92" s="95">
        <v>4.4530000000000003</v>
      </c>
    </row>
    <row r="93" spans="1:2" x14ac:dyDescent="0.25">
      <c r="A93" s="93">
        <v>91</v>
      </c>
      <c r="B93" s="95">
        <v>4.1079999999999997</v>
      </c>
    </row>
    <row r="94" spans="1:2" x14ac:dyDescent="0.25">
      <c r="A94" s="93">
        <v>92</v>
      </c>
      <c r="B94" s="95">
        <v>3.79</v>
      </c>
    </row>
    <row r="95" spans="1:2" x14ac:dyDescent="0.25">
      <c r="A95" s="93">
        <v>93</v>
      </c>
      <c r="B95" s="95">
        <v>3.5009999999999999</v>
      </c>
    </row>
    <row r="96" spans="1:2" x14ac:dyDescent="0.25">
      <c r="A96" s="93">
        <v>94</v>
      </c>
      <c r="B96" s="95">
        <v>3.2370000000000001</v>
      </c>
    </row>
    <row r="97" spans="1:2" x14ac:dyDescent="0.25">
      <c r="A97" s="93">
        <v>95</v>
      </c>
      <c r="B97" s="95">
        <v>2.9980000000000002</v>
      </c>
    </row>
    <row r="98" spans="1:2" x14ac:dyDescent="0.25">
      <c r="A98" s="93">
        <v>96</v>
      </c>
      <c r="B98" s="95">
        <v>2.7839999999999998</v>
      </c>
    </row>
    <row r="99" spans="1:2" x14ac:dyDescent="0.25">
      <c r="A99" s="93">
        <v>97</v>
      </c>
      <c r="B99" s="95">
        <v>2.5939999999999999</v>
      </c>
    </row>
    <row r="100" spans="1:2" x14ac:dyDescent="0.25">
      <c r="A100" s="93">
        <v>98</v>
      </c>
      <c r="B100" s="95">
        <v>2.4300000000000002</v>
      </c>
    </row>
    <row r="101" spans="1:2" x14ac:dyDescent="0.25">
      <c r="A101" s="93">
        <v>99</v>
      </c>
      <c r="B101" s="95">
        <v>2.2989999999999999</v>
      </c>
    </row>
  </sheetData>
  <sheetProtection algorithmName="SHA-512" hashValue="MMLtD6K3+ciTpL7f5u/9UgA+vGUFohgtV/vZp6lunHooLt4ot8G5hQrLszM8F1NOUV6Kj5wp0tU+SJqpF2tiZQ==" saltValue="RZmJB5C5HWmtHpuUoSLo0Q==" spinCount="100000" sheet="1" objects="1" scenarios="1"/>
  <conditionalFormatting sqref="A6:A21">
    <cfRule type="expression" dxfId="355" priority="13" stopIfTrue="1">
      <formula>MOD(ROW(),2)=0</formula>
    </cfRule>
    <cfRule type="expression" dxfId="354" priority="14" stopIfTrue="1">
      <formula>MOD(ROW(),2)&lt;&gt;0</formula>
    </cfRule>
  </conditionalFormatting>
  <conditionalFormatting sqref="A26:A101">
    <cfRule type="expression" dxfId="353" priority="3" stopIfTrue="1">
      <formula>MOD(ROW(),2)=0</formula>
    </cfRule>
    <cfRule type="expression" dxfId="352" priority="4" stopIfTrue="1">
      <formula>MOD(ROW(),2)&lt;&gt;0</formula>
    </cfRule>
  </conditionalFormatting>
  <conditionalFormatting sqref="B6:B21">
    <cfRule type="expression" dxfId="351" priority="23" stopIfTrue="1">
      <formula>MOD(ROW(),2)=0</formula>
    </cfRule>
    <cfRule type="expression" dxfId="350" priority="24" stopIfTrue="1">
      <formula>MOD(ROW(),2)&lt;&gt;0</formula>
    </cfRule>
  </conditionalFormatting>
  <conditionalFormatting sqref="B17:B21">
    <cfRule type="expression" dxfId="349" priority="1" stopIfTrue="1">
      <formula>MOD(ROW(),2)=0</formula>
    </cfRule>
    <cfRule type="expression" dxfId="348" priority="2" stopIfTrue="1">
      <formula>MOD(ROW(),2)&lt;&gt;0</formula>
    </cfRule>
  </conditionalFormatting>
  <conditionalFormatting sqref="B26:B101">
    <cfRule type="expression" dxfId="347" priority="5" stopIfTrue="1">
      <formula>MOD(ROW(),2)=0</formula>
    </cfRule>
    <cfRule type="expression" dxfId="34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3"/>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Triv Comm - x-503</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2015</v>
      </c>
      <c r="C8" s="152"/>
    </row>
    <row r="9" spans="1:9" x14ac:dyDescent="0.25">
      <c r="A9" s="79" t="s">
        <v>307</v>
      </c>
      <c r="B9" s="152" t="s">
        <v>461</v>
      </c>
      <c r="C9" s="152"/>
    </row>
    <row r="10" spans="1:9" x14ac:dyDescent="0.25">
      <c r="A10" s="79" t="s">
        <v>233</v>
      </c>
      <c r="B10" s="152" t="s">
        <v>469</v>
      </c>
      <c r="C10" s="152"/>
    </row>
    <row r="11" spans="1:9" x14ac:dyDescent="0.25">
      <c r="A11" s="79" t="s">
        <v>308</v>
      </c>
      <c r="B11" s="152" t="s">
        <v>404</v>
      </c>
      <c r="C11" s="152"/>
    </row>
    <row r="12" spans="1:9" x14ac:dyDescent="0.25">
      <c r="A12" s="79" t="s">
        <v>309</v>
      </c>
      <c r="B12" s="152" t="s">
        <v>463</v>
      </c>
      <c r="C12" s="152"/>
    </row>
    <row r="13" spans="1:9" x14ac:dyDescent="0.25">
      <c r="A13" s="79" t="s">
        <v>566</v>
      </c>
      <c r="B13" s="152">
        <v>0</v>
      </c>
      <c r="C13" s="152"/>
    </row>
    <row r="14" spans="1:9" x14ac:dyDescent="0.25">
      <c r="A14" s="79" t="s">
        <v>311</v>
      </c>
      <c r="B14" s="152">
        <v>503</v>
      </c>
      <c r="C14" s="152"/>
    </row>
    <row r="15" spans="1:9" x14ac:dyDescent="0.25">
      <c r="A15" s="79" t="s">
        <v>569</v>
      </c>
      <c r="B15" s="152" t="s">
        <v>470</v>
      </c>
      <c r="C15" s="152"/>
    </row>
    <row r="16" spans="1:9" x14ac:dyDescent="0.25">
      <c r="A16" s="79" t="s">
        <v>313</v>
      </c>
      <c r="B16" s="152" t="s">
        <v>465</v>
      </c>
      <c r="C16" s="152"/>
    </row>
    <row r="17" spans="1:3" x14ac:dyDescent="0.25">
      <c r="A17" s="79" t="s">
        <v>639</v>
      </c>
      <c r="B17" s="152"/>
      <c r="C17" s="152"/>
    </row>
    <row r="18" spans="1:3" x14ac:dyDescent="0.25">
      <c r="A18" s="79" t="s">
        <v>315</v>
      </c>
      <c r="B18" s="154">
        <v>45135</v>
      </c>
      <c r="C18" s="152"/>
    </row>
    <row r="19" spans="1:3" x14ac:dyDescent="0.25">
      <c r="A19" s="79" t="s">
        <v>316</v>
      </c>
      <c r="B19" s="154">
        <v>45135</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39.6" x14ac:dyDescent="0.25">
      <c r="A26" s="92" t="s">
        <v>640</v>
      </c>
      <c r="B26" s="92" t="s">
        <v>673</v>
      </c>
      <c r="C26" s="92" t="s">
        <v>674</v>
      </c>
    </row>
    <row r="27" spans="1:3" x14ac:dyDescent="0.25">
      <c r="A27" s="93">
        <v>55</v>
      </c>
      <c r="B27" s="95">
        <v>23.369</v>
      </c>
      <c r="C27" s="95">
        <v>3.9689999999999999</v>
      </c>
    </row>
    <row r="28" spans="1:3" x14ac:dyDescent="0.25">
      <c r="A28" s="93">
        <v>56</v>
      </c>
      <c r="B28" s="95">
        <v>22.783999999999999</v>
      </c>
      <c r="C28" s="95">
        <v>3.9980000000000002</v>
      </c>
    </row>
    <row r="29" spans="1:3" x14ac:dyDescent="0.25">
      <c r="A29" s="93">
        <v>57</v>
      </c>
      <c r="B29" s="95">
        <v>22.193000000000001</v>
      </c>
      <c r="C29" s="95">
        <v>4.024</v>
      </c>
    </row>
    <row r="30" spans="1:3" x14ac:dyDescent="0.25">
      <c r="A30" s="93">
        <v>58</v>
      </c>
      <c r="B30" s="95">
        <v>21.596</v>
      </c>
      <c r="C30" s="95">
        <v>4.0490000000000004</v>
      </c>
    </row>
    <row r="31" spans="1:3" x14ac:dyDescent="0.25">
      <c r="A31" s="93">
        <v>59</v>
      </c>
      <c r="B31" s="95">
        <v>20.992999999999999</v>
      </c>
      <c r="C31" s="95">
        <v>4.0730000000000004</v>
      </c>
    </row>
    <row r="32" spans="1:3" x14ac:dyDescent="0.25">
      <c r="A32" s="93">
        <v>60</v>
      </c>
      <c r="B32" s="95">
        <v>20.385999999999999</v>
      </c>
      <c r="C32" s="95">
        <v>4.0940000000000003</v>
      </c>
    </row>
    <row r="33" spans="1:3" x14ac:dyDescent="0.25">
      <c r="A33" s="93">
        <v>61</v>
      </c>
      <c r="B33" s="95">
        <v>19.774999999999999</v>
      </c>
      <c r="C33" s="95">
        <v>4.1130000000000004</v>
      </c>
    </row>
    <row r="34" spans="1:3" x14ac:dyDescent="0.25">
      <c r="A34" s="93">
        <v>62</v>
      </c>
      <c r="B34" s="95">
        <v>19.16</v>
      </c>
      <c r="C34" s="95">
        <v>4.1280000000000001</v>
      </c>
    </row>
    <row r="35" spans="1:3" x14ac:dyDescent="0.25">
      <c r="A35" s="93">
        <v>63</v>
      </c>
      <c r="B35" s="95">
        <v>18.544</v>
      </c>
      <c r="C35" s="95">
        <v>4.1399999999999997</v>
      </c>
    </row>
    <row r="36" spans="1:3" x14ac:dyDescent="0.25">
      <c r="A36" s="93">
        <v>64</v>
      </c>
      <c r="B36" s="95">
        <v>17.925000000000001</v>
      </c>
      <c r="C36" s="95">
        <v>4.1479999999999997</v>
      </c>
    </row>
    <row r="37" spans="1:3" x14ac:dyDescent="0.25">
      <c r="A37" s="93">
        <v>65</v>
      </c>
      <c r="B37" s="95">
        <v>17.306000000000001</v>
      </c>
      <c r="C37" s="95">
        <v>4.1520000000000001</v>
      </c>
    </row>
    <row r="38" spans="1:3" x14ac:dyDescent="0.25">
      <c r="A38" s="93">
        <v>66</v>
      </c>
      <c r="B38" s="95">
        <v>16.687000000000001</v>
      </c>
      <c r="C38" s="95">
        <v>4.1509999999999998</v>
      </c>
    </row>
    <row r="39" spans="1:3" x14ac:dyDescent="0.25">
      <c r="A39" s="93">
        <v>67</v>
      </c>
      <c r="B39" s="95">
        <v>16.068000000000001</v>
      </c>
      <c r="C39" s="95">
        <v>4.1449999999999996</v>
      </c>
    </row>
    <row r="40" spans="1:3" x14ac:dyDescent="0.25">
      <c r="A40" s="93">
        <v>68</v>
      </c>
      <c r="B40" s="95">
        <v>15.45</v>
      </c>
      <c r="C40" s="95">
        <v>4.1349999999999998</v>
      </c>
    </row>
    <row r="41" spans="1:3" x14ac:dyDescent="0.25">
      <c r="A41" s="93">
        <v>69</v>
      </c>
      <c r="B41" s="95">
        <v>14.834</v>
      </c>
      <c r="C41" s="95">
        <v>4.0679999999999996</v>
      </c>
    </row>
    <row r="42" spans="1:3" x14ac:dyDescent="0.25">
      <c r="A42" s="93">
        <v>70</v>
      </c>
      <c r="B42" s="95">
        <v>14.222</v>
      </c>
      <c r="C42" s="95">
        <v>3.9969999999999999</v>
      </c>
    </row>
    <row r="43" spans="1:3" x14ac:dyDescent="0.25">
      <c r="A43" s="93">
        <v>71</v>
      </c>
      <c r="B43" s="95">
        <v>13.616</v>
      </c>
      <c r="C43" s="95">
        <v>3.972</v>
      </c>
    </row>
    <row r="44" spans="1:3" x14ac:dyDescent="0.25">
      <c r="A44" s="93">
        <v>72</v>
      </c>
      <c r="B44" s="95">
        <v>13.016999999999999</v>
      </c>
      <c r="C44" s="95">
        <v>3.9409999999999998</v>
      </c>
    </row>
    <row r="45" spans="1:3" x14ac:dyDescent="0.25">
      <c r="A45" s="93">
        <v>73</v>
      </c>
      <c r="B45" s="95">
        <v>12.428000000000001</v>
      </c>
      <c r="C45" s="95">
        <v>3.9020000000000001</v>
      </c>
    </row>
    <row r="46" spans="1:3" x14ac:dyDescent="0.25">
      <c r="A46" s="93">
        <v>74</v>
      </c>
      <c r="B46" s="95">
        <v>11.848000000000001</v>
      </c>
      <c r="C46" s="95">
        <v>3.7349999999999999</v>
      </c>
    </row>
  </sheetData>
  <sheetProtection algorithmName="SHA-512" hashValue="FhBivKLhhfzkIqBUDnv6WvzZpne9EhkUIFqATj7rsAnH/W/iYk9ZyXsxjohZrKwTiiSQh4pjvFXLdP8k/KDuLw==" saltValue="4to94llgijChKDv51r273g==" spinCount="100000" sheet="1" objects="1" scenarios="1"/>
  <conditionalFormatting sqref="A6:A21">
    <cfRule type="expression" dxfId="345" priority="11" stopIfTrue="1">
      <formula>MOD(ROW(),2)=0</formula>
    </cfRule>
    <cfRule type="expression" dxfId="344" priority="12" stopIfTrue="1">
      <formula>MOD(ROW(),2)&lt;&gt;0</formula>
    </cfRule>
  </conditionalFormatting>
  <conditionalFormatting sqref="A26:A46">
    <cfRule type="expression" dxfId="343" priority="3" stopIfTrue="1">
      <formula>MOD(ROW(),2)=0</formula>
    </cfRule>
    <cfRule type="expression" dxfId="342" priority="4" stopIfTrue="1">
      <formula>MOD(ROW(),2)&lt;&gt;0</formula>
    </cfRule>
  </conditionalFormatting>
  <conditionalFormatting sqref="B17:B21">
    <cfRule type="expression" dxfId="341" priority="1" stopIfTrue="1">
      <formula>MOD(ROW(),2)=0</formula>
    </cfRule>
    <cfRule type="expression" dxfId="340" priority="2" stopIfTrue="1">
      <formula>MOD(ROW(),2)&lt;&gt;0</formula>
    </cfRule>
  </conditionalFormatting>
  <conditionalFormatting sqref="B6:C21">
    <cfRule type="expression" dxfId="339" priority="21" stopIfTrue="1">
      <formula>MOD(ROW(),2)=0</formula>
    </cfRule>
    <cfRule type="expression" dxfId="338" priority="22" stopIfTrue="1">
      <formula>MOD(ROW(),2)&lt;&gt;0</formula>
    </cfRule>
  </conditionalFormatting>
  <conditionalFormatting sqref="B26:C46">
    <cfRule type="expression" dxfId="337" priority="5" stopIfTrue="1">
      <formula>MOD(ROW(),2)=0</formula>
    </cfRule>
    <cfRule type="expression" dxfId="33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4"/>
  <dimension ref="A1:I101"/>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47.2187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Triv Comm - x-504</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461</v>
      </c>
    </row>
    <row r="10" spans="1:9" x14ac:dyDescent="0.25">
      <c r="A10" s="79" t="s">
        <v>233</v>
      </c>
      <c r="B10" s="152" t="s">
        <v>471</v>
      </c>
    </row>
    <row r="11" spans="1:9" x14ac:dyDescent="0.25">
      <c r="A11" s="79" t="s">
        <v>308</v>
      </c>
      <c r="B11" s="152" t="s">
        <v>404</v>
      </c>
    </row>
    <row r="12" spans="1:9" x14ac:dyDescent="0.25">
      <c r="A12" s="79" t="s">
        <v>309</v>
      </c>
      <c r="B12" s="152" t="s">
        <v>463</v>
      </c>
    </row>
    <row r="13" spans="1:9" x14ac:dyDescent="0.25">
      <c r="A13" s="79" t="s">
        <v>566</v>
      </c>
      <c r="B13" s="152">
        <v>0</v>
      </c>
    </row>
    <row r="14" spans="1:9" x14ac:dyDescent="0.25">
      <c r="A14" s="79" t="s">
        <v>311</v>
      </c>
      <c r="B14" s="152">
        <v>504</v>
      </c>
    </row>
    <row r="15" spans="1:9" x14ac:dyDescent="0.25">
      <c r="A15" s="79" t="s">
        <v>569</v>
      </c>
      <c r="B15" s="152" t="s">
        <v>472</v>
      </c>
    </row>
    <row r="16" spans="1:9" x14ac:dyDescent="0.25">
      <c r="A16" s="79" t="s">
        <v>313</v>
      </c>
      <c r="B16" s="152" t="s">
        <v>468</v>
      </c>
    </row>
    <row r="17" spans="1:2" x14ac:dyDescent="0.25">
      <c r="A17" s="79" t="s">
        <v>639</v>
      </c>
      <c r="B17" s="152"/>
    </row>
    <row r="18" spans="1:2" x14ac:dyDescent="0.25">
      <c r="A18" s="79" t="s">
        <v>315</v>
      </c>
      <c r="B18" s="154">
        <v>45135</v>
      </c>
    </row>
    <row r="19" spans="1:2" x14ac:dyDescent="0.25">
      <c r="A19" s="79" t="s">
        <v>316</v>
      </c>
      <c r="B19" s="154">
        <v>45135</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x14ac:dyDescent="0.25">
      <c r="A26" s="92" t="s">
        <v>640</v>
      </c>
      <c r="B26" s="92" t="s">
        <v>675</v>
      </c>
    </row>
    <row r="27" spans="1:2" x14ac:dyDescent="0.25">
      <c r="A27" s="93">
        <v>25</v>
      </c>
      <c r="B27" s="95">
        <v>38.481999999999999</v>
      </c>
    </row>
    <row r="28" spans="1:2" x14ac:dyDescent="0.25">
      <c r="A28" s="93">
        <v>26</v>
      </c>
      <c r="B28" s="95">
        <v>38.1</v>
      </c>
    </row>
    <row r="29" spans="1:2" x14ac:dyDescent="0.25">
      <c r="A29" s="93">
        <v>27</v>
      </c>
      <c r="B29" s="95">
        <v>37.710999999999999</v>
      </c>
    </row>
    <row r="30" spans="1:2" x14ac:dyDescent="0.25">
      <c r="A30" s="93">
        <v>28</v>
      </c>
      <c r="B30" s="95">
        <v>37.314999999999998</v>
      </c>
    </row>
    <row r="31" spans="1:2" x14ac:dyDescent="0.25">
      <c r="A31" s="93">
        <v>29</v>
      </c>
      <c r="B31" s="95">
        <v>36.912999999999997</v>
      </c>
    </row>
    <row r="32" spans="1:2" x14ac:dyDescent="0.25">
      <c r="A32" s="93">
        <v>30</v>
      </c>
      <c r="B32" s="95">
        <v>36.505000000000003</v>
      </c>
    </row>
    <row r="33" spans="1:2" x14ac:dyDescent="0.25">
      <c r="A33" s="93">
        <v>31</v>
      </c>
      <c r="B33" s="95">
        <v>36.090000000000003</v>
      </c>
    </row>
    <row r="34" spans="1:2" x14ac:dyDescent="0.25">
      <c r="A34" s="93">
        <v>32</v>
      </c>
      <c r="B34" s="95">
        <v>35.667999999999999</v>
      </c>
    </row>
    <row r="35" spans="1:2" x14ac:dyDescent="0.25">
      <c r="A35" s="93">
        <v>33</v>
      </c>
      <c r="B35" s="95">
        <v>35.24</v>
      </c>
    </row>
    <row r="36" spans="1:2" x14ac:dyDescent="0.25">
      <c r="A36" s="93">
        <v>34</v>
      </c>
      <c r="B36" s="95">
        <v>34.805</v>
      </c>
    </row>
    <row r="37" spans="1:2" x14ac:dyDescent="0.25">
      <c r="A37" s="93">
        <v>35</v>
      </c>
      <c r="B37" s="95">
        <v>34.363999999999997</v>
      </c>
    </row>
    <row r="38" spans="1:2" x14ac:dyDescent="0.25">
      <c r="A38" s="93">
        <v>36</v>
      </c>
      <c r="B38" s="95">
        <v>33.917000000000002</v>
      </c>
    </row>
    <row r="39" spans="1:2" x14ac:dyDescent="0.25">
      <c r="A39" s="93">
        <v>37</v>
      </c>
      <c r="B39" s="95">
        <v>33.463000000000001</v>
      </c>
    </row>
    <row r="40" spans="1:2" x14ac:dyDescent="0.25">
      <c r="A40" s="93">
        <v>38</v>
      </c>
      <c r="B40" s="95">
        <v>33.003</v>
      </c>
    </row>
    <row r="41" spans="1:2" x14ac:dyDescent="0.25">
      <c r="A41" s="93">
        <v>39</v>
      </c>
      <c r="B41" s="95">
        <v>32.536999999999999</v>
      </c>
    </row>
    <row r="42" spans="1:2" x14ac:dyDescent="0.25">
      <c r="A42" s="93">
        <v>40</v>
      </c>
      <c r="B42" s="95">
        <v>32.064</v>
      </c>
    </row>
    <row r="43" spans="1:2" x14ac:dyDescent="0.25">
      <c r="A43" s="93">
        <v>41</v>
      </c>
      <c r="B43" s="95">
        <v>31.585000000000001</v>
      </c>
    </row>
    <row r="44" spans="1:2" x14ac:dyDescent="0.25">
      <c r="A44" s="93">
        <v>42</v>
      </c>
      <c r="B44" s="95">
        <v>31.1</v>
      </c>
    </row>
    <row r="45" spans="1:2" x14ac:dyDescent="0.25">
      <c r="A45" s="93">
        <v>43</v>
      </c>
      <c r="B45" s="95">
        <v>30.609000000000002</v>
      </c>
    </row>
    <row r="46" spans="1:2" x14ac:dyDescent="0.25">
      <c r="A46" s="93">
        <v>44</v>
      </c>
      <c r="B46" s="95">
        <v>30.113</v>
      </c>
    </row>
    <row r="47" spans="1:2" x14ac:dyDescent="0.25">
      <c r="A47" s="93">
        <v>45</v>
      </c>
      <c r="B47" s="95">
        <v>29.611999999999998</v>
      </c>
    </row>
    <row r="48" spans="1:2" x14ac:dyDescent="0.25">
      <c r="A48" s="93">
        <v>46</v>
      </c>
      <c r="B48" s="95">
        <v>29.106999999999999</v>
      </c>
    </row>
    <row r="49" spans="1:2" x14ac:dyDescent="0.25">
      <c r="A49" s="93">
        <v>47</v>
      </c>
      <c r="B49" s="95">
        <v>28.597000000000001</v>
      </c>
    </row>
    <row r="50" spans="1:2" x14ac:dyDescent="0.25">
      <c r="A50" s="93">
        <v>48</v>
      </c>
      <c r="B50" s="95">
        <v>28.082000000000001</v>
      </c>
    </row>
    <row r="51" spans="1:2" x14ac:dyDescent="0.25">
      <c r="A51" s="93">
        <v>49</v>
      </c>
      <c r="B51" s="95">
        <v>27.561</v>
      </c>
    </row>
    <row r="52" spans="1:2" x14ac:dyDescent="0.25">
      <c r="A52" s="93">
        <v>50</v>
      </c>
      <c r="B52" s="95">
        <v>27.035</v>
      </c>
    </row>
    <row r="53" spans="1:2" x14ac:dyDescent="0.25">
      <c r="A53" s="93">
        <v>51</v>
      </c>
      <c r="B53" s="95">
        <v>26.501999999999999</v>
      </c>
    </row>
    <row r="54" spans="1:2" x14ac:dyDescent="0.25">
      <c r="A54" s="93">
        <v>52</v>
      </c>
      <c r="B54" s="95">
        <v>25.963999999999999</v>
      </c>
    </row>
    <row r="55" spans="1:2" x14ac:dyDescent="0.25">
      <c r="A55" s="93">
        <v>53</v>
      </c>
      <c r="B55" s="95">
        <v>25.419</v>
      </c>
    </row>
    <row r="56" spans="1:2" x14ac:dyDescent="0.25">
      <c r="A56" s="93">
        <v>54</v>
      </c>
      <c r="B56" s="95">
        <v>24.869</v>
      </c>
    </row>
    <row r="57" spans="1:2" x14ac:dyDescent="0.25">
      <c r="A57" s="93">
        <v>55</v>
      </c>
      <c r="B57" s="95">
        <v>24.312000000000001</v>
      </c>
    </row>
    <row r="58" spans="1:2" x14ac:dyDescent="0.25">
      <c r="A58" s="93">
        <v>56</v>
      </c>
      <c r="B58" s="95">
        <v>23.748999999999999</v>
      </c>
    </row>
    <row r="59" spans="1:2" x14ac:dyDescent="0.25">
      <c r="A59" s="93">
        <v>57</v>
      </c>
      <c r="B59" s="95">
        <v>23.181000000000001</v>
      </c>
    </row>
    <row r="60" spans="1:2" x14ac:dyDescent="0.25">
      <c r="A60" s="93">
        <v>58</v>
      </c>
      <c r="B60" s="95">
        <v>22.606000000000002</v>
      </c>
    </row>
    <row r="61" spans="1:2" x14ac:dyDescent="0.25">
      <c r="A61" s="93">
        <v>59</v>
      </c>
      <c r="B61" s="95">
        <v>22.027000000000001</v>
      </c>
    </row>
    <row r="62" spans="1:2" x14ac:dyDescent="0.25">
      <c r="A62" s="93">
        <v>60</v>
      </c>
      <c r="B62" s="95">
        <v>21.440999999999999</v>
      </c>
    </row>
    <row r="63" spans="1:2" x14ac:dyDescent="0.25">
      <c r="A63" s="93">
        <v>61</v>
      </c>
      <c r="B63" s="95">
        <v>20.85</v>
      </c>
    </row>
    <row r="64" spans="1:2" x14ac:dyDescent="0.25">
      <c r="A64" s="93">
        <v>62</v>
      </c>
      <c r="B64" s="95">
        <v>20.254000000000001</v>
      </c>
    </row>
    <row r="65" spans="1:2" x14ac:dyDescent="0.25">
      <c r="A65" s="93">
        <v>63</v>
      </c>
      <c r="B65" s="95">
        <v>19.654</v>
      </c>
    </row>
    <row r="66" spans="1:2" x14ac:dyDescent="0.25">
      <c r="A66" s="93">
        <v>64</v>
      </c>
      <c r="B66" s="95">
        <v>19.048999999999999</v>
      </c>
    </row>
    <row r="67" spans="1:2" x14ac:dyDescent="0.25">
      <c r="A67" s="93">
        <v>65</v>
      </c>
      <c r="B67" s="95">
        <v>18.440999999999999</v>
      </c>
    </row>
    <row r="68" spans="1:2" x14ac:dyDescent="0.25">
      <c r="A68" s="93">
        <v>66</v>
      </c>
      <c r="B68" s="95">
        <v>17.829000000000001</v>
      </c>
    </row>
    <row r="69" spans="1:2" x14ac:dyDescent="0.25">
      <c r="A69" s="93">
        <v>67</v>
      </c>
      <c r="B69" s="95">
        <v>17.213999999999999</v>
      </c>
    </row>
    <row r="70" spans="1:2" x14ac:dyDescent="0.25">
      <c r="A70" s="93">
        <v>68</v>
      </c>
      <c r="B70" s="95">
        <v>16.596</v>
      </c>
    </row>
    <row r="71" spans="1:2" x14ac:dyDescent="0.25">
      <c r="A71" s="93">
        <v>69</v>
      </c>
      <c r="B71" s="95">
        <v>15.975</v>
      </c>
    </row>
    <row r="72" spans="1:2" x14ac:dyDescent="0.25">
      <c r="A72" s="93">
        <v>70</v>
      </c>
      <c r="B72" s="95">
        <v>15.349</v>
      </c>
    </row>
    <row r="73" spans="1:2" x14ac:dyDescent="0.25">
      <c r="A73" s="93">
        <v>71</v>
      </c>
      <c r="B73" s="95">
        <v>14.723000000000001</v>
      </c>
    </row>
    <row r="74" spans="1:2" x14ac:dyDescent="0.25">
      <c r="A74" s="93">
        <v>72</v>
      </c>
      <c r="B74" s="95">
        <v>14.101000000000001</v>
      </c>
    </row>
    <row r="75" spans="1:2" x14ac:dyDescent="0.25">
      <c r="A75" s="93">
        <v>73</v>
      </c>
      <c r="B75" s="95">
        <v>13.478999999999999</v>
      </c>
    </row>
    <row r="76" spans="1:2" x14ac:dyDescent="0.25">
      <c r="A76" s="93">
        <v>74</v>
      </c>
      <c r="B76" s="95">
        <v>12.859</v>
      </c>
    </row>
    <row r="77" spans="1:2" x14ac:dyDescent="0.25">
      <c r="A77" s="93">
        <v>75</v>
      </c>
      <c r="B77" s="95">
        <v>12.242000000000001</v>
      </c>
    </row>
    <row r="78" spans="1:2" x14ac:dyDescent="0.25">
      <c r="A78" s="93">
        <v>76</v>
      </c>
      <c r="B78" s="95">
        <v>11.629</v>
      </c>
    </row>
    <row r="79" spans="1:2" x14ac:dyDescent="0.25">
      <c r="A79" s="93">
        <v>77</v>
      </c>
      <c r="B79" s="95">
        <v>11.023</v>
      </c>
    </row>
    <row r="80" spans="1:2" x14ac:dyDescent="0.25">
      <c r="A80" s="93">
        <v>78</v>
      </c>
      <c r="B80" s="95">
        <v>10.423999999999999</v>
      </c>
    </row>
    <row r="81" spans="1:2" x14ac:dyDescent="0.25">
      <c r="A81" s="93">
        <v>79</v>
      </c>
      <c r="B81" s="95">
        <v>9.8350000000000009</v>
      </c>
    </row>
    <row r="82" spans="1:2" x14ac:dyDescent="0.25">
      <c r="A82" s="93">
        <v>80</v>
      </c>
      <c r="B82" s="95">
        <v>9.2569999999999997</v>
      </c>
    </row>
    <row r="83" spans="1:2" x14ac:dyDescent="0.25">
      <c r="A83" s="93">
        <v>81</v>
      </c>
      <c r="B83" s="95">
        <v>8.6920000000000002</v>
      </c>
    </row>
    <row r="84" spans="1:2" x14ac:dyDescent="0.25">
      <c r="A84" s="93">
        <v>82</v>
      </c>
      <c r="B84" s="95">
        <v>8.141</v>
      </c>
    </row>
    <row r="85" spans="1:2" x14ac:dyDescent="0.25">
      <c r="A85" s="93">
        <v>83</v>
      </c>
      <c r="B85" s="95">
        <v>7.6050000000000004</v>
      </c>
    </row>
    <row r="86" spans="1:2" x14ac:dyDescent="0.25">
      <c r="A86" s="93">
        <v>84</v>
      </c>
      <c r="B86" s="95">
        <v>7.085</v>
      </c>
    </row>
    <row r="87" spans="1:2" x14ac:dyDescent="0.25">
      <c r="A87" s="93">
        <v>85</v>
      </c>
      <c r="B87" s="95">
        <v>6.5830000000000002</v>
      </c>
    </row>
    <row r="88" spans="1:2" x14ac:dyDescent="0.25">
      <c r="A88" s="93">
        <v>86</v>
      </c>
      <c r="B88" s="95">
        <v>6.1040000000000001</v>
      </c>
    </row>
    <row r="89" spans="1:2" x14ac:dyDescent="0.25">
      <c r="A89" s="93">
        <v>87</v>
      </c>
      <c r="B89" s="95">
        <v>5.6509999999999998</v>
      </c>
    </row>
    <row r="90" spans="1:2" x14ac:dyDescent="0.25">
      <c r="A90" s="93">
        <v>88</v>
      </c>
      <c r="B90" s="95">
        <v>5.226</v>
      </c>
    </row>
    <row r="91" spans="1:2" x14ac:dyDescent="0.25">
      <c r="A91" s="93">
        <v>89</v>
      </c>
      <c r="B91" s="95">
        <v>4.827</v>
      </c>
    </row>
    <row r="92" spans="1:2" x14ac:dyDescent="0.25">
      <c r="A92" s="93">
        <v>90</v>
      </c>
      <c r="B92" s="95">
        <v>4.4530000000000003</v>
      </c>
    </row>
    <row r="93" spans="1:2" x14ac:dyDescent="0.25">
      <c r="A93" s="93">
        <v>91</v>
      </c>
      <c r="B93" s="95">
        <v>4.1079999999999997</v>
      </c>
    </row>
    <row r="94" spans="1:2" x14ac:dyDescent="0.25">
      <c r="A94" s="93">
        <v>92</v>
      </c>
      <c r="B94" s="95">
        <v>3.79</v>
      </c>
    </row>
    <row r="95" spans="1:2" x14ac:dyDescent="0.25">
      <c r="A95" s="93">
        <v>93</v>
      </c>
      <c r="B95" s="95">
        <v>3.5009999999999999</v>
      </c>
    </row>
    <row r="96" spans="1:2" x14ac:dyDescent="0.25">
      <c r="A96" s="93">
        <v>94</v>
      </c>
      <c r="B96" s="95">
        <v>3.2370000000000001</v>
      </c>
    </row>
    <row r="97" spans="1:2" x14ac:dyDescent="0.25">
      <c r="A97" s="93">
        <v>95</v>
      </c>
      <c r="B97" s="95">
        <v>2.9980000000000002</v>
      </c>
    </row>
    <row r="98" spans="1:2" x14ac:dyDescent="0.25">
      <c r="A98" s="93">
        <v>96</v>
      </c>
      <c r="B98" s="95">
        <v>2.7839999999999998</v>
      </c>
    </row>
    <row r="99" spans="1:2" x14ac:dyDescent="0.25">
      <c r="A99" s="93">
        <v>97</v>
      </c>
      <c r="B99" s="95">
        <v>2.5939999999999999</v>
      </c>
    </row>
    <row r="100" spans="1:2" x14ac:dyDescent="0.25">
      <c r="A100" s="93">
        <v>98</v>
      </c>
      <c r="B100" s="95">
        <v>2.4300000000000002</v>
      </c>
    </row>
    <row r="101" spans="1:2" x14ac:dyDescent="0.25">
      <c r="A101" s="93">
        <v>99</v>
      </c>
      <c r="B101" s="95">
        <v>2.2989999999999999</v>
      </c>
    </row>
  </sheetData>
  <sheetProtection algorithmName="SHA-512" hashValue="aKIMZgVhUbRgpuMGmAeKLMPrWs8w2oYaQ3IFzlubrpPLodZ4KG1WCctOg5BWl8pFc5l87x7sSTxlQXTOchSWTg==" saltValue="GGPnuDtkxIS4HkElaCExKw==" spinCount="100000" sheet="1" objects="1" scenarios="1"/>
  <conditionalFormatting sqref="A6:A21">
    <cfRule type="expression" dxfId="335" priority="15" stopIfTrue="1">
      <formula>MOD(ROW(),2)=0</formula>
    </cfRule>
    <cfRule type="expression" dxfId="334" priority="16" stopIfTrue="1">
      <formula>MOD(ROW(),2)&lt;&gt;0</formula>
    </cfRule>
  </conditionalFormatting>
  <conditionalFormatting sqref="A26:A101">
    <cfRule type="expression" dxfId="333" priority="3" stopIfTrue="1">
      <formula>MOD(ROW(),2)=0</formula>
    </cfRule>
    <cfRule type="expression" dxfId="332" priority="4" stopIfTrue="1">
      <formula>MOD(ROW(),2)&lt;&gt;0</formula>
    </cfRule>
  </conditionalFormatting>
  <conditionalFormatting sqref="B6:B21">
    <cfRule type="expression" dxfId="331" priority="25" stopIfTrue="1">
      <formula>MOD(ROW(),2)=0</formula>
    </cfRule>
    <cfRule type="expression" dxfId="330" priority="26" stopIfTrue="1">
      <formula>MOD(ROW(),2)&lt;&gt;0</formula>
    </cfRule>
  </conditionalFormatting>
  <conditionalFormatting sqref="B17:B21">
    <cfRule type="expression" dxfId="329" priority="1" stopIfTrue="1">
      <formula>MOD(ROW(),2)=0</formula>
    </cfRule>
    <cfRule type="expression" dxfId="328" priority="2" stopIfTrue="1">
      <formula>MOD(ROW(),2)&lt;&gt;0</formula>
    </cfRule>
  </conditionalFormatting>
  <conditionalFormatting sqref="B26:B101">
    <cfRule type="expression" dxfId="327" priority="5" stopIfTrue="1">
      <formula>MOD(ROW(),2)=0</formula>
    </cfRule>
    <cfRule type="expression" dxfId="32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15"/>
  <dimension ref="A1:M53"/>
  <sheetViews>
    <sheetView showGridLines="0" zoomScale="85" zoomScaleNormal="85" workbookViewId="0">
      <selection activeCell="A4" sqref="A4"/>
    </sheetView>
  </sheetViews>
  <sheetFormatPr defaultColWidth="10" defaultRowHeight="13.2" x14ac:dyDescent="0.25"/>
  <cols>
    <col min="1" max="1" width="34" style="27" customWidth="1"/>
    <col min="2" max="2" width="27.44140625" style="27" customWidth="1"/>
    <col min="3" max="3" width="10.21875" style="27" customWidth="1"/>
    <col min="4" max="4" width="10" style="27" customWidth="1"/>
    <col min="5"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TABLE_FACTOR_TYPE_1&amp;" - x-"&amp;TABLE_SERIES_NUMBER_1</f>
        <v>Commutation - x-505</v>
      </c>
      <c r="B3" s="43"/>
      <c r="C3" s="43"/>
      <c r="D3" s="43"/>
      <c r="E3" s="43"/>
      <c r="F3" s="43"/>
      <c r="G3" s="43"/>
      <c r="H3" s="43"/>
      <c r="I3" s="43"/>
    </row>
    <row r="4" spans="1:13" x14ac:dyDescent="0.25">
      <c r="A4" s="45"/>
    </row>
    <row r="6" spans="1:13" x14ac:dyDescent="0.25">
      <c r="A6" s="77" t="s">
        <v>558</v>
      </c>
      <c r="B6" s="152" t="s">
        <v>559</v>
      </c>
      <c r="C6" s="152"/>
      <c r="D6" s="152"/>
      <c r="E6" s="152"/>
      <c r="F6" s="152"/>
      <c r="G6" s="152"/>
      <c r="H6" s="152"/>
      <c r="I6" s="152"/>
      <c r="J6" s="152"/>
      <c r="K6" s="152"/>
      <c r="L6" s="152"/>
      <c r="M6" s="152"/>
    </row>
    <row r="7" spans="1:13" x14ac:dyDescent="0.25">
      <c r="A7" s="79" t="s">
        <v>305</v>
      </c>
      <c r="B7" s="152" t="s">
        <v>319</v>
      </c>
      <c r="C7" s="152"/>
      <c r="D7" s="152"/>
      <c r="E7" s="152"/>
      <c r="F7" s="152"/>
      <c r="G7" s="152"/>
      <c r="H7" s="152"/>
      <c r="I7" s="152"/>
      <c r="J7" s="152"/>
      <c r="K7" s="152"/>
      <c r="L7" s="152"/>
      <c r="M7" s="152"/>
    </row>
    <row r="8" spans="1:13" x14ac:dyDescent="0.25">
      <c r="A8" s="79" t="s">
        <v>306</v>
      </c>
      <c r="B8" s="152">
        <v>1992</v>
      </c>
      <c r="C8" s="152"/>
      <c r="D8" s="152"/>
      <c r="E8" s="152"/>
      <c r="F8" s="152"/>
      <c r="G8" s="152"/>
      <c r="H8" s="152"/>
      <c r="I8" s="152"/>
      <c r="J8" s="152"/>
      <c r="K8" s="152"/>
      <c r="L8" s="152"/>
      <c r="M8" s="152"/>
    </row>
    <row r="9" spans="1:13" x14ac:dyDescent="0.25">
      <c r="A9" s="79" t="s">
        <v>307</v>
      </c>
      <c r="B9" s="152" t="s">
        <v>473</v>
      </c>
      <c r="C9" s="152"/>
      <c r="D9" s="152"/>
      <c r="E9" s="152"/>
      <c r="F9" s="152"/>
      <c r="G9" s="152"/>
      <c r="H9" s="152"/>
      <c r="I9" s="152"/>
      <c r="J9" s="152"/>
      <c r="K9" s="152"/>
      <c r="L9" s="152"/>
      <c r="M9" s="152"/>
    </row>
    <row r="10" spans="1:13" ht="12.6" customHeight="1" x14ac:dyDescent="0.25">
      <c r="A10" s="79" t="s">
        <v>233</v>
      </c>
      <c r="B10" s="152" t="s">
        <v>474</v>
      </c>
      <c r="C10" s="152"/>
      <c r="D10" s="152"/>
      <c r="E10" s="152"/>
      <c r="F10" s="152"/>
      <c r="G10" s="152"/>
      <c r="H10" s="152"/>
      <c r="I10" s="152"/>
      <c r="J10" s="152"/>
      <c r="K10" s="152"/>
      <c r="L10" s="152"/>
      <c r="M10" s="152"/>
    </row>
    <row r="11" spans="1:13" x14ac:dyDescent="0.25">
      <c r="A11" s="79" t="s">
        <v>308</v>
      </c>
      <c r="B11" s="152" t="s">
        <v>404</v>
      </c>
      <c r="C11" s="152"/>
      <c r="D11" s="152"/>
      <c r="E11" s="152"/>
      <c r="F11" s="152"/>
      <c r="G11" s="152"/>
      <c r="H11" s="152"/>
      <c r="I11" s="152"/>
      <c r="J11" s="152"/>
      <c r="K11" s="152"/>
      <c r="L11" s="152"/>
      <c r="M11" s="152"/>
    </row>
    <row r="12" spans="1:13" ht="12.6" customHeight="1" x14ac:dyDescent="0.25">
      <c r="A12" s="79" t="s">
        <v>309</v>
      </c>
      <c r="B12" s="152" t="s">
        <v>475</v>
      </c>
      <c r="C12" s="152"/>
      <c r="D12" s="152"/>
      <c r="E12" s="152"/>
      <c r="F12" s="152"/>
      <c r="G12" s="152"/>
      <c r="H12" s="152"/>
      <c r="I12" s="152"/>
      <c r="J12" s="152"/>
      <c r="K12" s="152"/>
      <c r="L12" s="152"/>
      <c r="M12" s="152"/>
    </row>
    <row r="13" spans="1:13" ht="12.6" customHeight="1" x14ac:dyDescent="0.25">
      <c r="A13" s="79" t="s">
        <v>566</v>
      </c>
      <c r="B13" s="152">
        <v>0</v>
      </c>
      <c r="C13" s="152"/>
      <c r="D13" s="152"/>
      <c r="E13" s="152"/>
      <c r="F13" s="152"/>
      <c r="G13" s="152"/>
      <c r="H13" s="152"/>
      <c r="I13" s="152"/>
      <c r="J13" s="152"/>
      <c r="K13" s="152"/>
      <c r="L13" s="152"/>
      <c r="M13" s="152"/>
    </row>
    <row r="14" spans="1:13" ht="12.6" customHeight="1" x14ac:dyDescent="0.25">
      <c r="A14" s="79" t="s">
        <v>311</v>
      </c>
      <c r="B14" s="152">
        <v>505</v>
      </c>
      <c r="C14" s="152"/>
      <c r="D14" s="152"/>
      <c r="E14" s="152"/>
      <c r="F14" s="152"/>
      <c r="G14" s="152"/>
      <c r="H14" s="152"/>
      <c r="I14" s="152"/>
      <c r="J14" s="152"/>
      <c r="K14" s="152"/>
      <c r="L14" s="152"/>
      <c r="M14" s="152"/>
    </row>
    <row r="15" spans="1:13" x14ac:dyDescent="0.25">
      <c r="A15" s="79" t="s">
        <v>569</v>
      </c>
      <c r="B15" s="152" t="s">
        <v>476</v>
      </c>
      <c r="C15" s="152"/>
      <c r="D15" s="152"/>
      <c r="E15" s="152"/>
      <c r="F15" s="152"/>
      <c r="G15" s="152"/>
      <c r="H15" s="152"/>
      <c r="I15" s="152"/>
      <c r="J15" s="152"/>
      <c r="K15" s="152"/>
      <c r="L15" s="152"/>
      <c r="M15" s="152"/>
    </row>
    <row r="16" spans="1:13" x14ac:dyDescent="0.25">
      <c r="A16" s="79" t="s">
        <v>313</v>
      </c>
      <c r="B16" s="152" t="s">
        <v>465</v>
      </c>
      <c r="C16" s="152"/>
      <c r="D16" s="152"/>
      <c r="E16" s="152"/>
      <c r="F16" s="152"/>
      <c r="G16" s="152"/>
      <c r="H16" s="152"/>
      <c r="I16" s="152"/>
      <c r="J16" s="152"/>
      <c r="K16" s="152"/>
      <c r="L16" s="152"/>
      <c r="M16" s="152"/>
    </row>
    <row r="17" spans="1:13" ht="55.5" customHeight="1" x14ac:dyDescent="0.25">
      <c r="A17" s="79" t="s">
        <v>639</v>
      </c>
      <c r="B17" s="152"/>
      <c r="C17" s="152"/>
      <c r="D17" s="152"/>
      <c r="E17" s="152"/>
      <c r="F17" s="152"/>
      <c r="G17" s="152"/>
      <c r="H17" s="152"/>
      <c r="I17" s="152"/>
      <c r="J17" s="152"/>
      <c r="K17" s="152"/>
      <c r="L17" s="152"/>
      <c r="M17" s="152"/>
    </row>
    <row r="18" spans="1:13" x14ac:dyDescent="0.25">
      <c r="A18" s="79" t="s">
        <v>315</v>
      </c>
      <c r="B18" s="154">
        <v>45019</v>
      </c>
      <c r="C18" s="152"/>
      <c r="D18" s="152"/>
      <c r="E18" s="152"/>
      <c r="F18" s="152"/>
      <c r="G18" s="152"/>
      <c r="H18" s="152"/>
      <c r="I18" s="152"/>
      <c r="J18" s="152"/>
      <c r="K18" s="152"/>
      <c r="L18" s="152"/>
      <c r="M18" s="152"/>
    </row>
    <row r="19" spans="1:13" x14ac:dyDescent="0.25">
      <c r="A19" s="79" t="s">
        <v>316</v>
      </c>
      <c r="B19" s="154">
        <v>45019</v>
      </c>
      <c r="C19" s="152"/>
      <c r="D19" s="152"/>
      <c r="E19" s="152"/>
      <c r="F19" s="152"/>
      <c r="G19" s="152"/>
      <c r="H19" s="152"/>
      <c r="I19" s="152"/>
      <c r="J19" s="152"/>
      <c r="K19" s="152"/>
      <c r="L19" s="152"/>
      <c r="M19" s="152"/>
    </row>
    <row r="20" spans="1:13" x14ac:dyDescent="0.25">
      <c r="A20" s="79" t="s">
        <v>317</v>
      </c>
      <c r="B20" s="152" t="s">
        <v>326</v>
      </c>
      <c r="C20" s="152"/>
      <c r="D20" s="152"/>
      <c r="E20" s="152"/>
      <c r="F20" s="152"/>
      <c r="G20" s="152"/>
      <c r="H20" s="152"/>
      <c r="I20" s="152"/>
      <c r="J20" s="152"/>
      <c r="K20" s="152"/>
      <c r="L20" s="152"/>
      <c r="M20" s="152"/>
    </row>
    <row r="21" spans="1:13" x14ac:dyDescent="0.25">
      <c r="A21" s="79" t="s">
        <v>318</v>
      </c>
      <c r="B21" s="152" t="s">
        <v>327</v>
      </c>
      <c r="C21" s="152"/>
      <c r="D21" s="152"/>
      <c r="E21" s="152"/>
      <c r="F21" s="152"/>
      <c r="G21" s="152"/>
      <c r="H21" s="152"/>
      <c r="I21" s="152"/>
      <c r="J21" s="152"/>
      <c r="K21" s="152"/>
      <c r="L21" s="152"/>
      <c r="M21" s="152"/>
    </row>
    <row r="23" spans="1:13" x14ac:dyDescent="0.25">
      <c r="B23" s="96" t="str">
        <f>HYPERLINK("#'Factor List'!A1","Back to Factor List")</f>
        <v>Back to Factor List</v>
      </c>
    </row>
    <row r="24" spans="1:13" x14ac:dyDescent="0.25">
      <c r="B24" s="96" t="str">
        <f>HYPERLINK("#'Assumptions'!A1","Assumptions")</f>
        <v>Assumptions</v>
      </c>
    </row>
    <row r="25" spans="1:13" x14ac:dyDescent="0.25">
      <c r="B25" s="96"/>
    </row>
    <row r="26" spans="1:13" x14ac:dyDescent="0.25">
      <c r="A26" s="82" t="s">
        <v>676</v>
      </c>
      <c r="B26" s="106">
        <v>0</v>
      </c>
      <c r="C26" s="106">
        <v>1</v>
      </c>
      <c r="D26" s="106">
        <v>2</v>
      </c>
      <c r="E26" s="106">
        <v>3</v>
      </c>
      <c r="F26" s="106">
        <v>4</v>
      </c>
      <c r="G26" s="106">
        <v>5</v>
      </c>
      <c r="H26" s="106">
        <v>6</v>
      </c>
      <c r="I26" s="106">
        <v>7</v>
      </c>
      <c r="J26" s="106">
        <v>8</v>
      </c>
      <c r="K26" s="106">
        <v>9</v>
      </c>
      <c r="L26" s="106">
        <v>10</v>
      </c>
      <c r="M26" s="106">
        <v>11</v>
      </c>
    </row>
    <row r="27" spans="1:13" x14ac:dyDescent="0.25">
      <c r="A27" s="107" t="s">
        <v>677</v>
      </c>
      <c r="B27" s="84">
        <v>26.2</v>
      </c>
      <c r="C27" s="84"/>
      <c r="D27" s="84"/>
      <c r="E27" s="84"/>
      <c r="F27" s="84"/>
      <c r="G27" s="84"/>
      <c r="H27" s="84"/>
      <c r="I27" s="84"/>
      <c r="J27" s="84"/>
      <c r="K27" s="84"/>
      <c r="L27" s="84"/>
      <c r="M27" s="84"/>
    </row>
    <row r="28" spans="1:13" x14ac:dyDescent="0.25">
      <c r="A28" s="83">
        <v>50</v>
      </c>
      <c r="B28" s="84">
        <v>26.2</v>
      </c>
      <c r="C28" s="84">
        <v>26.2</v>
      </c>
      <c r="D28" s="84">
        <v>26.1</v>
      </c>
      <c r="E28" s="84">
        <v>26.1</v>
      </c>
      <c r="F28" s="84">
        <v>26.1</v>
      </c>
      <c r="G28" s="84">
        <v>26</v>
      </c>
      <c r="H28" s="84">
        <v>26</v>
      </c>
      <c r="I28" s="84">
        <v>25.9</v>
      </c>
      <c r="J28" s="84">
        <v>25.9</v>
      </c>
      <c r="K28" s="84">
        <v>25.9</v>
      </c>
      <c r="L28" s="84">
        <v>25.8</v>
      </c>
      <c r="M28" s="84">
        <v>25.8</v>
      </c>
    </row>
    <row r="29" spans="1:13" x14ac:dyDescent="0.25">
      <c r="A29" s="83">
        <v>51</v>
      </c>
      <c r="B29" s="84">
        <v>25.7</v>
      </c>
      <c r="C29" s="84">
        <v>25.7</v>
      </c>
      <c r="D29" s="84">
        <v>25.7</v>
      </c>
      <c r="E29" s="84">
        <v>25.6</v>
      </c>
      <c r="F29" s="84">
        <v>25.6</v>
      </c>
      <c r="G29" s="84">
        <v>25.5</v>
      </c>
      <c r="H29" s="84">
        <v>25.5</v>
      </c>
      <c r="I29" s="84">
        <v>25.5</v>
      </c>
      <c r="J29" s="84">
        <v>25.4</v>
      </c>
      <c r="K29" s="84">
        <v>25.4</v>
      </c>
      <c r="L29" s="84">
        <v>25.3</v>
      </c>
      <c r="M29" s="84">
        <v>25.3</v>
      </c>
    </row>
    <row r="30" spans="1:13" x14ac:dyDescent="0.25">
      <c r="A30" s="83">
        <v>52</v>
      </c>
      <c r="B30" s="84">
        <v>25.2</v>
      </c>
      <c r="C30" s="84">
        <v>25.2</v>
      </c>
      <c r="D30" s="84">
        <v>25.2</v>
      </c>
      <c r="E30" s="84">
        <v>25.1</v>
      </c>
      <c r="F30" s="84">
        <v>25.1</v>
      </c>
      <c r="G30" s="84">
        <v>25</v>
      </c>
      <c r="H30" s="84">
        <v>25</v>
      </c>
      <c r="I30" s="84">
        <v>24.9</v>
      </c>
      <c r="J30" s="84">
        <v>24.9</v>
      </c>
      <c r="K30" s="84">
        <v>24.9</v>
      </c>
      <c r="L30" s="84">
        <v>24.8</v>
      </c>
      <c r="M30" s="84">
        <v>24.8</v>
      </c>
    </row>
    <row r="31" spans="1:13" x14ac:dyDescent="0.25">
      <c r="A31" s="83">
        <v>53</v>
      </c>
      <c r="B31" s="84">
        <v>24.7</v>
      </c>
      <c r="C31" s="84">
        <v>24.7</v>
      </c>
      <c r="D31" s="84">
        <v>24.6</v>
      </c>
      <c r="E31" s="84">
        <v>24.6</v>
      </c>
      <c r="F31" s="84">
        <v>24.5</v>
      </c>
      <c r="G31" s="84">
        <v>24.5</v>
      </c>
      <c r="H31" s="84">
        <v>24.5</v>
      </c>
      <c r="I31" s="84">
        <v>24.4</v>
      </c>
      <c r="J31" s="84">
        <v>24.4</v>
      </c>
      <c r="K31" s="84">
        <v>24.3</v>
      </c>
      <c r="L31" s="84">
        <v>24.3</v>
      </c>
      <c r="M31" s="84">
        <v>24.2</v>
      </c>
    </row>
    <row r="32" spans="1:13" x14ac:dyDescent="0.25">
      <c r="A32" s="83">
        <v>54</v>
      </c>
      <c r="B32" s="84">
        <v>24.2</v>
      </c>
      <c r="C32" s="84">
        <v>24.1</v>
      </c>
      <c r="D32" s="84">
        <v>24.1</v>
      </c>
      <c r="E32" s="84">
        <v>24</v>
      </c>
      <c r="F32" s="84">
        <v>24</v>
      </c>
      <c r="G32" s="84">
        <v>24</v>
      </c>
      <c r="H32" s="84">
        <v>23.9</v>
      </c>
      <c r="I32" s="84">
        <v>23.9</v>
      </c>
      <c r="J32" s="84">
        <v>23.8</v>
      </c>
      <c r="K32" s="84">
        <v>23.8</v>
      </c>
      <c r="L32" s="84">
        <v>23.7</v>
      </c>
      <c r="M32" s="84">
        <v>23.7</v>
      </c>
    </row>
    <row r="33" spans="1:13" x14ac:dyDescent="0.25">
      <c r="A33" s="83">
        <v>55</v>
      </c>
      <c r="B33" s="84">
        <v>23.6</v>
      </c>
      <c r="C33" s="84">
        <v>23.6</v>
      </c>
      <c r="D33" s="84">
        <v>23.5</v>
      </c>
      <c r="E33" s="84">
        <v>23.5</v>
      </c>
      <c r="F33" s="84">
        <v>23.4</v>
      </c>
      <c r="G33" s="84">
        <v>23.4</v>
      </c>
      <c r="H33" s="84">
        <v>23.3</v>
      </c>
      <c r="I33" s="84">
        <v>23.3</v>
      </c>
      <c r="J33" s="84">
        <v>23.2</v>
      </c>
      <c r="K33" s="84">
        <v>23.2</v>
      </c>
      <c r="L33" s="84">
        <v>23.1</v>
      </c>
      <c r="M33" s="84">
        <v>23.1</v>
      </c>
    </row>
    <row r="34" spans="1:13" x14ac:dyDescent="0.25">
      <c r="A34" s="83">
        <v>56</v>
      </c>
      <c r="B34" s="84">
        <v>23</v>
      </c>
      <c r="C34" s="84">
        <v>23</v>
      </c>
      <c r="D34" s="84">
        <v>22.9</v>
      </c>
      <c r="E34" s="84">
        <v>22.9</v>
      </c>
      <c r="F34" s="84">
        <v>22.8</v>
      </c>
      <c r="G34" s="84">
        <v>22.8</v>
      </c>
      <c r="H34" s="84">
        <v>22.7</v>
      </c>
      <c r="I34" s="84">
        <v>22.7</v>
      </c>
      <c r="J34" s="84">
        <v>22.6</v>
      </c>
      <c r="K34" s="84">
        <v>22.6</v>
      </c>
      <c r="L34" s="84">
        <v>22.5</v>
      </c>
      <c r="M34" s="84">
        <v>22.5</v>
      </c>
    </row>
    <row r="35" spans="1:13" x14ac:dyDescent="0.25">
      <c r="A35" s="83">
        <v>57</v>
      </c>
      <c r="B35" s="84">
        <v>22.4</v>
      </c>
      <c r="C35" s="84">
        <v>22.4</v>
      </c>
      <c r="D35" s="84">
        <v>22.3</v>
      </c>
      <c r="E35" s="84">
        <v>22.3</v>
      </c>
      <c r="F35" s="84">
        <v>22.2</v>
      </c>
      <c r="G35" s="84">
        <v>22.2</v>
      </c>
      <c r="H35" s="84">
        <v>22.1</v>
      </c>
      <c r="I35" s="84">
        <v>22.1</v>
      </c>
      <c r="J35" s="84">
        <v>22</v>
      </c>
      <c r="K35" s="84">
        <v>22</v>
      </c>
      <c r="L35" s="84">
        <v>21.9</v>
      </c>
      <c r="M35" s="84">
        <v>21.9</v>
      </c>
    </row>
    <row r="36" spans="1:13" x14ac:dyDescent="0.25">
      <c r="A36" s="83">
        <v>58</v>
      </c>
      <c r="B36" s="84">
        <v>21.8</v>
      </c>
      <c r="C36" s="84">
        <v>21.8</v>
      </c>
      <c r="D36" s="84">
        <v>21.7</v>
      </c>
      <c r="E36" s="84">
        <v>21.7</v>
      </c>
      <c r="F36" s="84">
        <v>21.6</v>
      </c>
      <c r="G36" s="84">
        <v>21.6</v>
      </c>
      <c r="H36" s="84">
        <v>21.5</v>
      </c>
      <c r="I36" s="84">
        <v>21.5</v>
      </c>
      <c r="J36" s="84">
        <v>21.4</v>
      </c>
      <c r="K36" s="84">
        <v>21.4</v>
      </c>
      <c r="L36" s="84">
        <v>21.3</v>
      </c>
      <c r="M36" s="84">
        <v>21.3</v>
      </c>
    </row>
    <row r="37" spans="1:13" x14ac:dyDescent="0.25">
      <c r="A37" s="83">
        <v>59</v>
      </c>
      <c r="B37" s="84">
        <v>21.2</v>
      </c>
      <c r="C37" s="84">
        <v>21.2</v>
      </c>
      <c r="D37" s="84">
        <v>21.1</v>
      </c>
      <c r="E37" s="84">
        <v>21.1</v>
      </c>
      <c r="F37" s="84">
        <v>21</v>
      </c>
      <c r="G37" s="84">
        <v>21</v>
      </c>
      <c r="H37" s="84">
        <v>20.9</v>
      </c>
      <c r="I37" s="84">
        <v>20.9</v>
      </c>
      <c r="J37" s="84">
        <v>20.8</v>
      </c>
      <c r="K37" s="84">
        <v>20.8</v>
      </c>
      <c r="L37" s="84">
        <v>20.7</v>
      </c>
      <c r="M37" s="84">
        <v>20.7</v>
      </c>
    </row>
    <row r="38" spans="1:13" x14ac:dyDescent="0.25">
      <c r="A38" s="83">
        <v>60</v>
      </c>
      <c r="B38" s="84">
        <v>20.6</v>
      </c>
      <c r="C38" s="84">
        <v>20.6</v>
      </c>
      <c r="D38" s="84">
        <v>20.5</v>
      </c>
      <c r="E38" s="84">
        <v>20.5</v>
      </c>
      <c r="F38" s="84">
        <v>20.399999999999999</v>
      </c>
      <c r="G38" s="84">
        <v>20.399999999999999</v>
      </c>
      <c r="H38" s="84">
        <v>20.3</v>
      </c>
      <c r="I38" s="84">
        <v>20.3</v>
      </c>
      <c r="J38" s="84">
        <v>20.2</v>
      </c>
      <c r="K38" s="84">
        <v>20.2</v>
      </c>
      <c r="L38" s="84">
        <v>20.100000000000001</v>
      </c>
      <c r="M38" s="84">
        <v>20.100000000000001</v>
      </c>
    </row>
    <row r="39" spans="1:13" x14ac:dyDescent="0.25">
      <c r="A39" s="83">
        <v>61</v>
      </c>
      <c r="B39" s="84">
        <v>20</v>
      </c>
      <c r="C39" s="84">
        <v>20</v>
      </c>
      <c r="D39" s="84">
        <v>19.899999999999999</v>
      </c>
      <c r="E39" s="84">
        <v>19.899999999999999</v>
      </c>
      <c r="F39" s="84">
        <v>19.8</v>
      </c>
      <c r="G39" s="84">
        <v>19.8</v>
      </c>
      <c r="H39" s="84">
        <v>19.7</v>
      </c>
      <c r="I39" s="84">
        <v>19.7</v>
      </c>
      <c r="J39" s="84">
        <v>19.600000000000001</v>
      </c>
      <c r="K39" s="84">
        <v>19.5</v>
      </c>
      <c r="L39" s="84">
        <v>19.5</v>
      </c>
      <c r="M39" s="84">
        <v>19.399999999999999</v>
      </c>
    </row>
    <row r="40" spans="1:13" x14ac:dyDescent="0.25">
      <c r="A40" s="83">
        <v>62</v>
      </c>
      <c r="B40" s="84">
        <v>19.399999999999999</v>
      </c>
      <c r="C40" s="84">
        <v>19.3</v>
      </c>
      <c r="D40" s="84">
        <v>19.3</v>
      </c>
      <c r="E40" s="84">
        <v>19.2</v>
      </c>
      <c r="F40" s="84">
        <v>19.2</v>
      </c>
      <c r="G40" s="84">
        <v>19.100000000000001</v>
      </c>
      <c r="H40" s="84">
        <v>19.100000000000001</v>
      </c>
      <c r="I40" s="84">
        <v>19</v>
      </c>
      <c r="J40" s="84">
        <v>19</v>
      </c>
      <c r="K40" s="84">
        <v>18.899999999999999</v>
      </c>
      <c r="L40" s="84">
        <v>18.899999999999999</v>
      </c>
      <c r="M40" s="84">
        <v>18.8</v>
      </c>
    </row>
    <row r="41" spans="1:13" x14ac:dyDescent="0.25">
      <c r="A41" s="83">
        <v>63</v>
      </c>
      <c r="B41" s="84">
        <v>18.8</v>
      </c>
      <c r="C41" s="84">
        <v>18.7</v>
      </c>
      <c r="D41" s="84">
        <v>18.7</v>
      </c>
      <c r="E41" s="84">
        <v>18.600000000000001</v>
      </c>
      <c r="F41" s="84">
        <v>18.600000000000001</v>
      </c>
      <c r="G41" s="84">
        <v>18.5</v>
      </c>
      <c r="H41" s="84">
        <v>18.5</v>
      </c>
      <c r="I41" s="84">
        <v>18.399999999999999</v>
      </c>
      <c r="J41" s="84">
        <v>18.399999999999999</v>
      </c>
      <c r="K41" s="84">
        <v>18.3</v>
      </c>
      <c r="L41" s="84">
        <v>18.2</v>
      </c>
      <c r="M41" s="84">
        <v>18.2</v>
      </c>
    </row>
    <row r="42" spans="1:13" x14ac:dyDescent="0.25">
      <c r="A42" s="83">
        <v>64</v>
      </c>
      <c r="B42" s="84">
        <v>18.100000000000001</v>
      </c>
      <c r="C42" s="84">
        <v>18.100000000000001</v>
      </c>
      <c r="D42" s="84">
        <v>18</v>
      </c>
      <c r="E42" s="84">
        <v>18</v>
      </c>
      <c r="F42" s="84">
        <v>17.899999999999999</v>
      </c>
      <c r="G42" s="84">
        <v>17.899999999999999</v>
      </c>
      <c r="H42" s="84">
        <v>17.8</v>
      </c>
      <c r="I42" s="84">
        <v>17.8</v>
      </c>
      <c r="J42" s="84">
        <v>17.7</v>
      </c>
      <c r="K42" s="84">
        <v>17.7</v>
      </c>
      <c r="L42" s="84">
        <v>17.600000000000001</v>
      </c>
      <c r="M42" s="84">
        <v>17.600000000000001</v>
      </c>
    </row>
    <row r="43" spans="1:13" x14ac:dyDescent="0.25">
      <c r="A43" s="83">
        <v>65</v>
      </c>
      <c r="B43" s="84">
        <v>17.5</v>
      </c>
      <c r="C43" s="84">
        <v>17.5</v>
      </c>
      <c r="D43" s="84">
        <v>17.399999999999999</v>
      </c>
      <c r="E43" s="84">
        <v>17.399999999999999</v>
      </c>
      <c r="F43" s="84">
        <v>17.3</v>
      </c>
      <c r="G43" s="84">
        <v>17.3</v>
      </c>
      <c r="H43" s="84">
        <v>17.2</v>
      </c>
      <c r="I43" s="84">
        <v>17.100000000000001</v>
      </c>
      <c r="J43" s="84">
        <v>17.100000000000001</v>
      </c>
      <c r="K43" s="84">
        <v>17</v>
      </c>
      <c r="L43" s="84">
        <v>17</v>
      </c>
      <c r="M43" s="84">
        <v>16.899999999999999</v>
      </c>
    </row>
    <row r="44" spans="1:13" x14ac:dyDescent="0.25">
      <c r="A44" s="83">
        <v>66</v>
      </c>
      <c r="B44" s="84">
        <v>16.899999999999999</v>
      </c>
      <c r="C44" s="84">
        <v>16.8</v>
      </c>
      <c r="D44" s="84">
        <v>16.8</v>
      </c>
      <c r="E44" s="84">
        <v>16.7</v>
      </c>
      <c r="F44" s="84">
        <v>16.7</v>
      </c>
      <c r="G44" s="84">
        <v>16.600000000000001</v>
      </c>
      <c r="H44" s="84">
        <v>16.600000000000001</v>
      </c>
      <c r="I44" s="84">
        <v>16.5</v>
      </c>
      <c r="J44" s="84">
        <v>16.5</v>
      </c>
      <c r="K44" s="84">
        <v>16.399999999999999</v>
      </c>
      <c r="L44" s="84">
        <v>16.399999999999999</v>
      </c>
      <c r="M44" s="84">
        <v>16.3</v>
      </c>
    </row>
    <row r="45" spans="1:13" x14ac:dyDescent="0.25">
      <c r="A45" s="83">
        <v>67</v>
      </c>
      <c r="B45" s="84">
        <v>16.3</v>
      </c>
      <c r="C45" s="84">
        <v>16.2</v>
      </c>
      <c r="D45" s="84">
        <v>16.100000000000001</v>
      </c>
      <c r="E45" s="84">
        <v>16.100000000000001</v>
      </c>
      <c r="F45" s="84">
        <v>16</v>
      </c>
      <c r="G45" s="84">
        <v>16</v>
      </c>
      <c r="H45" s="84">
        <v>15.9</v>
      </c>
      <c r="I45" s="84">
        <v>15.9</v>
      </c>
      <c r="J45" s="84">
        <v>15.8</v>
      </c>
      <c r="K45" s="84">
        <v>15.8</v>
      </c>
      <c r="L45" s="84">
        <v>15.7</v>
      </c>
      <c r="M45" s="84">
        <v>15.7</v>
      </c>
    </row>
    <row r="46" spans="1:13" x14ac:dyDescent="0.25">
      <c r="A46" s="83">
        <v>68</v>
      </c>
      <c r="B46" s="84">
        <v>15.6</v>
      </c>
      <c r="C46" s="84">
        <v>15.6</v>
      </c>
      <c r="D46" s="84">
        <v>15.5</v>
      </c>
      <c r="E46" s="84">
        <v>15.5</v>
      </c>
      <c r="F46" s="84">
        <v>15.4</v>
      </c>
      <c r="G46" s="84">
        <v>15.4</v>
      </c>
      <c r="H46" s="84">
        <v>15.3</v>
      </c>
      <c r="I46" s="84">
        <v>15.3</v>
      </c>
      <c r="J46" s="84">
        <v>15.2</v>
      </c>
      <c r="K46" s="84">
        <v>15.1</v>
      </c>
      <c r="L46" s="84">
        <v>15.1</v>
      </c>
      <c r="M46" s="84">
        <v>15</v>
      </c>
    </row>
    <row r="47" spans="1:13" x14ac:dyDescent="0.25">
      <c r="A47" s="83">
        <v>69</v>
      </c>
      <c r="B47" s="84">
        <v>15</v>
      </c>
      <c r="C47" s="84">
        <v>14.9</v>
      </c>
      <c r="D47" s="84">
        <v>14.9</v>
      </c>
      <c r="E47" s="84">
        <v>14.8</v>
      </c>
      <c r="F47" s="84">
        <v>14.8</v>
      </c>
      <c r="G47" s="84">
        <v>14.7</v>
      </c>
      <c r="H47" s="84">
        <v>14.7</v>
      </c>
      <c r="I47" s="84">
        <v>14.6</v>
      </c>
      <c r="J47" s="84">
        <v>14.6</v>
      </c>
      <c r="K47" s="84">
        <v>14.5</v>
      </c>
      <c r="L47" s="84">
        <v>14.5</v>
      </c>
      <c r="M47" s="84">
        <v>14.4</v>
      </c>
    </row>
    <row r="48" spans="1:13" x14ac:dyDescent="0.25">
      <c r="A48" s="83">
        <v>70</v>
      </c>
      <c r="B48" s="84">
        <v>14.4</v>
      </c>
      <c r="C48" s="84">
        <v>14.3</v>
      </c>
      <c r="D48" s="84">
        <v>14.3</v>
      </c>
      <c r="E48" s="84">
        <v>14.2</v>
      </c>
      <c r="F48" s="84">
        <v>14.1</v>
      </c>
      <c r="G48" s="84">
        <v>14.1</v>
      </c>
      <c r="H48" s="84">
        <v>14</v>
      </c>
      <c r="I48" s="84">
        <v>14</v>
      </c>
      <c r="J48" s="84">
        <v>13.9</v>
      </c>
      <c r="K48" s="84">
        <v>13.9</v>
      </c>
      <c r="L48" s="84">
        <v>13.8</v>
      </c>
      <c r="M48" s="84">
        <v>13.8</v>
      </c>
    </row>
    <row r="49" spans="1:13" x14ac:dyDescent="0.25">
      <c r="A49" s="83">
        <v>71</v>
      </c>
      <c r="B49" s="84">
        <v>13.7</v>
      </c>
      <c r="C49" s="84">
        <v>13.7</v>
      </c>
      <c r="D49" s="84">
        <v>13.6</v>
      </c>
      <c r="E49" s="84">
        <v>13.6</v>
      </c>
      <c r="F49" s="84">
        <v>13.5</v>
      </c>
      <c r="G49" s="84">
        <v>13.5</v>
      </c>
      <c r="H49" s="84">
        <v>13.4</v>
      </c>
      <c r="I49" s="84">
        <v>13.4</v>
      </c>
      <c r="J49" s="84">
        <v>13.3</v>
      </c>
      <c r="K49" s="84">
        <v>13.3</v>
      </c>
      <c r="L49" s="84">
        <v>13.2</v>
      </c>
      <c r="M49" s="84">
        <v>13.2</v>
      </c>
    </row>
    <row r="50" spans="1:13" x14ac:dyDescent="0.25">
      <c r="A50" s="83">
        <v>72</v>
      </c>
      <c r="B50" s="84">
        <v>13.1</v>
      </c>
      <c r="C50" s="84">
        <v>13.1</v>
      </c>
      <c r="D50" s="84">
        <v>13</v>
      </c>
      <c r="E50" s="84">
        <v>12.9</v>
      </c>
      <c r="F50" s="84">
        <v>12.9</v>
      </c>
      <c r="G50" s="84">
        <v>12.8</v>
      </c>
      <c r="H50" s="84">
        <v>12.8</v>
      </c>
      <c r="I50" s="84">
        <v>12.7</v>
      </c>
      <c r="J50" s="84">
        <v>12.7</v>
      </c>
      <c r="K50" s="84">
        <v>12.6</v>
      </c>
      <c r="L50" s="84">
        <v>12.6</v>
      </c>
      <c r="M50" s="84">
        <v>12.5</v>
      </c>
    </row>
    <row r="51" spans="1:13" x14ac:dyDescent="0.25">
      <c r="A51" s="83">
        <v>73</v>
      </c>
      <c r="B51" s="84">
        <v>12.5</v>
      </c>
      <c r="C51" s="84">
        <v>12.4</v>
      </c>
      <c r="D51" s="84">
        <v>12.4</v>
      </c>
      <c r="E51" s="84">
        <v>12.3</v>
      </c>
      <c r="F51" s="84">
        <v>12.3</v>
      </c>
      <c r="G51" s="84">
        <v>12.2</v>
      </c>
      <c r="H51" s="84">
        <v>12.2</v>
      </c>
      <c r="I51" s="84">
        <v>12.1</v>
      </c>
      <c r="J51" s="84">
        <v>12.1</v>
      </c>
      <c r="K51" s="84">
        <v>12</v>
      </c>
      <c r="L51" s="84">
        <v>12</v>
      </c>
      <c r="M51" s="84">
        <v>11.9</v>
      </c>
    </row>
    <row r="52" spans="1:13" x14ac:dyDescent="0.25">
      <c r="A52" s="83">
        <v>74</v>
      </c>
      <c r="B52" s="84">
        <v>11.9</v>
      </c>
      <c r="C52" s="84">
        <v>11.8</v>
      </c>
      <c r="D52" s="84">
        <v>11.8</v>
      </c>
      <c r="E52" s="84">
        <v>11.7</v>
      </c>
      <c r="F52" s="84">
        <v>11.7</v>
      </c>
      <c r="G52" s="84">
        <v>11.6</v>
      </c>
      <c r="H52" s="84">
        <v>11.6</v>
      </c>
      <c r="I52" s="84">
        <v>11.5</v>
      </c>
      <c r="J52" s="84">
        <v>11.5</v>
      </c>
      <c r="K52" s="84">
        <v>11.4</v>
      </c>
      <c r="L52" s="84">
        <v>11.4</v>
      </c>
      <c r="M52" s="84">
        <v>11.3</v>
      </c>
    </row>
    <row r="53" spans="1:13" x14ac:dyDescent="0.25">
      <c r="A53" s="83">
        <v>75</v>
      </c>
      <c r="B53" s="84">
        <v>11.3</v>
      </c>
      <c r="C53" s="84"/>
      <c r="D53" s="84"/>
      <c r="E53" s="84"/>
      <c r="F53" s="84"/>
      <c r="G53" s="84"/>
      <c r="H53" s="84"/>
      <c r="I53" s="84"/>
      <c r="J53" s="84"/>
      <c r="K53" s="84"/>
      <c r="L53" s="84"/>
      <c r="M53" s="84"/>
    </row>
  </sheetData>
  <sheetProtection algorithmName="SHA-512" hashValue="E5tvGvZskDObj47bknNMgMwvVBEPNV5thgdfEvPdyOCDwMv4a6xtp/Z4medt/5XC0jSWIi/9SRKkz1wus50o8w==" saltValue="m4WnGncG5A2AOPx0MPGafQ==" spinCount="100000" sheet="1" objects="1" scenarios="1"/>
  <conditionalFormatting sqref="A6:A21">
    <cfRule type="expression" dxfId="325" priority="25" stopIfTrue="1">
      <formula>MOD(ROW(),2)=0</formula>
    </cfRule>
    <cfRule type="expression" dxfId="324" priority="26" stopIfTrue="1">
      <formula>MOD(ROW(),2)&lt;&gt;0</formula>
    </cfRule>
  </conditionalFormatting>
  <conditionalFormatting sqref="A26:A53">
    <cfRule type="expression" dxfId="323" priority="7" stopIfTrue="1">
      <formula>MOD(ROW(),2)=0</formula>
    </cfRule>
    <cfRule type="expression" dxfId="322" priority="8" stopIfTrue="1">
      <formula>MOD(ROW(),2)&lt;&gt;0</formula>
    </cfRule>
  </conditionalFormatting>
  <conditionalFormatting sqref="B17:B21">
    <cfRule type="expression" dxfId="321" priority="17" stopIfTrue="1">
      <formula>MOD(ROW(),2)=0</formula>
    </cfRule>
    <cfRule type="expression" dxfId="320" priority="18" stopIfTrue="1">
      <formula>MOD(ROW(),2)&lt;&gt;0</formula>
    </cfRule>
  </conditionalFormatting>
  <conditionalFormatting sqref="B6:M21">
    <cfRule type="expression" dxfId="319" priority="35" stopIfTrue="1">
      <formula>MOD(ROW(),2)=0</formula>
    </cfRule>
    <cfRule type="expression" dxfId="318" priority="36" stopIfTrue="1">
      <formula>MOD(ROW(),2)&lt;&gt;0</formula>
    </cfRule>
  </conditionalFormatting>
  <conditionalFormatting sqref="B26:M53">
    <cfRule type="expression" dxfId="317" priority="9" stopIfTrue="1">
      <formula>MOD(ROW(),2)=0</formula>
    </cfRule>
    <cfRule type="expression" dxfId="316" priority="10" stopIfTrue="1">
      <formula>MOD(ROW(),2)&lt;&gt;0</formula>
    </cfRule>
  </conditionalFormatting>
  <conditionalFormatting sqref="C6:M21">
    <cfRule type="expression" dxfId="315" priority="1" stopIfTrue="1">
      <formula>MOD(ROW(),2)=0</formula>
    </cfRule>
    <cfRule type="expression" dxfId="3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8237-7313-4A2F-A80B-F3543B2EDEF4}">
  <sheetPr codeName="Sheet121"/>
  <dimension ref="A1:M27"/>
  <sheetViews>
    <sheetView showGridLines="0" zoomScale="85" zoomScaleNormal="85" workbookViewId="0">
      <selection activeCell="A4" sqref="A4"/>
    </sheetView>
  </sheetViews>
  <sheetFormatPr defaultColWidth="10" defaultRowHeight="13.2" x14ac:dyDescent="0.25"/>
  <cols>
    <col min="1" max="1" width="34" style="27" customWidth="1"/>
    <col min="2" max="2" width="27.44140625" style="27" customWidth="1"/>
    <col min="3" max="3" width="10.21875" style="27" customWidth="1"/>
    <col min="4" max="4" width="10" style="27" customWidth="1"/>
    <col min="5" max="16384" width="10" style="27"/>
  </cols>
  <sheetData>
    <row r="1" spans="1:13" ht="21" x14ac:dyDescent="0.4">
      <c r="A1" s="40" t="s">
        <v>227</v>
      </c>
      <c r="B1" s="41"/>
      <c r="C1" s="41"/>
      <c r="D1" s="41"/>
      <c r="E1" s="41"/>
      <c r="F1" s="41"/>
      <c r="G1" s="41"/>
      <c r="H1" s="41"/>
      <c r="I1" s="41"/>
    </row>
    <row r="2" spans="1:13" ht="15.6" x14ac:dyDescent="0.3">
      <c r="A2" s="42" t="s">
        <v>228</v>
      </c>
      <c r="B2" s="43"/>
      <c r="C2" s="43"/>
      <c r="D2" s="43"/>
      <c r="E2" s="43"/>
      <c r="F2" s="43"/>
      <c r="G2" s="43"/>
      <c r="H2" s="43"/>
      <c r="I2" s="43"/>
    </row>
    <row r="3" spans="1:13" ht="15.6" x14ac:dyDescent="0.3">
      <c r="A3" s="44" t="str">
        <f>TABLE_FACTOR_TYPE_1&amp;" - x-"&amp;TABLE_SERIES_NUMBER_1</f>
        <v>Triv Comm - x-506</v>
      </c>
      <c r="B3" s="43"/>
      <c r="C3" s="43"/>
      <c r="D3" s="43"/>
      <c r="E3" s="43"/>
      <c r="F3" s="43"/>
      <c r="G3" s="43"/>
      <c r="H3" s="43"/>
      <c r="I3" s="43"/>
    </row>
    <row r="4" spans="1:13" x14ac:dyDescent="0.25">
      <c r="A4" s="45"/>
    </row>
    <row r="6" spans="1:13" x14ac:dyDescent="0.25">
      <c r="A6" s="77" t="s">
        <v>558</v>
      </c>
      <c r="B6" s="152" t="s">
        <v>559</v>
      </c>
      <c r="C6" s="78"/>
      <c r="D6" s="78"/>
      <c r="E6" s="78"/>
      <c r="F6" s="78"/>
      <c r="G6" s="78"/>
      <c r="H6" s="144"/>
      <c r="I6" s="144"/>
      <c r="J6" s="144"/>
      <c r="K6" s="144"/>
      <c r="L6" s="144"/>
      <c r="M6" s="144"/>
    </row>
    <row r="7" spans="1:13" x14ac:dyDescent="0.25">
      <c r="A7" s="79" t="s">
        <v>305</v>
      </c>
      <c r="B7" s="152" t="s">
        <v>319</v>
      </c>
      <c r="C7" s="80"/>
      <c r="D7" s="80"/>
      <c r="E7" s="80"/>
      <c r="F7" s="80"/>
      <c r="G7" s="80"/>
      <c r="H7" s="145"/>
      <c r="I7" s="145"/>
      <c r="J7" s="145"/>
      <c r="K7" s="145"/>
      <c r="L7" s="145"/>
      <c r="M7" s="145"/>
    </row>
    <row r="8" spans="1:13" x14ac:dyDescent="0.25">
      <c r="A8" s="79" t="s">
        <v>306</v>
      </c>
      <c r="B8" s="152" t="s">
        <v>477</v>
      </c>
      <c r="C8" s="80"/>
      <c r="D8" s="80"/>
      <c r="E8" s="80"/>
      <c r="F8" s="80"/>
      <c r="G8" s="80"/>
      <c r="H8" s="145"/>
      <c r="I8" s="145"/>
      <c r="J8" s="145"/>
      <c r="K8" s="145"/>
      <c r="L8" s="145"/>
      <c r="M8" s="145"/>
    </row>
    <row r="9" spans="1:13" x14ac:dyDescent="0.25">
      <c r="A9" s="79" t="s">
        <v>307</v>
      </c>
      <c r="B9" s="152" t="s">
        <v>461</v>
      </c>
      <c r="C9" s="80"/>
      <c r="D9" s="80"/>
      <c r="E9" s="80"/>
      <c r="F9" s="80"/>
      <c r="G9" s="80"/>
      <c r="H9" s="145"/>
      <c r="I9" s="145"/>
      <c r="J9" s="145"/>
      <c r="K9" s="145"/>
      <c r="L9" s="145"/>
      <c r="M9" s="145"/>
    </row>
    <row r="10" spans="1:13" x14ac:dyDescent="0.25">
      <c r="A10" s="79" t="s">
        <v>233</v>
      </c>
      <c r="B10" s="152" t="s">
        <v>478</v>
      </c>
      <c r="C10" s="80"/>
      <c r="D10" s="80"/>
      <c r="E10" s="80"/>
      <c r="F10" s="80"/>
      <c r="G10" s="80"/>
      <c r="H10" s="145"/>
      <c r="I10" s="145"/>
      <c r="J10" s="145"/>
      <c r="K10" s="145"/>
      <c r="L10" s="145"/>
      <c r="M10" s="145"/>
    </row>
    <row r="11" spans="1:13" x14ac:dyDescent="0.25">
      <c r="A11" s="79" t="s">
        <v>308</v>
      </c>
      <c r="B11" s="152" t="s">
        <v>404</v>
      </c>
      <c r="C11" s="80"/>
      <c r="D11" s="80"/>
      <c r="E11" s="80"/>
      <c r="F11" s="80"/>
      <c r="G11" s="80"/>
      <c r="H11" s="145"/>
      <c r="I11" s="145"/>
      <c r="J11" s="145"/>
      <c r="K11" s="145"/>
      <c r="L11" s="145"/>
      <c r="M11" s="145"/>
    </row>
    <row r="12" spans="1:13" ht="12.75" customHeight="1" x14ac:dyDescent="0.25">
      <c r="A12" s="79" t="s">
        <v>309</v>
      </c>
      <c r="B12" s="152" t="s">
        <v>479</v>
      </c>
      <c r="C12" s="80"/>
      <c r="D12" s="80"/>
      <c r="E12" s="80"/>
      <c r="F12" s="80"/>
      <c r="G12" s="80"/>
      <c r="H12" s="145"/>
      <c r="I12" s="145"/>
      <c r="J12" s="145"/>
      <c r="K12" s="145"/>
      <c r="L12" s="145"/>
      <c r="M12" s="145"/>
    </row>
    <row r="13" spans="1:13" x14ac:dyDescent="0.25">
      <c r="A13" s="79" t="s">
        <v>566</v>
      </c>
      <c r="B13" s="152">
        <v>0</v>
      </c>
      <c r="C13" s="80"/>
      <c r="D13" s="80"/>
      <c r="E13" s="80"/>
      <c r="F13" s="80"/>
      <c r="G13" s="80"/>
    </row>
    <row r="14" spans="1:13" x14ac:dyDescent="0.25">
      <c r="A14" s="79" t="s">
        <v>311</v>
      </c>
      <c r="B14" s="152">
        <v>506</v>
      </c>
      <c r="C14" s="80"/>
      <c r="D14" s="80"/>
      <c r="E14" s="80"/>
      <c r="F14" s="80"/>
      <c r="G14" s="80"/>
    </row>
    <row r="15" spans="1:13" x14ac:dyDescent="0.25">
      <c r="A15" s="79" t="s">
        <v>569</v>
      </c>
      <c r="B15" s="152" t="s">
        <v>480</v>
      </c>
      <c r="C15" s="80"/>
      <c r="D15" s="80"/>
      <c r="E15" s="80"/>
      <c r="F15" s="80"/>
      <c r="G15" s="80"/>
      <c r="H15" s="145"/>
      <c r="I15" s="145"/>
      <c r="J15" s="145"/>
      <c r="K15" s="145"/>
      <c r="L15" s="145"/>
      <c r="M15" s="145"/>
    </row>
    <row r="16" spans="1:13" x14ac:dyDescent="0.25">
      <c r="A16" s="79" t="s">
        <v>313</v>
      </c>
      <c r="B16" s="152" t="s">
        <v>344</v>
      </c>
      <c r="C16" s="80"/>
      <c r="D16" s="80"/>
      <c r="E16" s="80"/>
      <c r="F16" s="80"/>
      <c r="G16" s="80"/>
      <c r="H16" s="145"/>
      <c r="I16" s="145"/>
      <c r="J16" s="145"/>
      <c r="K16" s="145"/>
      <c r="L16" s="145"/>
      <c r="M16" s="145"/>
    </row>
    <row r="17" spans="1:13" ht="55.5" customHeight="1" x14ac:dyDescent="0.25">
      <c r="A17" s="79" t="s">
        <v>639</v>
      </c>
      <c r="B17" s="152"/>
      <c r="C17" s="80"/>
      <c r="D17" s="80"/>
      <c r="E17" s="80"/>
      <c r="F17" s="80"/>
      <c r="G17" s="80"/>
      <c r="H17" s="145"/>
      <c r="I17" s="145"/>
      <c r="J17" s="145"/>
      <c r="K17" s="145"/>
      <c r="L17" s="145"/>
      <c r="M17" s="145"/>
    </row>
    <row r="18" spans="1:13" x14ac:dyDescent="0.25">
      <c r="A18" s="79" t="s">
        <v>315</v>
      </c>
      <c r="B18" s="154">
        <v>45135</v>
      </c>
      <c r="C18" s="81"/>
      <c r="D18" s="81"/>
      <c r="E18" s="81"/>
      <c r="F18" s="81"/>
      <c r="G18" s="81"/>
      <c r="H18" s="146"/>
      <c r="I18" s="146"/>
      <c r="J18" s="146"/>
      <c r="K18" s="146"/>
      <c r="L18" s="146"/>
      <c r="M18" s="146"/>
    </row>
    <row r="19" spans="1:13" x14ac:dyDescent="0.25">
      <c r="A19" s="79" t="s">
        <v>316</v>
      </c>
      <c r="B19" s="154">
        <v>45135</v>
      </c>
      <c r="C19" s="81"/>
      <c r="D19" s="81"/>
      <c r="E19" s="81"/>
      <c r="F19" s="81"/>
      <c r="G19" s="81"/>
      <c r="H19" s="147"/>
      <c r="I19" s="147"/>
      <c r="J19" s="147"/>
      <c r="K19" s="147"/>
      <c r="L19" s="147"/>
      <c r="M19" s="147"/>
    </row>
    <row r="20" spans="1:13" x14ac:dyDescent="0.25">
      <c r="A20" s="79" t="s">
        <v>317</v>
      </c>
      <c r="B20" s="152" t="s">
        <v>326</v>
      </c>
      <c r="C20" s="80"/>
      <c r="D20" s="80"/>
      <c r="E20" s="80"/>
      <c r="F20" s="80"/>
      <c r="G20" s="80"/>
      <c r="H20" s="145"/>
      <c r="I20" s="145"/>
      <c r="J20" s="145"/>
      <c r="K20" s="145"/>
      <c r="L20" s="145"/>
      <c r="M20" s="145"/>
    </row>
    <row r="21" spans="1:13" x14ac:dyDescent="0.25">
      <c r="A21" s="79" t="s">
        <v>318</v>
      </c>
      <c r="B21" s="152" t="s">
        <v>327</v>
      </c>
      <c r="C21" s="80"/>
      <c r="D21" s="80"/>
      <c r="E21" s="80"/>
      <c r="F21" s="80"/>
      <c r="G21" s="80"/>
    </row>
    <row r="23" spans="1:13" x14ac:dyDescent="0.25">
      <c r="B23" s="96" t="str">
        <f>HYPERLINK("#'Factor List'!A1","Back to Factor List")</f>
        <v>Back to Factor List</v>
      </c>
    </row>
    <row r="24" spans="1:13" x14ac:dyDescent="0.25">
      <c r="B24" s="96" t="s">
        <v>240</v>
      </c>
    </row>
    <row r="26" spans="1:13" x14ac:dyDescent="0.25">
      <c r="A26" s="82" t="s">
        <v>678</v>
      </c>
      <c r="B26" s="82" t="s">
        <v>679</v>
      </c>
    </row>
    <row r="27" spans="1:13" x14ac:dyDescent="0.25">
      <c r="A27" s="91" t="s">
        <v>680</v>
      </c>
      <c r="B27" s="91">
        <v>11</v>
      </c>
    </row>
  </sheetData>
  <sheetProtection algorithmName="SHA-512" hashValue="tq8Y9mrWgetCHymWSwam9xaO4b4DDaCOPS/uOhzAd167MD7gI3NOYSNOWTnLjn/001J0V4pur6/QqedSCHo12g==" saltValue="v+rbRT+k5Plyl6r64CXuiw==" spinCount="100000" sheet="1" objects="1" scenarios="1"/>
  <conditionalFormatting sqref="A6:A21">
    <cfRule type="expression" dxfId="313" priority="17" stopIfTrue="1">
      <formula>MOD(ROW(),2)=0</formula>
    </cfRule>
    <cfRule type="expression" dxfId="312" priority="18" stopIfTrue="1">
      <formula>MOD(ROW(),2)&lt;&gt;0</formula>
    </cfRule>
  </conditionalFormatting>
  <conditionalFormatting sqref="A26:A27">
    <cfRule type="expression" dxfId="311" priority="1" stopIfTrue="1">
      <formula>MOD(ROW(),2)=0</formula>
    </cfRule>
    <cfRule type="expression" dxfId="310" priority="25" stopIfTrue="1">
      <formula>MOD(ROW(),2)&lt;&gt;0</formula>
    </cfRule>
  </conditionalFormatting>
  <conditionalFormatting sqref="B6:B21">
    <cfRule type="expression" dxfId="309" priority="23" stopIfTrue="1">
      <formula>MOD(ROW(),2)=0</formula>
    </cfRule>
    <cfRule type="expression" dxfId="308" priority="24" stopIfTrue="1">
      <formula>MOD(ROW(),2)&lt;&gt;0</formula>
    </cfRule>
  </conditionalFormatting>
  <conditionalFormatting sqref="B8:B19">
    <cfRule type="expression" dxfId="307" priority="3" stopIfTrue="1">
      <formula>MOD(ROW(),2)=0</formula>
    </cfRule>
    <cfRule type="expression" dxfId="306" priority="4" stopIfTrue="1">
      <formula>MOD(ROW(),2)&lt;&gt;0</formula>
    </cfRule>
  </conditionalFormatting>
  <conditionalFormatting sqref="B26:B27">
    <cfRule type="expression" dxfId="305" priority="2" stopIfTrue="1">
      <formula>MOD(ROW(),2)&lt;&gt;0</formula>
    </cfRule>
    <cfRule type="expression" dxfId="304" priority="26" stopIfTrue="1">
      <formula>MOD(ROW(),2)=0</formula>
    </cfRule>
  </conditionalFormatting>
  <conditionalFormatting sqref="B20:G21">
    <cfRule type="expression" dxfId="303" priority="13" stopIfTrue="1">
      <formula>MOD(ROW(),2)=0</formula>
    </cfRule>
    <cfRule type="expression" dxfId="302" priority="14" stopIfTrue="1">
      <formula>MOD(ROW(),2)&lt;&gt;0</formula>
    </cfRule>
  </conditionalFormatting>
  <conditionalFormatting sqref="C6:G19">
    <cfRule type="expression" dxfId="301" priority="9" stopIfTrue="1">
      <formula>MOD(ROW(),2)=0</formula>
    </cfRule>
    <cfRule type="expression" dxfId="300" priority="10" stopIfTrue="1">
      <formula>MOD(ROW(),2)&lt;&gt;0</formula>
    </cfRule>
  </conditionalFormatting>
  <hyperlinks>
    <hyperlink ref="B24" location="Assumptions!A1" display="Assumptions" xr:uid="{813F93B2-ACB5-47A4-801F-C22CAE42B8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68"/>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30"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x-603</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1992</v>
      </c>
      <c r="C8" s="152"/>
    </row>
    <row r="9" spans="1:9" x14ac:dyDescent="0.25">
      <c r="A9" s="79" t="s">
        <v>307</v>
      </c>
      <c r="B9" s="152" t="s">
        <v>481</v>
      </c>
      <c r="C9" s="152"/>
    </row>
    <row r="10" spans="1:9" x14ac:dyDescent="0.25">
      <c r="A10" s="79" t="s">
        <v>233</v>
      </c>
      <c r="B10" s="152" t="s">
        <v>482</v>
      </c>
      <c r="C10" s="152"/>
    </row>
    <row r="11" spans="1:9" x14ac:dyDescent="0.25">
      <c r="A11" s="79" t="s">
        <v>308</v>
      </c>
      <c r="B11" s="152" t="s">
        <v>483</v>
      </c>
      <c r="C11" s="152"/>
    </row>
    <row r="12" spans="1:9" x14ac:dyDescent="0.25">
      <c r="A12" s="79" t="s">
        <v>309</v>
      </c>
      <c r="B12" s="152" t="s">
        <v>484</v>
      </c>
      <c r="C12" s="152"/>
    </row>
    <row r="13" spans="1:9" x14ac:dyDescent="0.25">
      <c r="A13" s="79" t="s">
        <v>566</v>
      </c>
      <c r="B13" s="152">
        <v>2</v>
      </c>
      <c r="C13" s="152"/>
    </row>
    <row r="14" spans="1:9" x14ac:dyDescent="0.25">
      <c r="A14" s="79" t="s">
        <v>311</v>
      </c>
      <c r="B14" s="152">
        <v>603</v>
      </c>
      <c r="C14" s="152"/>
    </row>
    <row r="15" spans="1:9" x14ac:dyDescent="0.25">
      <c r="A15" s="79" t="s">
        <v>569</v>
      </c>
      <c r="B15" s="152" t="s">
        <v>485</v>
      </c>
      <c r="C15" s="152"/>
    </row>
    <row r="16" spans="1:9" x14ac:dyDescent="0.25">
      <c r="A16" s="79" t="s">
        <v>313</v>
      </c>
      <c r="B16" s="152" t="s">
        <v>325</v>
      </c>
      <c r="C16" s="152"/>
    </row>
    <row r="17" spans="1:3" ht="96.6" customHeight="1" x14ac:dyDescent="0.25">
      <c r="A17" s="79" t="s">
        <v>639</v>
      </c>
      <c r="B17" s="152"/>
      <c r="C17" s="152"/>
    </row>
    <row r="18" spans="1:3" x14ac:dyDescent="0.25">
      <c r="A18" s="79" t="s">
        <v>315</v>
      </c>
      <c r="B18" s="154">
        <v>45135</v>
      </c>
      <c r="C18" s="152"/>
    </row>
    <row r="19" spans="1:3" x14ac:dyDescent="0.25">
      <c r="A19" s="79" t="s">
        <v>316</v>
      </c>
      <c r="B19" s="154">
        <v>45135</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39.6" x14ac:dyDescent="0.25">
      <c r="A26" s="92" t="s">
        <v>640</v>
      </c>
      <c r="B26" s="92" t="s">
        <v>681</v>
      </c>
      <c r="C26" s="92" t="s">
        <v>682</v>
      </c>
    </row>
    <row r="27" spans="1:3" x14ac:dyDescent="0.25">
      <c r="A27" s="93">
        <v>18</v>
      </c>
      <c r="B27" s="94">
        <v>10.87</v>
      </c>
      <c r="C27" s="94">
        <v>10.87</v>
      </c>
    </row>
    <row r="28" spans="1:3" x14ac:dyDescent="0.25">
      <c r="A28" s="93">
        <v>19</v>
      </c>
      <c r="B28" s="94">
        <v>11.02</v>
      </c>
      <c r="C28" s="94">
        <v>11.02</v>
      </c>
    </row>
    <row r="29" spans="1:3" x14ac:dyDescent="0.25">
      <c r="A29" s="93">
        <v>20</v>
      </c>
      <c r="B29" s="94">
        <v>11.18</v>
      </c>
      <c r="C29" s="94">
        <v>11.18</v>
      </c>
    </row>
    <row r="30" spans="1:3" x14ac:dyDescent="0.25">
      <c r="A30" s="93">
        <v>21</v>
      </c>
      <c r="B30" s="94">
        <v>11.34</v>
      </c>
      <c r="C30" s="94">
        <v>11.34</v>
      </c>
    </row>
    <row r="31" spans="1:3" x14ac:dyDescent="0.25">
      <c r="A31" s="93">
        <v>22</v>
      </c>
      <c r="B31" s="94">
        <v>11.51</v>
      </c>
      <c r="C31" s="94">
        <v>11.51</v>
      </c>
    </row>
    <row r="32" spans="1:3" x14ac:dyDescent="0.25">
      <c r="A32" s="93">
        <v>23</v>
      </c>
      <c r="B32" s="94">
        <v>11.67</v>
      </c>
      <c r="C32" s="94">
        <v>11.67</v>
      </c>
    </row>
    <row r="33" spans="1:3" x14ac:dyDescent="0.25">
      <c r="A33" s="93">
        <v>24</v>
      </c>
      <c r="B33" s="94">
        <v>11.84</v>
      </c>
      <c r="C33" s="94">
        <v>11.84</v>
      </c>
    </row>
    <row r="34" spans="1:3" x14ac:dyDescent="0.25">
      <c r="A34" s="93">
        <v>25</v>
      </c>
      <c r="B34" s="94">
        <v>12.01</v>
      </c>
      <c r="C34" s="94">
        <v>12.01</v>
      </c>
    </row>
    <row r="35" spans="1:3" x14ac:dyDescent="0.25">
      <c r="A35" s="93">
        <v>26</v>
      </c>
      <c r="B35" s="94">
        <v>12.19</v>
      </c>
      <c r="C35" s="94">
        <v>12.19</v>
      </c>
    </row>
    <row r="36" spans="1:3" x14ac:dyDescent="0.25">
      <c r="A36" s="93">
        <v>27</v>
      </c>
      <c r="B36" s="94">
        <v>12.36</v>
      </c>
      <c r="C36" s="94">
        <v>12.36</v>
      </c>
    </row>
    <row r="37" spans="1:3" x14ac:dyDescent="0.25">
      <c r="A37" s="93">
        <v>28</v>
      </c>
      <c r="B37" s="94">
        <v>12.54</v>
      </c>
      <c r="C37" s="94">
        <v>12.54</v>
      </c>
    </row>
    <row r="38" spans="1:3" x14ac:dyDescent="0.25">
      <c r="A38" s="93">
        <v>29</v>
      </c>
      <c r="B38" s="94">
        <v>12.73</v>
      </c>
      <c r="C38" s="94">
        <v>12.73</v>
      </c>
    </row>
    <row r="39" spans="1:3" x14ac:dyDescent="0.25">
      <c r="A39" s="93">
        <v>30</v>
      </c>
      <c r="B39" s="94">
        <v>12.91</v>
      </c>
      <c r="C39" s="94">
        <v>12.91</v>
      </c>
    </row>
    <row r="40" spans="1:3" x14ac:dyDescent="0.25">
      <c r="A40" s="93">
        <v>31</v>
      </c>
      <c r="B40" s="94">
        <v>13.1</v>
      </c>
      <c r="C40" s="94">
        <v>13.1</v>
      </c>
    </row>
    <row r="41" spans="1:3" x14ac:dyDescent="0.25">
      <c r="A41" s="93">
        <v>32</v>
      </c>
      <c r="B41" s="94">
        <v>13.3</v>
      </c>
      <c r="C41" s="94">
        <v>13.3</v>
      </c>
    </row>
    <row r="42" spans="1:3" x14ac:dyDescent="0.25">
      <c r="A42" s="93">
        <v>33</v>
      </c>
      <c r="B42" s="94">
        <v>13.49</v>
      </c>
      <c r="C42" s="94">
        <v>13.49</v>
      </c>
    </row>
    <row r="43" spans="1:3" x14ac:dyDescent="0.25">
      <c r="A43" s="93">
        <v>34</v>
      </c>
      <c r="B43" s="94">
        <v>13.69</v>
      </c>
      <c r="C43" s="94">
        <v>13.69</v>
      </c>
    </row>
    <row r="44" spans="1:3" x14ac:dyDescent="0.25">
      <c r="A44" s="93">
        <v>35</v>
      </c>
      <c r="B44" s="94">
        <v>13.89</v>
      </c>
      <c r="C44" s="94">
        <v>13.89</v>
      </c>
    </row>
    <row r="45" spans="1:3" x14ac:dyDescent="0.25">
      <c r="A45" s="93">
        <v>36</v>
      </c>
      <c r="B45" s="94">
        <v>14.1</v>
      </c>
      <c r="C45" s="94">
        <v>14.1</v>
      </c>
    </row>
    <row r="46" spans="1:3" x14ac:dyDescent="0.25">
      <c r="A46" s="93">
        <v>37</v>
      </c>
      <c r="B46" s="94">
        <v>14.31</v>
      </c>
      <c r="C46" s="94">
        <v>14.31</v>
      </c>
    </row>
    <row r="47" spans="1:3" x14ac:dyDescent="0.25">
      <c r="A47" s="93">
        <v>38</v>
      </c>
      <c r="B47" s="94">
        <v>14.53</v>
      </c>
      <c r="C47" s="94">
        <v>14.53</v>
      </c>
    </row>
    <row r="48" spans="1:3" x14ac:dyDescent="0.25">
      <c r="A48" s="93">
        <v>39</v>
      </c>
      <c r="B48" s="94">
        <v>14.75</v>
      </c>
      <c r="C48" s="94">
        <v>14.75</v>
      </c>
    </row>
    <row r="49" spans="1:3" x14ac:dyDescent="0.25">
      <c r="A49" s="93">
        <v>40</v>
      </c>
      <c r="B49" s="94">
        <v>14.97</v>
      </c>
      <c r="C49" s="94">
        <v>14.97</v>
      </c>
    </row>
    <row r="50" spans="1:3" x14ac:dyDescent="0.25">
      <c r="A50" s="93">
        <v>41</v>
      </c>
      <c r="B50" s="94">
        <v>15.2</v>
      </c>
      <c r="C50" s="94">
        <v>15.2</v>
      </c>
    </row>
    <row r="51" spans="1:3" x14ac:dyDescent="0.25">
      <c r="A51" s="93">
        <v>42</v>
      </c>
      <c r="B51" s="94">
        <v>15.43</v>
      </c>
      <c r="C51" s="94">
        <v>15.43</v>
      </c>
    </row>
    <row r="52" spans="1:3" x14ac:dyDescent="0.25">
      <c r="A52" s="93">
        <v>43</v>
      </c>
      <c r="B52" s="94">
        <v>15.67</v>
      </c>
      <c r="C52" s="94">
        <v>15.67</v>
      </c>
    </row>
    <row r="53" spans="1:3" x14ac:dyDescent="0.25">
      <c r="A53" s="93">
        <v>44</v>
      </c>
      <c r="B53" s="94">
        <v>15.91</v>
      </c>
      <c r="C53" s="94">
        <v>15.91</v>
      </c>
    </row>
    <row r="54" spans="1:3" x14ac:dyDescent="0.25">
      <c r="A54" s="93">
        <v>45</v>
      </c>
      <c r="B54" s="94">
        <v>16.16</v>
      </c>
      <c r="C54" s="94">
        <v>16.16</v>
      </c>
    </row>
    <row r="55" spans="1:3" x14ac:dyDescent="0.25">
      <c r="A55" s="93">
        <v>46</v>
      </c>
      <c r="B55" s="94">
        <v>16.420000000000002</v>
      </c>
      <c r="C55" s="94">
        <v>16.420000000000002</v>
      </c>
    </row>
    <row r="56" spans="1:3" x14ac:dyDescent="0.25">
      <c r="A56" s="93">
        <v>47</v>
      </c>
      <c r="B56" s="94">
        <v>16.68</v>
      </c>
      <c r="C56" s="94">
        <v>16.68</v>
      </c>
    </row>
    <row r="57" spans="1:3" x14ac:dyDescent="0.25">
      <c r="A57" s="93">
        <v>48</v>
      </c>
      <c r="B57" s="94">
        <v>16.940000000000001</v>
      </c>
      <c r="C57" s="94">
        <v>16.940000000000001</v>
      </c>
    </row>
    <row r="58" spans="1:3" x14ac:dyDescent="0.25">
      <c r="A58" s="93">
        <v>49</v>
      </c>
      <c r="B58" s="94">
        <v>17.22</v>
      </c>
      <c r="C58" s="94">
        <v>17.22</v>
      </c>
    </row>
    <row r="59" spans="1:3" x14ac:dyDescent="0.25">
      <c r="A59" s="93">
        <v>50</v>
      </c>
      <c r="B59" s="94">
        <v>17.5</v>
      </c>
      <c r="C59" s="94">
        <v>17.5</v>
      </c>
    </row>
    <row r="60" spans="1:3" x14ac:dyDescent="0.25">
      <c r="A60" s="93">
        <v>51</v>
      </c>
      <c r="B60" s="94">
        <v>17.79</v>
      </c>
      <c r="C60" s="94">
        <v>17.79</v>
      </c>
    </row>
    <row r="61" spans="1:3" x14ac:dyDescent="0.25">
      <c r="A61" s="93">
        <v>52</v>
      </c>
      <c r="B61" s="94">
        <v>18.09</v>
      </c>
      <c r="C61" s="94">
        <v>18.09</v>
      </c>
    </row>
    <row r="62" spans="1:3" x14ac:dyDescent="0.25">
      <c r="A62" s="93">
        <v>53</v>
      </c>
      <c r="B62" s="94">
        <v>18.39</v>
      </c>
      <c r="C62" s="94">
        <v>18.39</v>
      </c>
    </row>
    <row r="63" spans="1:3" x14ac:dyDescent="0.25">
      <c r="A63" s="93">
        <v>54</v>
      </c>
      <c r="B63" s="94">
        <v>18.71</v>
      </c>
      <c r="C63" s="94">
        <v>18.71</v>
      </c>
    </row>
    <row r="64" spans="1:3" x14ac:dyDescent="0.25">
      <c r="A64" s="93">
        <v>55</v>
      </c>
      <c r="B64" s="94">
        <v>19.03</v>
      </c>
      <c r="C64" s="94">
        <v>19.03</v>
      </c>
    </row>
    <row r="65" spans="1:3" x14ac:dyDescent="0.25">
      <c r="A65" s="93">
        <v>56</v>
      </c>
      <c r="B65" s="94">
        <v>19.36</v>
      </c>
      <c r="C65" s="94">
        <v>19.36</v>
      </c>
    </row>
    <row r="66" spans="1:3" x14ac:dyDescent="0.25">
      <c r="A66" s="93">
        <v>57</v>
      </c>
      <c r="B66" s="94">
        <v>19.71</v>
      </c>
      <c r="C66" s="94">
        <v>19.71</v>
      </c>
    </row>
    <row r="67" spans="1:3" x14ac:dyDescent="0.25">
      <c r="A67" s="93">
        <v>58</v>
      </c>
      <c r="B67" s="94">
        <v>20.07</v>
      </c>
      <c r="C67" s="94">
        <v>20.07</v>
      </c>
    </row>
    <row r="68" spans="1:3" x14ac:dyDescent="0.25">
      <c r="A68" s="93">
        <v>59</v>
      </c>
      <c r="B68" s="94">
        <v>20.440000000000001</v>
      </c>
      <c r="C68" s="94">
        <v>20.440000000000001</v>
      </c>
    </row>
  </sheetData>
  <sheetProtection algorithmName="SHA-512" hashValue="6ujOUEcEVnw9nX4LPfY+cYJf5qkOWVuGg4qqA7MyK6fW2PBEAnV7hcLMgHKCL7ne88xmEVnQt2NNUPwHinXJbA==" saltValue="Nh6J8GQEedK1PXgFpw9qrA==" spinCount="100000" sheet="1" objects="1" scenarios="1"/>
  <conditionalFormatting sqref="A6:A21">
    <cfRule type="expression" dxfId="299" priority="13" stopIfTrue="1">
      <formula>MOD(ROW(),2)=0</formula>
    </cfRule>
    <cfRule type="expression" dxfId="298" priority="14" stopIfTrue="1">
      <formula>MOD(ROW(),2)&lt;&gt;0</formula>
    </cfRule>
  </conditionalFormatting>
  <conditionalFormatting sqref="A26:A68">
    <cfRule type="expression" dxfId="297" priority="3" stopIfTrue="1">
      <formula>MOD(ROW(),2)=0</formula>
    </cfRule>
    <cfRule type="expression" dxfId="296" priority="4" stopIfTrue="1">
      <formula>MOD(ROW(),2)&lt;&gt;0</formula>
    </cfRule>
  </conditionalFormatting>
  <conditionalFormatting sqref="B19">
    <cfRule type="expression" dxfId="295" priority="1" stopIfTrue="1">
      <formula>MOD(ROW(),2)=0</formula>
    </cfRule>
    <cfRule type="expression" dxfId="294" priority="2" stopIfTrue="1">
      <formula>MOD(ROW(),2)&lt;&gt;0</formula>
    </cfRule>
  </conditionalFormatting>
  <conditionalFormatting sqref="B6:C21">
    <cfRule type="expression" dxfId="293" priority="15" stopIfTrue="1">
      <formula>MOD(ROW(),2)=0</formula>
    </cfRule>
    <cfRule type="expression" dxfId="292" priority="16" stopIfTrue="1">
      <formula>MOD(ROW(),2)&lt;&gt;0</formula>
    </cfRule>
  </conditionalFormatting>
  <conditionalFormatting sqref="B26:C68">
    <cfRule type="expression" dxfId="291" priority="5" stopIfTrue="1">
      <formula>MOD(ROW(),2)=0</formula>
    </cfRule>
    <cfRule type="expression" dxfId="290"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x-604</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1992</v>
      </c>
      <c r="C8" s="152"/>
    </row>
    <row r="9" spans="1:9" x14ac:dyDescent="0.25">
      <c r="A9" s="79" t="s">
        <v>307</v>
      </c>
      <c r="B9" s="152" t="s">
        <v>481</v>
      </c>
      <c r="C9" s="152"/>
    </row>
    <row r="10" spans="1:9" ht="25.2" customHeight="1" x14ac:dyDescent="0.25">
      <c r="A10" s="79" t="s">
        <v>233</v>
      </c>
      <c r="B10" s="152" t="s">
        <v>486</v>
      </c>
      <c r="C10" s="152"/>
    </row>
    <row r="11" spans="1:9" x14ac:dyDescent="0.25">
      <c r="A11" s="79" t="s">
        <v>308</v>
      </c>
      <c r="B11" s="152" t="s">
        <v>483</v>
      </c>
      <c r="C11" s="152"/>
    </row>
    <row r="12" spans="1:9" ht="12.6" customHeight="1" x14ac:dyDescent="0.25">
      <c r="A12" s="79" t="s">
        <v>309</v>
      </c>
      <c r="B12" s="152" t="s">
        <v>484</v>
      </c>
      <c r="C12" s="152"/>
    </row>
    <row r="13" spans="1:9" ht="12.6" customHeight="1" x14ac:dyDescent="0.25">
      <c r="A13" s="79" t="s">
        <v>566</v>
      </c>
      <c r="B13" s="152">
        <v>2</v>
      </c>
      <c r="C13" s="152"/>
    </row>
    <row r="14" spans="1:9" ht="12.6" customHeight="1" x14ac:dyDescent="0.25">
      <c r="A14" s="79" t="s">
        <v>311</v>
      </c>
      <c r="B14" s="152">
        <v>604</v>
      </c>
      <c r="C14" s="152"/>
    </row>
    <row r="15" spans="1:9" x14ac:dyDescent="0.25">
      <c r="A15" s="79" t="s">
        <v>569</v>
      </c>
      <c r="B15" s="152" t="s">
        <v>487</v>
      </c>
      <c r="C15" s="152"/>
    </row>
    <row r="16" spans="1:9" ht="26.7" customHeight="1" x14ac:dyDescent="0.25">
      <c r="A16" s="79" t="s">
        <v>313</v>
      </c>
      <c r="B16" s="152" t="s">
        <v>330</v>
      </c>
      <c r="C16" s="152"/>
    </row>
    <row r="17" spans="1:3" ht="77.099999999999994" customHeight="1" x14ac:dyDescent="0.25">
      <c r="A17" s="79" t="s">
        <v>639</v>
      </c>
      <c r="B17" s="152"/>
      <c r="C17" s="152"/>
    </row>
    <row r="18" spans="1:3" x14ac:dyDescent="0.25">
      <c r="A18" s="79" t="s">
        <v>315</v>
      </c>
      <c r="B18" s="154">
        <v>45135</v>
      </c>
      <c r="C18" s="152"/>
    </row>
    <row r="19" spans="1:3" x14ac:dyDescent="0.25">
      <c r="A19" s="79" t="s">
        <v>316</v>
      </c>
      <c r="B19" s="154">
        <v>45135</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ht="53.7" customHeight="1" x14ac:dyDescent="0.25">
      <c r="A26" s="92" t="s">
        <v>640</v>
      </c>
      <c r="B26" s="92" t="s">
        <v>681</v>
      </c>
      <c r="C26" s="92" t="s">
        <v>682</v>
      </c>
    </row>
    <row r="27" spans="1:3" x14ac:dyDescent="0.25">
      <c r="A27" s="93">
        <v>60</v>
      </c>
      <c r="B27" s="94">
        <v>20.32</v>
      </c>
      <c r="C27" s="94">
        <v>20.32</v>
      </c>
    </row>
    <row r="28" spans="1:3" x14ac:dyDescent="0.25">
      <c r="A28" s="93">
        <v>61</v>
      </c>
      <c r="B28" s="94">
        <v>19.7</v>
      </c>
      <c r="C28" s="94">
        <v>19.7</v>
      </c>
    </row>
    <row r="29" spans="1:3" x14ac:dyDescent="0.25">
      <c r="A29" s="93">
        <v>62</v>
      </c>
      <c r="B29" s="94">
        <v>19.079999999999998</v>
      </c>
      <c r="C29" s="94">
        <v>19.079999999999998</v>
      </c>
    </row>
    <row r="30" spans="1:3" x14ac:dyDescent="0.25">
      <c r="A30" s="93">
        <v>63</v>
      </c>
      <c r="B30" s="94">
        <v>18.46</v>
      </c>
      <c r="C30" s="94">
        <v>18.46</v>
      </c>
    </row>
    <row r="31" spans="1:3" x14ac:dyDescent="0.25">
      <c r="A31" s="93">
        <v>64</v>
      </c>
      <c r="B31" s="94">
        <v>17.829999999999998</v>
      </c>
      <c r="C31" s="94">
        <v>17.829999999999998</v>
      </c>
    </row>
    <row r="32" spans="1:3" x14ac:dyDescent="0.25">
      <c r="A32" s="93">
        <v>65</v>
      </c>
      <c r="B32" s="94">
        <v>17.2</v>
      </c>
      <c r="C32" s="94">
        <v>17.2</v>
      </c>
    </row>
    <row r="33" spans="1:3" x14ac:dyDescent="0.25">
      <c r="A33" s="93">
        <v>66</v>
      </c>
      <c r="B33" s="94">
        <v>16.57</v>
      </c>
      <c r="C33" s="94">
        <v>16.57</v>
      </c>
    </row>
    <row r="34" spans="1:3" x14ac:dyDescent="0.25">
      <c r="A34" s="93">
        <v>67</v>
      </c>
      <c r="B34" s="94">
        <v>15.94</v>
      </c>
      <c r="C34" s="94">
        <v>15.94</v>
      </c>
    </row>
    <row r="35" spans="1:3" x14ac:dyDescent="0.25">
      <c r="A35" s="93">
        <v>68</v>
      </c>
      <c r="B35" s="94">
        <v>15.31</v>
      </c>
      <c r="C35" s="94">
        <v>15.31</v>
      </c>
    </row>
    <row r="36" spans="1:3" x14ac:dyDescent="0.25">
      <c r="A36" s="93">
        <v>69</v>
      </c>
      <c r="B36" s="94">
        <v>14.67</v>
      </c>
      <c r="C36" s="94">
        <v>14.67</v>
      </c>
    </row>
    <row r="37" spans="1:3" x14ac:dyDescent="0.25">
      <c r="A37" s="93">
        <v>70</v>
      </c>
      <c r="B37" s="94">
        <v>14.04</v>
      </c>
      <c r="C37" s="94">
        <v>14.04</v>
      </c>
    </row>
    <row r="38" spans="1:3" x14ac:dyDescent="0.25">
      <c r="A38" s="93">
        <v>71</v>
      </c>
      <c r="B38" s="94">
        <v>13.42</v>
      </c>
      <c r="C38" s="94">
        <v>13.42</v>
      </c>
    </row>
    <row r="39" spans="1:3" x14ac:dyDescent="0.25">
      <c r="A39" s="93">
        <v>72</v>
      </c>
      <c r="B39" s="94">
        <v>12.79</v>
      </c>
      <c r="C39" s="94">
        <v>12.79</v>
      </c>
    </row>
    <row r="40" spans="1:3" x14ac:dyDescent="0.25">
      <c r="A40" s="93">
        <v>73</v>
      </c>
      <c r="B40" s="94">
        <v>12.17</v>
      </c>
      <c r="C40" s="94">
        <v>12.17</v>
      </c>
    </row>
    <row r="41" spans="1:3" x14ac:dyDescent="0.25">
      <c r="A41" s="93">
        <v>74</v>
      </c>
      <c r="B41" s="94">
        <v>11.56</v>
      </c>
      <c r="C41" s="94">
        <v>11.56</v>
      </c>
    </row>
    <row r="44" spans="1:3" ht="39.6" customHeight="1" x14ac:dyDescent="0.25"/>
    <row r="46" spans="1:3" ht="27.6" customHeight="1" x14ac:dyDescent="0.25"/>
  </sheetData>
  <sheetProtection algorithmName="SHA-512" hashValue="kFb1F0xFTq415ALnm4VBORBqjVA6Zopu96wFcYltiQeLO6iFlbdngPtIZq3VyA8Ig0EU0CCNsRp6jB7Og5uxaA==" saltValue="ytf+tLbbOra7e90Qx8qdog==" spinCount="100000" sheet="1" objects="1" scenarios="1"/>
  <conditionalFormatting sqref="A6:A21">
    <cfRule type="expression" dxfId="289" priority="13" stopIfTrue="1">
      <formula>MOD(ROW(),2)=0</formula>
    </cfRule>
    <cfRule type="expression" dxfId="288" priority="14" stopIfTrue="1">
      <formula>MOD(ROW(),2)&lt;&gt;0</formula>
    </cfRule>
  </conditionalFormatting>
  <conditionalFormatting sqref="A26:A41">
    <cfRule type="expression" dxfId="287" priority="5" stopIfTrue="1">
      <formula>MOD(ROW(),2)=0</formula>
    </cfRule>
    <cfRule type="expression" dxfId="286" priority="6" stopIfTrue="1">
      <formula>MOD(ROW(),2)&lt;&gt;0</formula>
    </cfRule>
  </conditionalFormatting>
  <conditionalFormatting sqref="B17:B21">
    <cfRule type="expression" dxfId="285" priority="1" stopIfTrue="1">
      <formula>MOD(ROW(),2)=0</formula>
    </cfRule>
  </conditionalFormatting>
  <conditionalFormatting sqref="B18:B21">
    <cfRule type="expression" dxfId="284" priority="2" stopIfTrue="1">
      <formula>MOD(ROW(),2)&lt;&gt;0</formula>
    </cfRule>
  </conditionalFormatting>
  <conditionalFormatting sqref="B6:C21">
    <cfRule type="expression" dxfId="283" priority="23" stopIfTrue="1">
      <formula>MOD(ROW(),2)=0</formula>
    </cfRule>
    <cfRule type="expression" dxfId="282" priority="24" stopIfTrue="1">
      <formula>MOD(ROW(),2)&lt;&gt;0</formula>
    </cfRule>
  </conditionalFormatting>
  <conditionalFormatting sqref="B17:C17">
    <cfRule type="expression" dxfId="281" priority="4" stopIfTrue="1">
      <formula>MOD(ROW(),2)&lt;&gt;0</formula>
    </cfRule>
  </conditionalFormatting>
  <conditionalFormatting sqref="B26:C41">
    <cfRule type="expression" dxfId="280" priority="7" stopIfTrue="1">
      <formula>MOD(ROW(),2)=0</formula>
    </cfRule>
    <cfRule type="expression" dxfId="279" priority="8" stopIfTrue="1">
      <formula>MOD(ROW(),2)&lt;&gt;0</formula>
    </cfRule>
  </conditionalFormatting>
  <conditionalFormatting sqref="C17">
    <cfRule type="expression" dxfId="278" priority="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3"/>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x-605</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2007</v>
      </c>
      <c r="C8" s="152"/>
      <c r="D8" s="152"/>
      <c r="E8" s="152"/>
    </row>
    <row r="9" spans="1:9" x14ac:dyDescent="0.25">
      <c r="A9" s="79" t="s">
        <v>307</v>
      </c>
      <c r="B9" s="152" t="s">
        <v>481</v>
      </c>
      <c r="C9" s="152"/>
      <c r="D9" s="152"/>
      <c r="E9" s="152"/>
    </row>
    <row r="10" spans="1:9" x14ac:dyDescent="0.25">
      <c r="A10" s="79" t="s">
        <v>233</v>
      </c>
      <c r="B10" s="152" t="s">
        <v>488</v>
      </c>
      <c r="C10" s="152"/>
      <c r="D10" s="152"/>
      <c r="E10" s="152"/>
    </row>
    <row r="11" spans="1:9" x14ac:dyDescent="0.25">
      <c r="A11" s="79" t="s">
        <v>308</v>
      </c>
      <c r="B11" s="152" t="s">
        <v>483</v>
      </c>
      <c r="C11" s="152"/>
      <c r="D11" s="152"/>
      <c r="E11" s="152"/>
    </row>
    <row r="12" spans="1:9" x14ac:dyDescent="0.25">
      <c r="A12" s="79" t="s">
        <v>309</v>
      </c>
      <c r="B12" s="152" t="s">
        <v>484</v>
      </c>
      <c r="C12" s="152"/>
      <c r="D12" s="152"/>
      <c r="E12" s="152"/>
    </row>
    <row r="13" spans="1:9" x14ac:dyDescent="0.25">
      <c r="A13" s="79" t="s">
        <v>566</v>
      </c>
      <c r="B13" s="152">
        <v>1</v>
      </c>
      <c r="C13" s="152"/>
      <c r="D13" s="152"/>
      <c r="E13" s="152"/>
    </row>
    <row r="14" spans="1:9" x14ac:dyDescent="0.25">
      <c r="A14" s="79" t="s">
        <v>311</v>
      </c>
      <c r="B14" s="152">
        <v>605</v>
      </c>
      <c r="C14" s="152"/>
      <c r="D14" s="152"/>
      <c r="E14" s="152"/>
    </row>
    <row r="15" spans="1:9" x14ac:dyDescent="0.25">
      <c r="A15" s="79" t="s">
        <v>569</v>
      </c>
      <c r="B15" s="152" t="s">
        <v>489</v>
      </c>
      <c r="C15" s="152"/>
      <c r="D15" s="152"/>
      <c r="E15" s="152"/>
    </row>
    <row r="16" spans="1:9" x14ac:dyDescent="0.25">
      <c r="A16" s="79" t="s">
        <v>313</v>
      </c>
      <c r="B16" s="152" t="s">
        <v>325</v>
      </c>
      <c r="C16" s="152"/>
      <c r="D16" s="152"/>
      <c r="E16" s="152"/>
    </row>
    <row r="17" spans="1:5" x14ac:dyDescent="0.25">
      <c r="A17" s="79" t="s">
        <v>639</v>
      </c>
      <c r="B17" s="152"/>
      <c r="C17" s="152"/>
      <c r="D17" s="152"/>
      <c r="E17" s="152"/>
    </row>
    <row r="18" spans="1:5" x14ac:dyDescent="0.25">
      <c r="A18" s="79" t="s">
        <v>315</v>
      </c>
      <c r="B18" s="154">
        <v>45135</v>
      </c>
      <c r="C18" s="152"/>
      <c r="D18" s="152"/>
      <c r="E18" s="152"/>
    </row>
    <row r="19" spans="1:5" x14ac:dyDescent="0.25">
      <c r="A19" s="79" t="s">
        <v>316</v>
      </c>
      <c r="B19" s="154">
        <v>45135</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ht="39.6" x14ac:dyDescent="0.25">
      <c r="A26" s="92" t="s">
        <v>640</v>
      </c>
      <c r="B26" s="92" t="s">
        <v>683</v>
      </c>
      <c r="C26" s="92" t="s">
        <v>684</v>
      </c>
      <c r="D26" s="92" t="s">
        <v>685</v>
      </c>
      <c r="E26" s="92" t="s">
        <v>686</v>
      </c>
    </row>
    <row r="27" spans="1:5" x14ac:dyDescent="0.25">
      <c r="A27" s="93">
        <v>18</v>
      </c>
      <c r="B27" s="94">
        <v>8.64</v>
      </c>
      <c r="C27" s="94">
        <v>8.64</v>
      </c>
      <c r="D27" s="94">
        <v>10.88</v>
      </c>
      <c r="E27" s="94">
        <v>10.88</v>
      </c>
    </row>
    <row r="28" spans="1:5" x14ac:dyDescent="0.25">
      <c r="A28" s="93">
        <v>19</v>
      </c>
      <c r="B28" s="94">
        <v>8.76</v>
      </c>
      <c r="C28" s="94">
        <v>8.76</v>
      </c>
      <c r="D28" s="94">
        <v>11.04</v>
      </c>
      <c r="E28" s="94">
        <v>11.04</v>
      </c>
    </row>
    <row r="29" spans="1:5" x14ac:dyDescent="0.25">
      <c r="A29" s="93">
        <v>20</v>
      </c>
      <c r="B29" s="94">
        <v>8.8800000000000008</v>
      </c>
      <c r="C29" s="94">
        <v>8.8800000000000008</v>
      </c>
      <c r="D29" s="94">
        <v>11.2</v>
      </c>
      <c r="E29" s="94">
        <v>11.2</v>
      </c>
    </row>
    <row r="30" spans="1:5" x14ac:dyDescent="0.25">
      <c r="A30" s="93">
        <v>21</v>
      </c>
      <c r="B30" s="94">
        <v>9</v>
      </c>
      <c r="C30" s="94">
        <v>9</v>
      </c>
      <c r="D30" s="94">
        <v>11.36</v>
      </c>
      <c r="E30" s="94">
        <v>11.36</v>
      </c>
    </row>
    <row r="31" spans="1:5" x14ac:dyDescent="0.25">
      <c r="A31" s="93">
        <v>22</v>
      </c>
      <c r="B31" s="94">
        <v>9.1300000000000008</v>
      </c>
      <c r="C31" s="94">
        <v>9.1300000000000008</v>
      </c>
      <c r="D31" s="94">
        <v>11.53</v>
      </c>
      <c r="E31" s="94">
        <v>11.53</v>
      </c>
    </row>
    <row r="32" spans="1:5" x14ac:dyDescent="0.25">
      <c r="A32" s="93">
        <v>23</v>
      </c>
      <c r="B32" s="94">
        <v>9.25</v>
      </c>
      <c r="C32" s="94">
        <v>9.25</v>
      </c>
      <c r="D32" s="94">
        <v>11.69</v>
      </c>
      <c r="E32" s="94">
        <v>11.69</v>
      </c>
    </row>
    <row r="33" spans="1:5" x14ac:dyDescent="0.25">
      <c r="A33" s="93">
        <v>24</v>
      </c>
      <c r="B33" s="94">
        <v>9.3800000000000008</v>
      </c>
      <c r="C33" s="94">
        <v>9.3800000000000008</v>
      </c>
      <c r="D33" s="94">
        <v>11.86</v>
      </c>
      <c r="E33" s="94">
        <v>11.86</v>
      </c>
    </row>
    <row r="34" spans="1:5" x14ac:dyDescent="0.25">
      <c r="A34" s="93">
        <v>25</v>
      </c>
      <c r="B34" s="94">
        <v>9.51</v>
      </c>
      <c r="C34" s="94">
        <v>9.51</v>
      </c>
      <c r="D34" s="94">
        <v>12.04</v>
      </c>
      <c r="E34" s="94">
        <v>12.04</v>
      </c>
    </row>
    <row r="35" spans="1:5" x14ac:dyDescent="0.25">
      <c r="A35" s="93">
        <v>26</v>
      </c>
      <c r="B35" s="94">
        <v>9.65</v>
      </c>
      <c r="C35" s="94">
        <v>9.65</v>
      </c>
      <c r="D35" s="94">
        <v>12.21</v>
      </c>
      <c r="E35" s="94">
        <v>12.21</v>
      </c>
    </row>
    <row r="36" spans="1:5" x14ac:dyDescent="0.25">
      <c r="A36" s="93">
        <v>27</v>
      </c>
      <c r="B36" s="94">
        <v>9.7799999999999994</v>
      </c>
      <c r="C36" s="94">
        <v>9.7799999999999994</v>
      </c>
      <c r="D36" s="94">
        <v>12.39</v>
      </c>
      <c r="E36" s="94">
        <v>12.39</v>
      </c>
    </row>
    <row r="37" spans="1:5" x14ac:dyDescent="0.25">
      <c r="A37" s="93">
        <v>28</v>
      </c>
      <c r="B37" s="94">
        <v>9.92</v>
      </c>
      <c r="C37" s="94">
        <v>9.92</v>
      </c>
      <c r="D37" s="94">
        <v>12.57</v>
      </c>
      <c r="E37" s="94">
        <v>12.57</v>
      </c>
    </row>
    <row r="38" spans="1:5" x14ac:dyDescent="0.25">
      <c r="A38" s="93">
        <v>29</v>
      </c>
      <c r="B38" s="94">
        <v>10.050000000000001</v>
      </c>
      <c r="C38" s="94">
        <v>10.050000000000001</v>
      </c>
      <c r="D38" s="94">
        <v>12.75</v>
      </c>
      <c r="E38" s="94">
        <v>12.75</v>
      </c>
    </row>
    <row r="39" spans="1:5" x14ac:dyDescent="0.25">
      <c r="A39" s="93">
        <v>30</v>
      </c>
      <c r="B39" s="94">
        <v>10.199999999999999</v>
      </c>
      <c r="C39" s="94">
        <v>10.199999999999999</v>
      </c>
      <c r="D39" s="94">
        <v>12.94</v>
      </c>
      <c r="E39" s="94">
        <v>12.94</v>
      </c>
    </row>
    <row r="40" spans="1:5" x14ac:dyDescent="0.25">
      <c r="A40" s="93">
        <v>31</v>
      </c>
      <c r="B40" s="94">
        <v>10.34</v>
      </c>
      <c r="C40" s="94">
        <v>10.34</v>
      </c>
      <c r="D40" s="94">
        <v>13.13</v>
      </c>
      <c r="E40" s="94">
        <v>13.13</v>
      </c>
    </row>
    <row r="41" spans="1:5" x14ac:dyDescent="0.25">
      <c r="A41" s="93">
        <v>32</v>
      </c>
      <c r="B41" s="94">
        <v>10.49</v>
      </c>
      <c r="C41" s="94">
        <v>10.49</v>
      </c>
      <c r="D41" s="94">
        <v>13.32</v>
      </c>
      <c r="E41" s="94">
        <v>13.32</v>
      </c>
    </row>
    <row r="42" spans="1:5" x14ac:dyDescent="0.25">
      <c r="A42" s="93">
        <v>33</v>
      </c>
      <c r="B42" s="94">
        <v>10.63</v>
      </c>
      <c r="C42" s="94">
        <v>10.63</v>
      </c>
      <c r="D42" s="94">
        <v>13.52</v>
      </c>
      <c r="E42" s="94">
        <v>13.52</v>
      </c>
    </row>
    <row r="43" spans="1:5" x14ac:dyDescent="0.25">
      <c r="A43" s="93">
        <v>34</v>
      </c>
      <c r="B43" s="94">
        <v>10.78</v>
      </c>
      <c r="C43" s="94">
        <v>10.78</v>
      </c>
      <c r="D43" s="94">
        <v>13.72</v>
      </c>
      <c r="E43" s="94">
        <v>13.72</v>
      </c>
    </row>
    <row r="44" spans="1:5" x14ac:dyDescent="0.25">
      <c r="A44" s="93">
        <v>35</v>
      </c>
      <c r="B44" s="94">
        <v>10.94</v>
      </c>
      <c r="C44" s="94">
        <v>10.94</v>
      </c>
      <c r="D44" s="94">
        <v>13.92</v>
      </c>
      <c r="E44" s="94">
        <v>13.92</v>
      </c>
    </row>
    <row r="45" spans="1:5" x14ac:dyDescent="0.25">
      <c r="A45" s="93">
        <v>36</v>
      </c>
      <c r="B45" s="94">
        <v>11.09</v>
      </c>
      <c r="C45" s="94">
        <v>11.09</v>
      </c>
      <c r="D45" s="94">
        <v>14.13</v>
      </c>
      <c r="E45" s="94">
        <v>14.13</v>
      </c>
    </row>
    <row r="46" spans="1:5" x14ac:dyDescent="0.25">
      <c r="A46" s="93">
        <v>37</v>
      </c>
      <c r="B46" s="94">
        <v>11.25</v>
      </c>
      <c r="C46" s="94">
        <v>11.25</v>
      </c>
      <c r="D46" s="94">
        <v>14.34</v>
      </c>
      <c r="E46" s="94">
        <v>14.34</v>
      </c>
    </row>
    <row r="47" spans="1:5" x14ac:dyDescent="0.25">
      <c r="A47" s="93">
        <v>38</v>
      </c>
      <c r="B47" s="94">
        <v>11.42</v>
      </c>
      <c r="C47" s="94">
        <v>11.42</v>
      </c>
      <c r="D47" s="94">
        <v>14.56</v>
      </c>
      <c r="E47" s="94">
        <v>14.56</v>
      </c>
    </row>
    <row r="48" spans="1:5" x14ac:dyDescent="0.25">
      <c r="A48" s="93">
        <v>39</v>
      </c>
      <c r="B48" s="94">
        <v>11.58</v>
      </c>
      <c r="C48" s="94">
        <v>11.58</v>
      </c>
      <c r="D48" s="94">
        <v>14.78</v>
      </c>
      <c r="E48" s="94">
        <v>14.78</v>
      </c>
    </row>
    <row r="49" spans="1:5" x14ac:dyDescent="0.25">
      <c r="A49" s="93">
        <v>40</v>
      </c>
      <c r="B49" s="94">
        <v>11.75</v>
      </c>
      <c r="C49" s="94">
        <v>11.75</v>
      </c>
      <c r="D49" s="94">
        <v>15</v>
      </c>
      <c r="E49" s="94">
        <v>15</v>
      </c>
    </row>
    <row r="50" spans="1:5" x14ac:dyDescent="0.25">
      <c r="A50" s="93">
        <v>41</v>
      </c>
      <c r="B50" s="94">
        <v>11.92</v>
      </c>
      <c r="C50" s="94">
        <v>11.92</v>
      </c>
      <c r="D50" s="94">
        <v>15.23</v>
      </c>
      <c r="E50" s="94">
        <v>15.23</v>
      </c>
    </row>
    <row r="51" spans="1:5" x14ac:dyDescent="0.25">
      <c r="A51" s="93">
        <v>42</v>
      </c>
      <c r="B51" s="94">
        <v>12.09</v>
      </c>
      <c r="C51" s="94">
        <v>12.09</v>
      </c>
      <c r="D51" s="94">
        <v>15.47</v>
      </c>
      <c r="E51" s="94">
        <v>15.47</v>
      </c>
    </row>
    <row r="52" spans="1:5" x14ac:dyDescent="0.25">
      <c r="A52" s="93">
        <v>43</v>
      </c>
      <c r="B52" s="94">
        <v>12.27</v>
      </c>
      <c r="C52" s="94">
        <v>12.27</v>
      </c>
      <c r="D52" s="94">
        <v>15.71</v>
      </c>
      <c r="E52" s="94">
        <v>15.71</v>
      </c>
    </row>
    <row r="53" spans="1:5" x14ac:dyDescent="0.25">
      <c r="A53" s="93">
        <v>44</v>
      </c>
      <c r="B53" s="94">
        <v>12.46</v>
      </c>
      <c r="C53" s="94">
        <v>12.46</v>
      </c>
      <c r="D53" s="94">
        <v>15.95</v>
      </c>
      <c r="E53" s="94">
        <v>15.95</v>
      </c>
    </row>
    <row r="54" spans="1:5" x14ac:dyDescent="0.25">
      <c r="A54" s="93">
        <v>45</v>
      </c>
      <c r="B54" s="94">
        <v>12.64</v>
      </c>
      <c r="C54" s="94">
        <v>12.64</v>
      </c>
      <c r="D54" s="94">
        <v>16.2</v>
      </c>
      <c r="E54" s="94">
        <v>16.2</v>
      </c>
    </row>
    <row r="55" spans="1:5" x14ac:dyDescent="0.25">
      <c r="A55" s="93">
        <v>46</v>
      </c>
      <c r="B55" s="94">
        <v>12.83</v>
      </c>
      <c r="C55" s="94">
        <v>12.83</v>
      </c>
      <c r="D55" s="94">
        <v>16.46</v>
      </c>
      <c r="E55" s="94">
        <v>16.46</v>
      </c>
    </row>
    <row r="56" spans="1:5" x14ac:dyDescent="0.25">
      <c r="A56" s="93">
        <v>47</v>
      </c>
      <c r="B56" s="94">
        <v>13.03</v>
      </c>
      <c r="C56" s="94">
        <v>13.03</v>
      </c>
      <c r="D56" s="94">
        <v>16.72</v>
      </c>
      <c r="E56" s="94">
        <v>16.72</v>
      </c>
    </row>
    <row r="57" spans="1:5" x14ac:dyDescent="0.25">
      <c r="A57" s="93">
        <v>48</v>
      </c>
      <c r="B57" s="94">
        <v>13.23</v>
      </c>
      <c r="C57" s="94">
        <v>13.23</v>
      </c>
      <c r="D57" s="94">
        <v>16.989999999999998</v>
      </c>
      <c r="E57" s="94">
        <v>16.989999999999998</v>
      </c>
    </row>
    <row r="58" spans="1:5" x14ac:dyDescent="0.25">
      <c r="A58" s="93">
        <v>49</v>
      </c>
      <c r="B58" s="94">
        <v>13.44</v>
      </c>
      <c r="C58" s="94">
        <v>13.44</v>
      </c>
      <c r="D58" s="94">
        <v>17.260000000000002</v>
      </c>
      <c r="E58" s="94">
        <v>17.260000000000002</v>
      </c>
    </row>
    <row r="59" spans="1:5" x14ac:dyDescent="0.25">
      <c r="A59" s="93">
        <v>50</v>
      </c>
      <c r="B59" s="94">
        <v>13.65</v>
      </c>
      <c r="C59" s="94">
        <v>13.65</v>
      </c>
      <c r="D59" s="94">
        <v>17.55</v>
      </c>
      <c r="E59" s="94">
        <v>17.55</v>
      </c>
    </row>
    <row r="60" spans="1:5" x14ac:dyDescent="0.25">
      <c r="A60" s="93">
        <v>51</v>
      </c>
      <c r="B60" s="94">
        <v>13.86</v>
      </c>
      <c r="C60" s="94">
        <v>13.86</v>
      </c>
      <c r="D60" s="94">
        <v>17.84</v>
      </c>
      <c r="E60" s="94">
        <v>17.84</v>
      </c>
    </row>
    <row r="61" spans="1:5" x14ac:dyDescent="0.25">
      <c r="A61" s="93">
        <v>52</v>
      </c>
      <c r="B61" s="94">
        <v>14.08</v>
      </c>
      <c r="C61" s="94">
        <v>14.08</v>
      </c>
      <c r="D61" s="94">
        <v>18.14</v>
      </c>
      <c r="E61" s="94">
        <v>18.14</v>
      </c>
    </row>
    <row r="62" spans="1:5" x14ac:dyDescent="0.25">
      <c r="A62" s="93">
        <v>53</v>
      </c>
      <c r="B62" s="94">
        <v>14.31</v>
      </c>
      <c r="C62" s="94">
        <v>14.31</v>
      </c>
      <c r="D62" s="94">
        <v>18.440000000000001</v>
      </c>
      <c r="E62" s="94">
        <v>18.440000000000001</v>
      </c>
    </row>
    <row r="63" spans="1:5" x14ac:dyDescent="0.25">
      <c r="A63" s="93">
        <v>54</v>
      </c>
      <c r="B63" s="94">
        <v>14.55</v>
      </c>
      <c r="C63" s="94">
        <v>14.55</v>
      </c>
      <c r="D63" s="94">
        <v>18.760000000000002</v>
      </c>
      <c r="E63" s="94">
        <v>18.760000000000002</v>
      </c>
    </row>
    <row r="64" spans="1:5" x14ac:dyDescent="0.25">
      <c r="A64" s="93">
        <v>55</v>
      </c>
      <c r="B64" s="94">
        <v>14.79</v>
      </c>
      <c r="C64" s="94">
        <v>14.79</v>
      </c>
      <c r="D64" s="94">
        <v>19.079999999999998</v>
      </c>
      <c r="E64" s="94">
        <v>19.079999999999998</v>
      </c>
    </row>
    <row r="65" spans="1:5" x14ac:dyDescent="0.25">
      <c r="A65" s="93">
        <v>56</v>
      </c>
      <c r="B65" s="94">
        <v>15.04</v>
      </c>
      <c r="C65" s="94">
        <v>15.04</v>
      </c>
      <c r="D65" s="94">
        <v>19.420000000000002</v>
      </c>
      <c r="E65" s="94">
        <v>19.420000000000002</v>
      </c>
    </row>
    <row r="66" spans="1:5" x14ac:dyDescent="0.25">
      <c r="A66" s="93">
        <v>57</v>
      </c>
      <c r="B66" s="94">
        <v>15.3</v>
      </c>
      <c r="C66" s="94">
        <v>15.3</v>
      </c>
      <c r="D66" s="94">
        <v>19.77</v>
      </c>
      <c r="E66" s="94">
        <v>19.77</v>
      </c>
    </row>
    <row r="67" spans="1:5" x14ac:dyDescent="0.25">
      <c r="A67" s="93">
        <v>58</v>
      </c>
      <c r="B67" s="94">
        <v>15.56</v>
      </c>
      <c r="C67" s="94">
        <v>15.56</v>
      </c>
      <c r="D67" s="94">
        <v>20.13</v>
      </c>
      <c r="E67" s="94">
        <v>20.13</v>
      </c>
    </row>
    <row r="68" spans="1:5" x14ac:dyDescent="0.25">
      <c r="A68" s="93">
        <v>59</v>
      </c>
      <c r="B68" s="94">
        <v>15.84</v>
      </c>
      <c r="C68" s="94">
        <v>15.84</v>
      </c>
      <c r="D68" s="94">
        <v>20.5</v>
      </c>
      <c r="E68" s="94">
        <v>20.5</v>
      </c>
    </row>
    <row r="69" spans="1:5" x14ac:dyDescent="0.25">
      <c r="A69" s="93">
        <v>60</v>
      </c>
      <c r="B69" s="94">
        <v>16.13</v>
      </c>
      <c r="C69" s="94">
        <v>16.13</v>
      </c>
      <c r="D69" s="94"/>
      <c r="E69" s="94"/>
    </row>
    <row r="70" spans="1:5" x14ac:dyDescent="0.25">
      <c r="A70" s="93">
        <v>61</v>
      </c>
      <c r="B70" s="94">
        <v>16.43</v>
      </c>
      <c r="C70" s="94">
        <v>16.43</v>
      </c>
      <c r="D70" s="94"/>
      <c r="E70" s="94"/>
    </row>
    <row r="71" spans="1:5" x14ac:dyDescent="0.25">
      <c r="A71" s="93">
        <v>62</v>
      </c>
      <c r="B71" s="94">
        <v>16.75</v>
      </c>
      <c r="C71" s="94">
        <v>16.75</v>
      </c>
      <c r="D71" s="94"/>
      <c r="E71" s="94"/>
    </row>
    <row r="72" spans="1:5" x14ac:dyDescent="0.25">
      <c r="A72" s="93">
        <v>63</v>
      </c>
      <c r="B72" s="94">
        <v>17.079999999999998</v>
      </c>
      <c r="C72" s="94">
        <v>17.079999999999998</v>
      </c>
      <c r="D72" s="94"/>
      <c r="E72" s="94"/>
    </row>
    <row r="73" spans="1:5" x14ac:dyDescent="0.25">
      <c r="A73" s="93">
        <v>64</v>
      </c>
      <c r="B73" s="94">
        <v>17.43</v>
      </c>
      <c r="C73" s="94">
        <v>17.43</v>
      </c>
      <c r="D73" s="94"/>
      <c r="E73" s="94"/>
    </row>
  </sheetData>
  <sheetProtection algorithmName="SHA-512" hashValue="56cF5kLJEx/8ba6iKrzzhca0MT5GrU/KpPy9SZ1FNEAb5qKzPvQgoxhydAYHiyEf72d3hUkunXV814x3zcCN6A==" saltValue="2uhjFbaHqROyr4XEw/5WTQ==" spinCount="100000" sheet="1" objects="1" scenarios="1"/>
  <conditionalFormatting sqref="A6:A21">
    <cfRule type="expression" dxfId="277" priority="9" stopIfTrue="1">
      <formula>MOD(ROW(),2)=0</formula>
    </cfRule>
    <cfRule type="expression" dxfId="276" priority="10" stopIfTrue="1">
      <formula>MOD(ROW(),2)&lt;&gt;0</formula>
    </cfRule>
  </conditionalFormatting>
  <conditionalFormatting sqref="A26:A73">
    <cfRule type="expression" dxfId="275" priority="3" stopIfTrue="1">
      <formula>MOD(ROW(),2)=0</formula>
    </cfRule>
    <cfRule type="expression" dxfId="274" priority="4" stopIfTrue="1">
      <formula>MOD(ROW(),2)&lt;&gt;0</formula>
    </cfRule>
  </conditionalFormatting>
  <conditionalFormatting sqref="B17:B21">
    <cfRule type="expression" dxfId="273" priority="1" stopIfTrue="1">
      <formula>MOD(ROW(),2)=0</formula>
    </cfRule>
    <cfRule type="expression" dxfId="272" priority="2" stopIfTrue="1">
      <formula>MOD(ROW(),2)&lt;&gt;0</formula>
    </cfRule>
  </conditionalFormatting>
  <conditionalFormatting sqref="B6:E21">
    <cfRule type="expression" dxfId="271" priority="19" stopIfTrue="1">
      <formula>MOD(ROW(),2)=0</formula>
    </cfRule>
    <cfRule type="expression" dxfId="270" priority="20" stopIfTrue="1">
      <formula>MOD(ROW(),2)&lt;&gt;0</formula>
    </cfRule>
  </conditionalFormatting>
  <conditionalFormatting sqref="B26:E73">
    <cfRule type="expression" dxfId="269" priority="5" stopIfTrue="1">
      <formula>MOD(ROW(),2)=0</formula>
    </cfRule>
    <cfRule type="expression" dxfId="26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heetViews>
  <sheetFormatPr defaultColWidth="10" defaultRowHeight="13.2" x14ac:dyDescent="0.25"/>
  <cols>
    <col min="1" max="1" width="31.77734375" style="27" customWidth="1"/>
    <col min="2" max="2" width="40.4414062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https://tris42.sharepoint.com/sites/gad_wrkgrp_actuarial/pspsactuarialwork/Central/Factors &amp; Guidance/2024 Guidance Review/4. Online portal/3. Import data/3. Factor tables/0_client_friendly/Ready to be uploaded/2025-03/[Fire W Consolidated Factors 2025-02.xlsx]x-Series Number</v>
      </c>
    </row>
    <row r="6" spans="1:9" x14ac:dyDescent="0.25">
      <c r="A6" s="46" t="s">
        <v>558</v>
      </c>
      <c r="B6" s="47" t="s">
        <v>559</v>
      </c>
    </row>
    <row r="7" spans="1:9" x14ac:dyDescent="0.25">
      <c r="A7" s="48" t="s">
        <v>305</v>
      </c>
      <c r="B7" s="50" t="s">
        <v>560</v>
      </c>
    </row>
    <row r="8" spans="1:9" x14ac:dyDescent="0.25">
      <c r="A8" s="48" t="s">
        <v>306</v>
      </c>
      <c r="B8" s="50" t="s">
        <v>561</v>
      </c>
    </row>
    <row r="9" spans="1:9" ht="12.75" customHeight="1" x14ac:dyDescent="0.25">
      <c r="A9" s="48" t="s">
        <v>307</v>
      </c>
      <c r="B9" s="51" t="s">
        <v>562</v>
      </c>
    </row>
    <row r="10" spans="1:9" ht="12.75" customHeight="1" x14ac:dyDescent="0.25">
      <c r="A10" s="48" t="s">
        <v>233</v>
      </c>
      <c r="B10" s="51" t="s">
        <v>563</v>
      </c>
    </row>
    <row r="11" spans="1:9" x14ac:dyDescent="0.25">
      <c r="A11" s="48" t="s">
        <v>308</v>
      </c>
      <c r="B11" s="51" t="s">
        <v>564</v>
      </c>
    </row>
    <row r="12" spans="1:9" x14ac:dyDescent="0.25">
      <c r="A12" s="48" t="s">
        <v>309</v>
      </c>
      <c r="B12" s="49" t="s">
        <v>565</v>
      </c>
    </row>
    <row r="13" spans="1:9" ht="12.75" customHeight="1" x14ac:dyDescent="0.25">
      <c r="A13" s="48" t="s">
        <v>566</v>
      </c>
      <c r="B13" s="49" t="s">
        <v>567</v>
      </c>
    </row>
    <row r="14" spans="1:9" ht="12.75" customHeight="1" x14ac:dyDescent="0.25">
      <c r="A14" s="48" t="s">
        <v>311</v>
      </c>
      <c r="B14" s="49" t="s">
        <v>568</v>
      </c>
    </row>
    <row r="15" spans="1:9" ht="79.2" x14ac:dyDescent="0.25">
      <c r="A15" s="52" t="s">
        <v>569</v>
      </c>
      <c r="B15" s="53" t="s">
        <v>570</v>
      </c>
    </row>
    <row r="16" spans="1:9" ht="26.4" x14ac:dyDescent="0.25">
      <c r="A16" s="54" t="s">
        <v>313</v>
      </c>
      <c r="B16" s="53" t="s">
        <v>571</v>
      </c>
    </row>
    <row r="17" spans="1:2" ht="52.5" customHeight="1" x14ac:dyDescent="0.25">
      <c r="A17" s="55" t="s">
        <v>314</v>
      </c>
      <c r="B17" s="53" t="s">
        <v>572</v>
      </c>
    </row>
    <row r="18" spans="1:2" ht="26.4" x14ac:dyDescent="0.25">
      <c r="A18" s="52" t="s">
        <v>315</v>
      </c>
      <c r="B18" s="56" t="s">
        <v>573</v>
      </c>
    </row>
    <row r="19" spans="1:2" x14ac:dyDescent="0.25">
      <c r="A19" s="54" t="s">
        <v>316</v>
      </c>
      <c r="B19" s="56" t="s">
        <v>574</v>
      </c>
    </row>
    <row r="20" spans="1:2" ht="26.4" x14ac:dyDescent="0.25">
      <c r="A20" s="54" t="s">
        <v>317</v>
      </c>
      <c r="B20" s="56" t="s">
        <v>575</v>
      </c>
    </row>
    <row r="22" spans="1:2" x14ac:dyDescent="0.25">
      <c r="B22" s="96" t="str">
        <f>HYPERLINK("#'Factor List'!A1","Back to Factor List")</f>
        <v>Back to Factor List</v>
      </c>
    </row>
    <row r="25" spans="1:2" x14ac:dyDescent="0.25">
      <c r="A25" s="57" t="s">
        <v>576</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kUQvkjzYEAJlzchnWCIxVQjiE6U6P3/lwIK0kpKZiz7RTStIYz/vf8mZXMhVtIoC+VqNQ6AJSMnoFueIZaGwHw==" saltValue="OPs9pgzZrOXHutSHEadup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x-606</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2007</v>
      </c>
      <c r="C8" s="152"/>
      <c r="D8" s="152"/>
      <c r="E8" s="152"/>
    </row>
    <row r="9" spans="1:9" x14ac:dyDescent="0.25">
      <c r="A9" s="79" t="s">
        <v>307</v>
      </c>
      <c r="B9" s="152" t="s">
        <v>481</v>
      </c>
      <c r="C9" s="152"/>
      <c r="D9" s="152"/>
      <c r="E9" s="152"/>
    </row>
    <row r="10" spans="1:9" x14ac:dyDescent="0.25">
      <c r="A10" s="79" t="s">
        <v>233</v>
      </c>
      <c r="B10" s="152" t="s">
        <v>490</v>
      </c>
      <c r="C10" s="152"/>
      <c r="D10" s="152"/>
      <c r="E10" s="152"/>
    </row>
    <row r="11" spans="1:9" x14ac:dyDescent="0.25">
      <c r="A11" s="79" t="s">
        <v>308</v>
      </c>
      <c r="B11" s="152" t="s">
        <v>483</v>
      </c>
      <c r="C11" s="152"/>
      <c r="D11" s="152"/>
      <c r="E11" s="152"/>
    </row>
    <row r="12" spans="1:9" x14ac:dyDescent="0.25">
      <c r="A12" s="79" t="s">
        <v>309</v>
      </c>
      <c r="B12" s="152" t="s">
        <v>484</v>
      </c>
      <c r="C12" s="152"/>
      <c r="D12" s="152"/>
      <c r="E12" s="152"/>
    </row>
    <row r="13" spans="1:9" x14ac:dyDescent="0.25">
      <c r="A13" s="79" t="s">
        <v>566</v>
      </c>
      <c r="B13" s="152">
        <v>1</v>
      </c>
      <c r="C13" s="152"/>
      <c r="D13" s="152"/>
      <c r="E13" s="152"/>
    </row>
    <row r="14" spans="1:9" x14ac:dyDescent="0.25">
      <c r="A14" s="79" t="s">
        <v>311</v>
      </c>
      <c r="B14" s="152">
        <v>606</v>
      </c>
      <c r="C14" s="152"/>
      <c r="D14" s="152"/>
      <c r="E14" s="152"/>
    </row>
    <row r="15" spans="1:9" x14ac:dyDescent="0.25">
      <c r="A15" s="79" t="s">
        <v>569</v>
      </c>
      <c r="B15" s="152" t="s">
        <v>491</v>
      </c>
      <c r="C15" s="152"/>
      <c r="D15" s="152"/>
      <c r="E15" s="152"/>
    </row>
    <row r="16" spans="1:9" x14ac:dyDescent="0.25">
      <c r="A16" s="79" t="s">
        <v>313</v>
      </c>
      <c r="B16" s="152" t="s">
        <v>330</v>
      </c>
      <c r="C16" s="152"/>
      <c r="D16" s="152"/>
      <c r="E16" s="152"/>
    </row>
    <row r="17" spans="1:5" x14ac:dyDescent="0.25">
      <c r="A17" s="79" t="s">
        <v>639</v>
      </c>
      <c r="B17" s="152"/>
      <c r="C17" s="152"/>
      <c r="D17" s="152"/>
      <c r="E17" s="152"/>
    </row>
    <row r="18" spans="1:5" x14ac:dyDescent="0.25">
      <c r="A18" s="79" t="s">
        <v>315</v>
      </c>
      <c r="B18" s="154">
        <v>45135</v>
      </c>
      <c r="C18" s="152"/>
      <c r="D18" s="152"/>
      <c r="E18" s="152"/>
    </row>
    <row r="19" spans="1:5" x14ac:dyDescent="0.25">
      <c r="A19" s="79" t="s">
        <v>316</v>
      </c>
      <c r="B19" s="154">
        <v>45135</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ht="39.6" x14ac:dyDescent="0.25">
      <c r="A26" s="92" t="s">
        <v>640</v>
      </c>
      <c r="B26" s="92" t="s">
        <v>687</v>
      </c>
      <c r="C26" s="92" t="s">
        <v>688</v>
      </c>
      <c r="D26" s="92" t="s">
        <v>689</v>
      </c>
      <c r="E26" s="92" t="s">
        <v>690</v>
      </c>
    </row>
    <row r="27" spans="1:5" x14ac:dyDescent="0.25">
      <c r="A27" s="93">
        <v>60</v>
      </c>
      <c r="B27" s="94"/>
      <c r="C27" s="94"/>
      <c r="D27" s="94">
        <v>20.37</v>
      </c>
      <c r="E27" s="94">
        <v>20.37</v>
      </c>
    </row>
    <row r="28" spans="1:5" x14ac:dyDescent="0.25">
      <c r="A28" s="93">
        <v>61</v>
      </c>
      <c r="B28" s="94"/>
      <c r="C28" s="94"/>
      <c r="D28" s="94">
        <v>19.739999999999998</v>
      </c>
      <c r="E28" s="94">
        <v>19.739999999999998</v>
      </c>
    </row>
    <row r="29" spans="1:5" x14ac:dyDescent="0.25">
      <c r="A29" s="93">
        <v>62</v>
      </c>
      <c r="B29" s="94"/>
      <c r="C29" s="94"/>
      <c r="D29" s="94">
        <v>19.100000000000001</v>
      </c>
      <c r="E29" s="94">
        <v>19.100000000000001</v>
      </c>
    </row>
    <row r="30" spans="1:5" x14ac:dyDescent="0.25">
      <c r="A30" s="93">
        <v>63</v>
      </c>
      <c r="B30" s="94"/>
      <c r="C30" s="94"/>
      <c r="D30" s="94">
        <v>18.46</v>
      </c>
      <c r="E30" s="94">
        <v>18.46</v>
      </c>
    </row>
    <row r="31" spans="1:5" x14ac:dyDescent="0.25">
      <c r="A31" s="93">
        <v>64</v>
      </c>
      <c r="B31" s="94"/>
      <c r="C31" s="94"/>
      <c r="D31" s="94">
        <v>17.829999999999998</v>
      </c>
      <c r="E31" s="94">
        <v>17.829999999999998</v>
      </c>
    </row>
    <row r="32" spans="1:5" x14ac:dyDescent="0.25">
      <c r="A32" s="93">
        <v>65</v>
      </c>
      <c r="B32" s="94">
        <v>17.29</v>
      </c>
      <c r="C32" s="94">
        <v>17.29</v>
      </c>
      <c r="D32" s="94">
        <v>17.2</v>
      </c>
      <c r="E32" s="94">
        <v>17.2</v>
      </c>
    </row>
    <row r="33" spans="1:5" x14ac:dyDescent="0.25">
      <c r="A33" s="93">
        <v>66</v>
      </c>
      <c r="B33" s="94">
        <v>16.63</v>
      </c>
      <c r="C33" s="94">
        <v>16.63</v>
      </c>
      <c r="D33" s="94">
        <v>16.57</v>
      </c>
      <c r="E33" s="94">
        <v>16.57</v>
      </c>
    </row>
    <row r="34" spans="1:5" x14ac:dyDescent="0.25">
      <c r="A34" s="93">
        <v>67</v>
      </c>
      <c r="B34" s="94">
        <v>15.97</v>
      </c>
      <c r="C34" s="94">
        <v>15.97</v>
      </c>
      <c r="D34" s="94">
        <v>15.94</v>
      </c>
      <c r="E34" s="94">
        <v>15.94</v>
      </c>
    </row>
    <row r="35" spans="1:5" x14ac:dyDescent="0.25">
      <c r="A35" s="93">
        <v>68</v>
      </c>
      <c r="B35" s="94">
        <v>15.32</v>
      </c>
      <c r="C35" s="94">
        <v>15.32</v>
      </c>
      <c r="D35" s="94">
        <v>15.31</v>
      </c>
      <c r="E35" s="94">
        <v>15.31</v>
      </c>
    </row>
    <row r="36" spans="1:5" x14ac:dyDescent="0.25">
      <c r="A36" s="93">
        <v>69</v>
      </c>
      <c r="B36" s="94">
        <v>14.68</v>
      </c>
      <c r="C36" s="94">
        <v>14.68</v>
      </c>
      <c r="D36" s="94">
        <v>14.67</v>
      </c>
      <c r="E36" s="94">
        <v>14.67</v>
      </c>
    </row>
    <row r="37" spans="1:5" x14ac:dyDescent="0.25">
      <c r="A37" s="93">
        <v>70</v>
      </c>
      <c r="B37" s="94">
        <v>14.04</v>
      </c>
      <c r="C37" s="94">
        <v>14.04</v>
      </c>
      <c r="D37" s="94">
        <v>14.04</v>
      </c>
      <c r="E37" s="94">
        <v>14.04</v>
      </c>
    </row>
    <row r="38" spans="1:5" x14ac:dyDescent="0.25">
      <c r="A38" s="93">
        <v>71</v>
      </c>
      <c r="B38" s="94">
        <v>13.42</v>
      </c>
      <c r="C38" s="94">
        <v>13.42</v>
      </c>
      <c r="D38" s="94">
        <v>13.42</v>
      </c>
      <c r="E38" s="94">
        <v>13.42</v>
      </c>
    </row>
    <row r="39" spans="1:5" x14ac:dyDescent="0.25">
      <c r="A39" s="93">
        <v>72</v>
      </c>
      <c r="B39" s="94">
        <v>12.79</v>
      </c>
      <c r="C39" s="94">
        <v>12.79</v>
      </c>
      <c r="D39" s="94">
        <v>12.79</v>
      </c>
      <c r="E39" s="94">
        <v>12.79</v>
      </c>
    </row>
    <row r="40" spans="1:5" x14ac:dyDescent="0.25">
      <c r="A40" s="93">
        <v>73</v>
      </c>
      <c r="B40" s="94">
        <v>12.17</v>
      </c>
      <c r="C40" s="94">
        <v>12.17</v>
      </c>
      <c r="D40" s="94">
        <v>12.17</v>
      </c>
      <c r="E40" s="94">
        <v>12.17</v>
      </c>
    </row>
    <row r="41" spans="1:5" x14ac:dyDescent="0.25">
      <c r="A41" s="93">
        <v>74</v>
      </c>
      <c r="B41" s="94">
        <v>11.56</v>
      </c>
      <c r="C41" s="94">
        <v>11.56</v>
      </c>
      <c r="D41" s="94">
        <v>11.56</v>
      </c>
      <c r="E41" s="94">
        <v>11.56</v>
      </c>
    </row>
    <row r="44" spans="1:5" ht="39.6" customHeight="1" x14ac:dyDescent="0.25"/>
    <row r="46" spans="1:5" ht="27.6" customHeight="1" x14ac:dyDescent="0.25"/>
  </sheetData>
  <sheetProtection algorithmName="SHA-512" hashValue="f54LE5B2udrOPQe0S4y9ssppGrUsICjKR0gEx7Ryaru9jmcv0AjwiDQhlIZlLxGERSdV31pp37yd1qjroC3pCQ==" saltValue="yWS+MkNtkBb2vBFHFvbW7w==" spinCount="100000" sheet="1" objects="1" scenarios="1"/>
  <conditionalFormatting sqref="A6:A21">
    <cfRule type="expression" dxfId="267" priority="11" stopIfTrue="1">
      <formula>MOD(ROW(),2)=0</formula>
    </cfRule>
    <cfRule type="expression" dxfId="266" priority="12" stopIfTrue="1">
      <formula>MOD(ROW(),2)&lt;&gt;0</formula>
    </cfRule>
  </conditionalFormatting>
  <conditionalFormatting sqref="A26:A41">
    <cfRule type="expression" dxfId="265" priority="3" stopIfTrue="1">
      <formula>MOD(ROW(),2)=0</formula>
    </cfRule>
    <cfRule type="expression" dxfId="264" priority="4" stopIfTrue="1">
      <formula>MOD(ROW(),2)&lt;&gt;0</formula>
    </cfRule>
  </conditionalFormatting>
  <conditionalFormatting sqref="B17:B21">
    <cfRule type="expression" dxfId="263" priority="1" stopIfTrue="1">
      <formula>MOD(ROW(),2)=0</formula>
    </cfRule>
    <cfRule type="expression" dxfId="262" priority="2" stopIfTrue="1">
      <formula>MOD(ROW(),2)&lt;&gt;0</formula>
    </cfRule>
  </conditionalFormatting>
  <conditionalFormatting sqref="B6:E21">
    <cfRule type="expression" dxfId="261" priority="21" stopIfTrue="1">
      <formula>MOD(ROW(),2)=0</formula>
    </cfRule>
    <cfRule type="expression" dxfId="260" priority="22" stopIfTrue="1">
      <formula>MOD(ROW(),2)&lt;&gt;0</formula>
    </cfRule>
  </conditionalFormatting>
  <conditionalFormatting sqref="B26:E41">
    <cfRule type="expression" dxfId="259" priority="5" stopIfTrue="1">
      <formula>MOD(ROW(),2)=0</formula>
    </cfRule>
    <cfRule type="expression" dxfId="25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76"/>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x-607</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2015</v>
      </c>
      <c r="C8" s="152"/>
      <c r="D8" s="152"/>
      <c r="E8" s="152"/>
    </row>
    <row r="9" spans="1:9" x14ac:dyDescent="0.25">
      <c r="A9" s="79" t="s">
        <v>307</v>
      </c>
      <c r="B9" s="152" t="s">
        <v>481</v>
      </c>
      <c r="C9" s="152"/>
      <c r="D9" s="152"/>
      <c r="E9" s="152"/>
    </row>
    <row r="10" spans="1:9" x14ac:dyDescent="0.25">
      <c r="A10" s="79" t="s">
        <v>233</v>
      </c>
      <c r="B10" s="152" t="s">
        <v>492</v>
      </c>
      <c r="C10" s="152"/>
      <c r="D10" s="152"/>
      <c r="E10" s="152"/>
    </row>
    <row r="11" spans="1:9" x14ac:dyDescent="0.25">
      <c r="A11" s="79" t="s">
        <v>308</v>
      </c>
      <c r="B11" s="152" t="s">
        <v>322</v>
      </c>
      <c r="C11" s="152"/>
      <c r="D11" s="152"/>
      <c r="E11" s="152"/>
    </row>
    <row r="12" spans="1:9" x14ac:dyDescent="0.25">
      <c r="A12" s="79" t="s">
        <v>309</v>
      </c>
      <c r="B12" s="152" t="s">
        <v>484</v>
      </c>
      <c r="C12" s="152"/>
      <c r="D12" s="152"/>
      <c r="E12" s="152"/>
    </row>
    <row r="13" spans="1:9" x14ac:dyDescent="0.25">
      <c r="A13" s="79" t="s">
        <v>566</v>
      </c>
      <c r="B13" s="152">
        <v>0</v>
      </c>
      <c r="C13" s="152"/>
      <c r="D13" s="152"/>
      <c r="E13" s="152"/>
    </row>
    <row r="14" spans="1:9" x14ac:dyDescent="0.25">
      <c r="A14" s="79" t="s">
        <v>311</v>
      </c>
      <c r="B14" s="152">
        <v>607</v>
      </c>
      <c r="C14" s="152"/>
      <c r="D14" s="152"/>
      <c r="E14" s="152"/>
    </row>
    <row r="15" spans="1:9" x14ac:dyDescent="0.25">
      <c r="A15" s="79" t="s">
        <v>569</v>
      </c>
      <c r="B15" s="152" t="s">
        <v>493</v>
      </c>
      <c r="C15" s="152"/>
      <c r="D15" s="152"/>
      <c r="E15" s="152"/>
    </row>
    <row r="16" spans="1:9" x14ac:dyDescent="0.25">
      <c r="A16" s="79" t="s">
        <v>313</v>
      </c>
      <c r="B16" s="152" t="s">
        <v>325</v>
      </c>
      <c r="C16" s="152"/>
      <c r="D16" s="152"/>
      <c r="E16" s="152"/>
    </row>
    <row r="17" spans="1:5" x14ac:dyDescent="0.25">
      <c r="A17" s="79" t="s">
        <v>639</v>
      </c>
      <c r="B17" s="152"/>
      <c r="C17" s="152"/>
      <c r="D17" s="152"/>
      <c r="E17" s="152"/>
    </row>
    <row r="18" spans="1:5" x14ac:dyDescent="0.25">
      <c r="A18" s="79" t="s">
        <v>315</v>
      </c>
      <c r="B18" s="154">
        <v>45135</v>
      </c>
      <c r="C18" s="152"/>
      <c r="D18" s="152"/>
      <c r="E18" s="152"/>
    </row>
    <row r="19" spans="1:5" x14ac:dyDescent="0.25">
      <c r="A19" s="79" t="s">
        <v>316</v>
      </c>
      <c r="B19" s="154">
        <v>45135</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x14ac:dyDescent="0.25">
      <c r="A26" s="92" t="s">
        <v>640</v>
      </c>
      <c r="B26" s="92" t="s">
        <v>660</v>
      </c>
      <c r="C26" s="92" t="s">
        <v>661</v>
      </c>
      <c r="D26" s="92" t="s">
        <v>662</v>
      </c>
      <c r="E26" s="92" t="s">
        <v>663</v>
      </c>
    </row>
    <row r="27" spans="1:5" x14ac:dyDescent="0.25">
      <c r="A27" s="93">
        <v>18</v>
      </c>
      <c r="B27" s="94">
        <v>8.64</v>
      </c>
      <c r="C27" s="94">
        <v>8.2100000000000009</v>
      </c>
      <c r="D27" s="94">
        <v>7.8</v>
      </c>
      <c r="E27" s="94">
        <v>7.4</v>
      </c>
    </row>
    <row r="28" spans="1:5" x14ac:dyDescent="0.25">
      <c r="A28" s="93">
        <v>19</v>
      </c>
      <c r="B28" s="94">
        <v>8.76</v>
      </c>
      <c r="C28" s="94">
        <v>8.33</v>
      </c>
      <c r="D28" s="94">
        <v>7.91</v>
      </c>
      <c r="E28" s="94">
        <v>7.5</v>
      </c>
    </row>
    <row r="29" spans="1:5" x14ac:dyDescent="0.25">
      <c r="A29" s="93">
        <v>20</v>
      </c>
      <c r="B29" s="94">
        <v>8.8800000000000008</v>
      </c>
      <c r="C29" s="94">
        <v>8.44</v>
      </c>
      <c r="D29" s="94">
        <v>8.02</v>
      </c>
      <c r="E29" s="94">
        <v>7.6</v>
      </c>
    </row>
    <row r="30" spans="1:5" x14ac:dyDescent="0.25">
      <c r="A30" s="93">
        <v>21</v>
      </c>
      <c r="B30" s="94">
        <v>9</v>
      </c>
      <c r="C30" s="94">
        <v>8.56</v>
      </c>
      <c r="D30" s="94">
        <v>8.1199999999999992</v>
      </c>
      <c r="E30" s="94">
        <v>7.7</v>
      </c>
    </row>
    <row r="31" spans="1:5" x14ac:dyDescent="0.25">
      <c r="A31" s="93">
        <v>22</v>
      </c>
      <c r="B31" s="94">
        <v>9.1300000000000008</v>
      </c>
      <c r="C31" s="94">
        <v>8.68</v>
      </c>
      <c r="D31" s="94">
        <v>8.24</v>
      </c>
      <c r="E31" s="94">
        <v>7.81</v>
      </c>
    </row>
    <row r="32" spans="1:5" x14ac:dyDescent="0.25">
      <c r="A32" s="93">
        <v>23</v>
      </c>
      <c r="B32" s="94">
        <v>9.25</v>
      </c>
      <c r="C32" s="94">
        <v>8.8000000000000007</v>
      </c>
      <c r="D32" s="94">
        <v>8.35</v>
      </c>
      <c r="E32" s="94">
        <v>7.91</v>
      </c>
    </row>
    <row r="33" spans="1:5" x14ac:dyDescent="0.25">
      <c r="A33" s="93">
        <v>24</v>
      </c>
      <c r="B33" s="94">
        <v>9.3800000000000008</v>
      </c>
      <c r="C33" s="94">
        <v>8.92</v>
      </c>
      <c r="D33" s="94">
        <v>8.4600000000000009</v>
      </c>
      <c r="E33" s="94">
        <v>8.02</v>
      </c>
    </row>
    <row r="34" spans="1:5" x14ac:dyDescent="0.25">
      <c r="A34" s="93">
        <v>25</v>
      </c>
      <c r="B34" s="94">
        <v>9.51</v>
      </c>
      <c r="C34" s="94">
        <v>9.0399999999999991</v>
      </c>
      <c r="D34" s="94">
        <v>8.58</v>
      </c>
      <c r="E34" s="94">
        <v>8.1199999999999992</v>
      </c>
    </row>
    <row r="35" spans="1:5" x14ac:dyDescent="0.25">
      <c r="A35" s="93">
        <v>26</v>
      </c>
      <c r="B35" s="94">
        <v>9.65</v>
      </c>
      <c r="C35" s="94">
        <v>9.16</v>
      </c>
      <c r="D35" s="94">
        <v>8.69</v>
      </c>
      <c r="E35" s="94">
        <v>8.23</v>
      </c>
    </row>
    <row r="36" spans="1:5" x14ac:dyDescent="0.25">
      <c r="A36" s="93">
        <v>27</v>
      </c>
      <c r="B36" s="94">
        <v>9.7799999999999994</v>
      </c>
      <c r="C36" s="94">
        <v>9.2899999999999991</v>
      </c>
      <c r="D36" s="94">
        <v>8.81</v>
      </c>
      <c r="E36" s="94">
        <v>8.35</v>
      </c>
    </row>
    <row r="37" spans="1:5" x14ac:dyDescent="0.25">
      <c r="A37" s="93">
        <v>28</v>
      </c>
      <c r="B37" s="94">
        <v>9.92</v>
      </c>
      <c r="C37" s="94">
        <v>9.42</v>
      </c>
      <c r="D37" s="94">
        <v>8.93</v>
      </c>
      <c r="E37" s="94">
        <v>8.4600000000000009</v>
      </c>
    </row>
    <row r="38" spans="1:5" x14ac:dyDescent="0.25">
      <c r="A38" s="93">
        <v>29</v>
      </c>
      <c r="B38" s="94">
        <v>10.050000000000001</v>
      </c>
      <c r="C38" s="94">
        <v>9.5500000000000007</v>
      </c>
      <c r="D38" s="94">
        <v>9.06</v>
      </c>
      <c r="E38" s="94">
        <v>8.57</v>
      </c>
    </row>
    <row r="39" spans="1:5" x14ac:dyDescent="0.25">
      <c r="A39" s="93">
        <v>30</v>
      </c>
      <c r="B39" s="94">
        <v>10.199999999999999</v>
      </c>
      <c r="C39" s="94">
        <v>9.68</v>
      </c>
      <c r="D39" s="94">
        <v>9.18</v>
      </c>
      <c r="E39" s="94">
        <v>8.69</v>
      </c>
    </row>
    <row r="40" spans="1:5" x14ac:dyDescent="0.25">
      <c r="A40" s="93">
        <v>31</v>
      </c>
      <c r="B40" s="94">
        <v>10.34</v>
      </c>
      <c r="C40" s="94">
        <v>9.82</v>
      </c>
      <c r="D40" s="94">
        <v>9.31</v>
      </c>
      <c r="E40" s="94">
        <v>8.81</v>
      </c>
    </row>
    <row r="41" spans="1:5" x14ac:dyDescent="0.25">
      <c r="A41" s="93">
        <v>32</v>
      </c>
      <c r="B41" s="94">
        <v>10.49</v>
      </c>
      <c r="C41" s="94">
        <v>9.9499999999999993</v>
      </c>
      <c r="D41" s="94">
        <v>9.43</v>
      </c>
      <c r="E41" s="94">
        <v>8.93</v>
      </c>
    </row>
    <row r="42" spans="1:5" x14ac:dyDescent="0.25">
      <c r="A42" s="93">
        <v>33</v>
      </c>
      <c r="B42" s="94">
        <v>10.63</v>
      </c>
      <c r="C42" s="94">
        <v>10.09</v>
      </c>
      <c r="D42" s="94">
        <v>9.57</v>
      </c>
      <c r="E42" s="94">
        <v>9.0500000000000007</v>
      </c>
    </row>
    <row r="43" spans="1:5" x14ac:dyDescent="0.25">
      <c r="A43" s="93">
        <v>34</v>
      </c>
      <c r="B43" s="94">
        <v>10.78</v>
      </c>
      <c r="C43" s="94">
        <v>10.24</v>
      </c>
      <c r="D43" s="94">
        <v>9.6999999999999993</v>
      </c>
      <c r="E43" s="94">
        <v>9.17</v>
      </c>
    </row>
    <row r="44" spans="1:5" x14ac:dyDescent="0.25">
      <c r="A44" s="93">
        <v>35</v>
      </c>
      <c r="B44" s="94">
        <v>10.94</v>
      </c>
      <c r="C44" s="94">
        <v>10.38</v>
      </c>
      <c r="D44" s="94">
        <v>9.83</v>
      </c>
      <c r="E44" s="94">
        <v>9.3000000000000007</v>
      </c>
    </row>
    <row r="45" spans="1:5" x14ac:dyDescent="0.25">
      <c r="A45" s="93">
        <v>36</v>
      </c>
      <c r="B45" s="94">
        <v>11.09</v>
      </c>
      <c r="C45" s="94">
        <v>10.53</v>
      </c>
      <c r="D45" s="94">
        <v>9.9700000000000006</v>
      </c>
      <c r="E45" s="94">
        <v>9.43</v>
      </c>
    </row>
    <row r="46" spans="1:5" x14ac:dyDescent="0.25">
      <c r="A46" s="93">
        <v>37</v>
      </c>
      <c r="B46" s="94">
        <v>11.25</v>
      </c>
      <c r="C46" s="94">
        <v>10.68</v>
      </c>
      <c r="D46" s="94">
        <v>10.11</v>
      </c>
      <c r="E46" s="94">
        <v>9.56</v>
      </c>
    </row>
    <row r="47" spans="1:5" x14ac:dyDescent="0.25">
      <c r="A47" s="93">
        <v>38</v>
      </c>
      <c r="B47" s="94">
        <v>11.42</v>
      </c>
      <c r="C47" s="94">
        <v>10.83</v>
      </c>
      <c r="D47" s="94">
        <v>10.25</v>
      </c>
      <c r="E47" s="94">
        <v>9.69</v>
      </c>
    </row>
    <row r="48" spans="1:5" x14ac:dyDescent="0.25">
      <c r="A48" s="93">
        <v>39</v>
      </c>
      <c r="B48" s="94">
        <v>11.58</v>
      </c>
      <c r="C48" s="94">
        <v>10.98</v>
      </c>
      <c r="D48" s="94">
        <v>10.4</v>
      </c>
      <c r="E48" s="94">
        <v>9.83</v>
      </c>
    </row>
    <row r="49" spans="1:5" x14ac:dyDescent="0.25">
      <c r="A49" s="93">
        <v>40</v>
      </c>
      <c r="B49" s="94">
        <v>11.75</v>
      </c>
      <c r="C49" s="94">
        <v>11.14</v>
      </c>
      <c r="D49" s="94">
        <v>10.54</v>
      </c>
      <c r="E49" s="94">
        <v>9.9600000000000009</v>
      </c>
    </row>
    <row r="50" spans="1:5" x14ac:dyDescent="0.25">
      <c r="A50" s="93">
        <v>41</v>
      </c>
      <c r="B50" s="94">
        <v>11.92</v>
      </c>
      <c r="C50" s="94">
        <v>11.3</v>
      </c>
      <c r="D50" s="94">
        <v>10.7</v>
      </c>
      <c r="E50" s="94">
        <v>10.1</v>
      </c>
    </row>
    <row r="51" spans="1:5" x14ac:dyDescent="0.25">
      <c r="A51" s="93">
        <v>42</v>
      </c>
      <c r="B51" s="94">
        <v>12.09</v>
      </c>
      <c r="C51" s="94">
        <v>11.46</v>
      </c>
      <c r="D51" s="94">
        <v>10.85</v>
      </c>
      <c r="E51" s="94">
        <v>10.25</v>
      </c>
    </row>
    <row r="52" spans="1:5" x14ac:dyDescent="0.25">
      <c r="A52" s="93">
        <v>43</v>
      </c>
      <c r="B52" s="94">
        <v>12.27</v>
      </c>
      <c r="C52" s="94">
        <v>11.63</v>
      </c>
      <c r="D52" s="94">
        <v>11.01</v>
      </c>
      <c r="E52" s="94">
        <v>10.39</v>
      </c>
    </row>
    <row r="53" spans="1:5" x14ac:dyDescent="0.25">
      <c r="A53" s="93">
        <v>44</v>
      </c>
      <c r="B53" s="94">
        <v>12.46</v>
      </c>
      <c r="C53" s="94">
        <v>11.8</v>
      </c>
      <c r="D53" s="94">
        <v>11.17</v>
      </c>
      <c r="E53" s="94">
        <v>10.54</v>
      </c>
    </row>
    <row r="54" spans="1:5" x14ac:dyDescent="0.25">
      <c r="A54" s="93">
        <v>45</v>
      </c>
      <c r="B54" s="94">
        <v>12.64</v>
      </c>
      <c r="C54" s="94">
        <v>11.98</v>
      </c>
      <c r="D54" s="94">
        <v>11.33</v>
      </c>
      <c r="E54" s="94">
        <v>10.7</v>
      </c>
    </row>
    <row r="55" spans="1:5" x14ac:dyDescent="0.25">
      <c r="A55" s="93">
        <v>46</v>
      </c>
      <c r="B55" s="94">
        <v>12.83</v>
      </c>
      <c r="C55" s="94">
        <v>12.16</v>
      </c>
      <c r="D55" s="94">
        <v>11.5</v>
      </c>
      <c r="E55" s="94">
        <v>10.85</v>
      </c>
    </row>
    <row r="56" spans="1:5" x14ac:dyDescent="0.25">
      <c r="A56" s="93">
        <v>47</v>
      </c>
      <c r="B56" s="94">
        <v>13.03</v>
      </c>
      <c r="C56" s="94">
        <v>12.34</v>
      </c>
      <c r="D56" s="94">
        <v>11.67</v>
      </c>
      <c r="E56" s="94">
        <v>11.01</v>
      </c>
    </row>
    <row r="57" spans="1:5" x14ac:dyDescent="0.25">
      <c r="A57" s="93">
        <v>48</v>
      </c>
      <c r="B57" s="94">
        <v>13.23</v>
      </c>
      <c r="C57" s="94">
        <v>12.53</v>
      </c>
      <c r="D57" s="94">
        <v>11.84</v>
      </c>
      <c r="E57" s="94">
        <v>11.18</v>
      </c>
    </row>
    <row r="58" spans="1:5" x14ac:dyDescent="0.25">
      <c r="A58" s="93">
        <v>49</v>
      </c>
      <c r="B58" s="94">
        <v>13.44</v>
      </c>
      <c r="C58" s="94">
        <v>12.72</v>
      </c>
      <c r="D58" s="94">
        <v>12.02</v>
      </c>
      <c r="E58" s="94">
        <v>11.34</v>
      </c>
    </row>
    <row r="59" spans="1:5" x14ac:dyDescent="0.25">
      <c r="A59" s="93">
        <v>50</v>
      </c>
      <c r="B59" s="94">
        <v>13.65</v>
      </c>
      <c r="C59" s="94">
        <v>12.92</v>
      </c>
      <c r="D59" s="94">
        <v>12.21</v>
      </c>
      <c r="E59" s="94">
        <v>11.52</v>
      </c>
    </row>
    <row r="60" spans="1:5" x14ac:dyDescent="0.25">
      <c r="A60" s="93">
        <v>51</v>
      </c>
      <c r="B60" s="94">
        <v>13.86</v>
      </c>
      <c r="C60" s="94">
        <v>13.12</v>
      </c>
      <c r="D60" s="94">
        <v>12.4</v>
      </c>
      <c r="E60" s="94">
        <v>11.69</v>
      </c>
    </row>
    <row r="61" spans="1:5" x14ac:dyDescent="0.25">
      <c r="A61" s="93">
        <v>52</v>
      </c>
      <c r="B61" s="94">
        <v>14.08</v>
      </c>
      <c r="C61" s="94">
        <v>13.33</v>
      </c>
      <c r="D61" s="94">
        <v>12.59</v>
      </c>
      <c r="E61" s="94">
        <v>11.87</v>
      </c>
    </row>
    <row r="62" spans="1:5" x14ac:dyDescent="0.25">
      <c r="A62" s="93">
        <v>53</v>
      </c>
      <c r="B62" s="94">
        <v>14.31</v>
      </c>
      <c r="C62" s="94">
        <v>13.54</v>
      </c>
      <c r="D62" s="94">
        <v>12.79</v>
      </c>
      <c r="E62" s="94">
        <v>12.06</v>
      </c>
    </row>
    <row r="63" spans="1:5" x14ac:dyDescent="0.25">
      <c r="A63" s="93">
        <v>54</v>
      </c>
      <c r="B63" s="94">
        <v>14.55</v>
      </c>
      <c r="C63" s="94">
        <v>13.76</v>
      </c>
      <c r="D63" s="94">
        <v>13</v>
      </c>
      <c r="E63" s="94">
        <v>12.25</v>
      </c>
    </row>
    <row r="64" spans="1:5" x14ac:dyDescent="0.25">
      <c r="A64" s="93">
        <v>55</v>
      </c>
      <c r="B64" s="94">
        <v>14.79</v>
      </c>
      <c r="C64" s="94">
        <v>13.99</v>
      </c>
      <c r="D64" s="94">
        <v>13.21</v>
      </c>
      <c r="E64" s="94">
        <v>12.45</v>
      </c>
    </row>
    <row r="65" spans="1:5" x14ac:dyDescent="0.25">
      <c r="A65" s="93">
        <v>56</v>
      </c>
      <c r="B65" s="94">
        <v>15.04</v>
      </c>
      <c r="C65" s="94">
        <v>14.22</v>
      </c>
      <c r="D65" s="94">
        <v>13.42</v>
      </c>
      <c r="E65" s="94">
        <v>12.65</v>
      </c>
    </row>
    <row r="66" spans="1:5" x14ac:dyDescent="0.25">
      <c r="A66" s="93">
        <v>57</v>
      </c>
      <c r="B66" s="94">
        <v>15.3</v>
      </c>
      <c r="C66" s="94">
        <v>14.46</v>
      </c>
      <c r="D66" s="94">
        <v>13.65</v>
      </c>
      <c r="E66" s="94">
        <v>12.86</v>
      </c>
    </row>
    <row r="67" spans="1:5" x14ac:dyDescent="0.25">
      <c r="A67" s="93">
        <v>58</v>
      </c>
      <c r="B67" s="94">
        <v>15.56</v>
      </c>
      <c r="C67" s="94">
        <v>14.71</v>
      </c>
      <c r="D67" s="94">
        <v>13.88</v>
      </c>
      <c r="E67" s="94">
        <v>13.08</v>
      </c>
    </row>
    <row r="68" spans="1:5" x14ac:dyDescent="0.25">
      <c r="A68" s="93">
        <v>59</v>
      </c>
      <c r="B68" s="94">
        <v>15.84</v>
      </c>
      <c r="C68" s="94">
        <v>14.97</v>
      </c>
      <c r="D68" s="94">
        <v>14.13</v>
      </c>
      <c r="E68" s="94">
        <v>13.3</v>
      </c>
    </row>
    <row r="69" spans="1:5" x14ac:dyDescent="0.25">
      <c r="A69" s="93">
        <v>60</v>
      </c>
      <c r="B69" s="94">
        <v>16.13</v>
      </c>
      <c r="C69" s="94">
        <v>15.24</v>
      </c>
      <c r="D69" s="94">
        <v>14.38</v>
      </c>
      <c r="E69" s="94">
        <v>13.54</v>
      </c>
    </row>
    <row r="70" spans="1:5" x14ac:dyDescent="0.25">
      <c r="A70" s="93">
        <v>61</v>
      </c>
      <c r="B70" s="94">
        <v>16.43</v>
      </c>
      <c r="C70" s="94">
        <v>15.53</v>
      </c>
      <c r="D70" s="94">
        <v>14.64</v>
      </c>
      <c r="E70" s="94">
        <v>13.78</v>
      </c>
    </row>
    <row r="71" spans="1:5" x14ac:dyDescent="0.25">
      <c r="A71" s="93">
        <v>62</v>
      </c>
      <c r="B71" s="94">
        <v>16.75</v>
      </c>
      <c r="C71" s="94">
        <v>15.82</v>
      </c>
      <c r="D71" s="94">
        <v>14.92</v>
      </c>
      <c r="E71" s="94">
        <v>14.04</v>
      </c>
    </row>
    <row r="72" spans="1:5" x14ac:dyDescent="0.25">
      <c r="A72" s="93">
        <v>63</v>
      </c>
      <c r="B72" s="94">
        <v>17.079999999999998</v>
      </c>
      <c r="C72" s="94">
        <v>16.13</v>
      </c>
      <c r="D72" s="94">
        <v>15.21</v>
      </c>
      <c r="E72" s="94">
        <v>14.31</v>
      </c>
    </row>
    <row r="73" spans="1:5" x14ac:dyDescent="0.25">
      <c r="A73" s="93">
        <v>64</v>
      </c>
      <c r="B73" s="94">
        <v>17.43</v>
      </c>
      <c r="C73" s="94">
        <v>16.46</v>
      </c>
      <c r="D73" s="94">
        <v>15.52</v>
      </c>
      <c r="E73" s="94">
        <v>14.6</v>
      </c>
    </row>
    <row r="74" spans="1:5" x14ac:dyDescent="0.25">
      <c r="A74" s="93">
        <v>65</v>
      </c>
      <c r="B74" s="94"/>
      <c r="C74" s="94">
        <v>16.82</v>
      </c>
      <c r="D74" s="94">
        <v>15.85</v>
      </c>
      <c r="E74" s="94">
        <v>14.9</v>
      </c>
    </row>
    <row r="75" spans="1:5" x14ac:dyDescent="0.25">
      <c r="A75" s="93">
        <v>66</v>
      </c>
      <c r="B75" s="94"/>
      <c r="C75" s="94"/>
      <c r="D75" s="94">
        <v>16.2</v>
      </c>
      <c r="E75" s="94">
        <v>15.23</v>
      </c>
    </row>
    <row r="76" spans="1:5" x14ac:dyDescent="0.25">
      <c r="A76" s="93">
        <v>67</v>
      </c>
      <c r="B76" s="94"/>
      <c r="C76" s="94"/>
      <c r="D76" s="94"/>
      <c r="E76" s="94">
        <v>15.58</v>
      </c>
    </row>
  </sheetData>
  <sheetProtection algorithmName="SHA-512" hashValue="4l5aR+lH9FgDHhL6/WyQPQWH1yYHCsNWYqSDeO3+7ErZ6KCmX9m2p61t8BqSjRK6izRvfPhAtdV1lM6NKaT8xw==" saltValue="LARbk41k7sgLNQGdIuudTg==" spinCount="100000" sheet="1" objects="1" scenarios="1"/>
  <conditionalFormatting sqref="A6:A21">
    <cfRule type="expression" dxfId="257" priority="9" stopIfTrue="1">
      <formula>MOD(ROW(),2)=0</formula>
    </cfRule>
    <cfRule type="expression" dxfId="256" priority="10" stopIfTrue="1">
      <formula>MOD(ROW(),2)&lt;&gt;0</formula>
    </cfRule>
  </conditionalFormatting>
  <conditionalFormatting sqref="A26:A76">
    <cfRule type="expression" dxfId="255" priority="3" stopIfTrue="1">
      <formula>MOD(ROW(),2)=0</formula>
    </cfRule>
    <cfRule type="expression" dxfId="254" priority="4" stopIfTrue="1">
      <formula>MOD(ROW(),2)&lt;&gt;0</formula>
    </cfRule>
  </conditionalFormatting>
  <conditionalFormatting sqref="B17:B21">
    <cfRule type="expression" dxfId="253" priority="1" stopIfTrue="1">
      <formula>MOD(ROW(),2)=0</formula>
    </cfRule>
    <cfRule type="expression" dxfId="252" priority="2" stopIfTrue="1">
      <formula>MOD(ROW(),2)&lt;&gt;0</formula>
    </cfRule>
  </conditionalFormatting>
  <conditionalFormatting sqref="B6:E21">
    <cfRule type="expression" dxfId="251" priority="19" stopIfTrue="1">
      <formula>MOD(ROW(),2)=0</formula>
    </cfRule>
    <cfRule type="expression" dxfId="250" priority="20" stopIfTrue="1">
      <formula>MOD(ROW(),2)&lt;&gt;0</formula>
    </cfRule>
  </conditionalFormatting>
  <conditionalFormatting sqref="B26:E76">
    <cfRule type="expression" dxfId="249" priority="5" stopIfTrue="1">
      <formula>MOD(ROW(),2)=0</formula>
    </cfRule>
    <cfRule type="expression" dxfId="24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76"/>
  <sheetViews>
    <sheetView showGridLines="0" zoomScale="85" zoomScaleNormal="85" workbookViewId="0">
      <selection activeCell="A4" sqref="A4"/>
    </sheetView>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x-608</v>
      </c>
      <c r="B3" s="43"/>
      <c r="C3" s="43"/>
      <c r="D3" s="43"/>
      <c r="E3" s="43"/>
      <c r="F3" s="43"/>
      <c r="G3" s="43"/>
      <c r="H3" s="43"/>
      <c r="I3" s="43"/>
    </row>
    <row r="4" spans="1:9" x14ac:dyDescent="0.25">
      <c r="A4" s="45"/>
    </row>
    <row r="6" spans="1:9" x14ac:dyDescent="0.25">
      <c r="A6" s="77" t="s">
        <v>558</v>
      </c>
      <c r="B6" s="152" t="s">
        <v>559</v>
      </c>
      <c r="C6" s="152"/>
      <c r="D6" s="152"/>
      <c r="E6" s="152"/>
    </row>
    <row r="7" spans="1:9" x14ac:dyDescent="0.25">
      <c r="A7" s="79" t="s">
        <v>305</v>
      </c>
      <c r="B7" s="152" t="s">
        <v>319</v>
      </c>
      <c r="C7" s="152"/>
      <c r="D7" s="152"/>
      <c r="E7" s="152"/>
    </row>
    <row r="8" spans="1:9" x14ac:dyDescent="0.25">
      <c r="A8" s="79" t="s">
        <v>306</v>
      </c>
      <c r="B8" s="152">
        <v>2015</v>
      </c>
      <c r="C8" s="152"/>
      <c r="D8" s="152"/>
      <c r="E8" s="152"/>
    </row>
    <row r="9" spans="1:9" x14ac:dyDescent="0.25">
      <c r="A9" s="79" t="s">
        <v>307</v>
      </c>
      <c r="B9" s="152" t="s">
        <v>481</v>
      </c>
      <c r="C9" s="152"/>
      <c r="D9" s="152"/>
      <c r="E9" s="152"/>
    </row>
    <row r="10" spans="1:9" x14ac:dyDescent="0.25">
      <c r="A10" s="79" t="s">
        <v>233</v>
      </c>
      <c r="B10" s="152" t="s">
        <v>492</v>
      </c>
      <c r="C10" s="152"/>
      <c r="D10" s="152"/>
      <c r="E10" s="152"/>
    </row>
    <row r="11" spans="1:9" x14ac:dyDescent="0.25">
      <c r="A11" s="79" t="s">
        <v>308</v>
      </c>
      <c r="B11" s="152" t="s">
        <v>328</v>
      </c>
      <c r="C11" s="152"/>
      <c r="D11" s="152"/>
      <c r="E11" s="152"/>
    </row>
    <row r="12" spans="1:9" x14ac:dyDescent="0.25">
      <c r="A12" s="79" t="s">
        <v>309</v>
      </c>
      <c r="B12" s="152" t="s">
        <v>484</v>
      </c>
      <c r="C12" s="152"/>
      <c r="D12" s="152"/>
      <c r="E12" s="152"/>
    </row>
    <row r="13" spans="1:9" x14ac:dyDescent="0.25">
      <c r="A13" s="79" t="s">
        <v>566</v>
      </c>
      <c r="B13" s="152">
        <v>0</v>
      </c>
      <c r="C13" s="152"/>
      <c r="D13" s="152"/>
      <c r="E13" s="152"/>
    </row>
    <row r="14" spans="1:9" x14ac:dyDescent="0.25">
      <c r="A14" s="79" t="s">
        <v>311</v>
      </c>
      <c r="B14" s="152">
        <v>608</v>
      </c>
      <c r="C14" s="152"/>
      <c r="D14" s="152"/>
      <c r="E14" s="152"/>
    </row>
    <row r="15" spans="1:9" x14ac:dyDescent="0.25">
      <c r="A15" s="79" t="s">
        <v>569</v>
      </c>
      <c r="B15" s="152" t="s">
        <v>494</v>
      </c>
      <c r="C15" s="152"/>
      <c r="D15" s="152"/>
      <c r="E15" s="152"/>
    </row>
    <row r="16" spans="1:9" x14ac:dyDescent="0.25">
      <c r="A16" s="79" t="s">
        <v>313</v>
      </c>
      <c r="B16" s="152" t="s">
        <v>330</v>
      </c>
      <c r="C16" s="152"/>
      <c r="D16" s="152"/>
      <c r="E16" s="152"/>
    </row>
    <row r="17" spans="1:5" x14ac:dyDescent="0.25">
      <c r="A17" s="79" t="s">
        <v>639</v>
      </c>
      <c r="B17" s="152"/>
      <c r="C17" s="152"/>
      <c r="D17" s="152"/>
      <c r="E17" s="152"/>
    </row>
    <row r="18" spans="1:5" x14ac:dyDescent="0.25">
      <c r="A18" s="79" t="s">
        <v>315</v>
      </c>
      <c r="B18" s="154">
        <v>45135</v>
      </c>
      <c r="C18" s="152"/>
      <c r="D18" s="152"/>
      <c r="E18" s="152"/>
    </row>
    <row r="19" spans="1:5" x14ac:dyDescent="0.25">
      <c r="A19" s="79" t="s">
        <v>316</v>
      </c>
      <c r="B19" s="154">
        <v>45135</v>
      </c>
      <c r="C19" s="152"/>
      <c r="D19" s="152"/>
      <c r="E19" s="152"/>
    </row>
    <row r="20" spans="1:5" x14ac:dyDescent="0.25">
      <c r="A20" s="79" t="s">
        <v>317</v>
      </c>
      <c r="B20" s="152" t="s">
        <v>326</v>
      </c>
      <c r="C20" s="152"/>
      <c r="D20" s="152"/>
      <c r="E20" s="152"/>
    </row>
    <row r="21" spans="1:5" x14ac:dyDescent="0.25">
      <c r="A21" s="79" t="s">
        <v>318</v>
      </c>
      <c r="B21" s="152" t="s">
        <v>327</v>
      </c>
      <c r="C21" s="152"/>
      <c r="D21" s="152"/>
      <c r="E21" s="152"/>
    </row>
    <row r="23" spans="1:5" x14ac:dyDescent="0.25">
      <c r="B23" s="96" t="str">
        <f>HYPERLINK("#'Factor List'!A1","Back to Factor List")</f>
        <v>Back to Factor List</v>
      </c>
    </row>
    <row r="24" spans="1:5" x14ac:dyDescent="0.25">
      <c r="B24" s="96" t="str">
        <f>HYPERLINK("#'Assumptions'!A1","Assumptions")</f>
        <v>Assumptions</v>
      </c>
    </row>
    <row r="26" spans="1:5" x14ac:dyDescent="0.25">
      <c r="A26" s="92" t="s">
        <v>640</v>
      </c>
      <c r="B26" s="92" t="s">
        <v>660</v>
      </c>
      <c r="C26" s="92" t="s">
        <v>661</v>
      </c>
      <c r="D26" s="92" t="s">
        <v>662</v>
      </c>
      <c r="E26" s="92" t="s">
        <v>663</v>
      </c>
    </row>
    <row r="27" spans="1:5" x14ac:dyDescent="0.25">
      <c r="A27" s="93">
        <v>18</v>
      </c>
      <c r="B27" s="94">
        <v>8.64</v>
      </c>
      <c r="C27" s="94">
        <v>8.2100000000000009</v>
      </c>
      <c r="D27" s="94">
        <v>7.8</v>
      </c>
      <c r="E27" s="94">
        <v>7.4</v>
      </c>
    </row>
    <row r="28" spans="1:5" x14ac:dyDescent="0.25">
      <c r="A28" s="93">
        <v>19</v>
      </c>
      <c r="B28" s="94">
        <v>8.76</v>
      </c>
      <c r="C28" s="94">
        <v>8.33</v>
      </c>
      <c r="D28" s="94">
        <v>7.91</v>
      </c>
      <c r="E28" s="94">
        <v>7.5</v>
      </c>
    </row>
    <row r="29" spans="1:5" x14ac:dyDescent="0.25">
      <c r="A29" s="93">
        <v>20</v>
      </c>
      <c r="B29" s="94">
        <v>8.8800000000000008</v>
      </c>
      <c r="C29" s="94">
        <v>8.44</v>
      </c>
      <c r="D29" s="94">
        <v>8.02</v>
      </c>
      <c r="E29" s="94">
        <v>7.6</v>
      </c>
    </row>
    <row r="30" spans="1:5" x14ac:dyDescent="0.25">
      <c r="A30" s="93">
        <v>21</v>
      </c>
      <c r="B30" s="94">
        <v>9</v>
      </c>
      <c r="C30" s="94">
        <v>8.56</v>
      </c>
      <c r="D30" s="94">
        <v>8.1199999999999992</v>
      </c>
      <c r="E30" s="94">
        <v>7.7</v>
      </c>
    </row>
    <row r="31" spans="1:5" x14ac:dyDescent="0.25">
      <c r="A31" s="93">
        <v>22</v>
      </c>
      <c r="B31" s="94">
        <v>9.1300000000000008</v>
      </c>
      <c r="C31" s="94">
        <v>8.68</v>
      </c>
      <c r="D31" s="94">
        <v>8.24</v>
      </c>
      <c r="E31" s="94">
        <v>7.81</v>
      </c>
    </row>
    <row r="32" spans="1:5" x14ac:dyDescent="0.25">
      <c r="A32" s="93">
        <v>23</v>
      </c>
      <c r="B32" s="94">
        <v>9.25</v>
      </c>
      <c r="C32" s="94">
        <v>8.8000000000000007</v>
      </c>
      <c r="D32" s="94">
        <v>8.35</v>
      </c>
      <c r="E32" s="94">
        <v>7.91</v>
      </c>
    </row>
    <row r="33" spans="1:5" x14ac:dyDescent="0.25">
      <c r="A33" s="93">
        <v>24</v>
      </c>
      <c r="B33" s="94">
        <v>9.3800000000000008</v>
      </c>
      <c r="C33" s="94">
        <v>8.92</v>
      </c>
      <c r="D33" s="94">
        <v>8.4600000000000009</v>
      </c>
      <c r="E33" s="94">
        <v>8.02</v>
      </c>
    </row>
    <row r="34" spans="1:5" x14ac:dyDescent="0.25">
      <c r="A34" s="93">
        <v>25</v>
      </c>
      <c r="B34" s="94">
        <v>9.51</v>
      </c>
      <c r="C34" s="94">
        <v>9.0399999999999991</v>
      </c>
      <c r="D34" s="94">
        <v>8.58</v>
      </c>
      <c r="E34" s="94">
        <v>8.1199999999999992</v>
      </c>
    </row>
    <row r="35" spans="1:5" x14ac:dyDescent="0.25">
      <c r="A35" s="93">
        <v>26</v>
      </c>
      <c r="B35" s="94">
        <v>9.65</v>
      </c>
      <c r="C35" s="94">
        <v>9.16</v>
      </c>
      <c r="D35" s="94">
        <v>8.69</v>
      </c>
      <c r="E35" s="94">
        <v>8.23</v>
      </c>
    </row>
    <row r="36" spans="1:5" x14ac:dyDescent="0.25">
      <c r="A36" s="93">
        <v>27</v>
      </c>
      <c r="B36" s="94">
        <v>9.7799999999999994</v>
      </c>
      <c r="C36" s="94">
        <v>9.2899999999999991</v>
      </c>
      <c r="D36" s="94">
        <v>8.81</v>
      </c>
      <c r="E36" s="94">
        <v>8.35</v>
      </c>
    </row>
    <row r="37" spans="1:5" x14ac:dyDescent="0.25">
      <c r="A37" s="93">
        <v>28</v>
      </c>
      <c r="B37" s="94">
        <v>9.92</v>
      </c>
      <c r="C37" s="94">
        <v>9.42</v>
      </c>
      <c r="D37" s="94">
        <v>8.93</v>
      </c>
      <c r="E37" s="94">
        <v>8.4600000000000009</v>
      </c>
    </row>
    <row r="38" spans="1:5" x14ac:dyDescent="0.25">
      <c r="A38" s="93">
        <v>29</v>
      </c>
      <c r="B38" s="94">
        <v>10.050000000000001</v>
      </c>
      <c r="C38" s="94">
        <v>9.5500000000000007</v>
      </c>
      <c r="D38" s="94">
        <v>9.06</v>
      </c>
      <c r="E38" s="94">
        <v>8.57</v>
      </c>
    </row>
    <row r="39" spans="1:5" x14ac:dyDescent="0.25">
      <c r="A39" s="93">
        <v>30</v>
      </c>
      <c r="B39" s="94">
        <v>10.199999999999999</v>
      </c>
      <c r="C39" s="94">
        <v>9.68</v>
      </c>
      <c r="D39" s="94">
        <v>9.18</v>
      </c>
      <c r="E39" s="94">
        <v>8.69</v>
      </c>
    </row>
    <row r="40" spans="1:5" x14ac:dyDescent="0.25">
      <c r="A40" s="93">
        <v>31</v>
      </c>
      <c r="B40" s="94">
        <v>10.34</v>
      </c>
      <c r="C40" s="94">
        <v>9.82</v>
      </c>
      <c r="D40" s="94">
        <v>9.31</v>
      </c>
      <c r="E40" s="94">
        <v>8.81</v>
      </c>
    </row>
    <row r="41" spans="1:5" x14ac:dyDescent="0.25">
      <c r="A41" s="93">
        <v>32</v>
      </c>
      <c r="B41" s="94">
        <v>10.49</v>
      </c>
      <c r="C41" s="94">
        <v>9.9499999999999993</v>
      </c>
      <c r="D41" s="94">
        <v>9.43</v>
      </c>
      <c r="E41" s="94">
        <v>8.93</v>
      </c>
    </row>
    <row r="42" spans="1:5" x14ac:dyDescent="0.25">
      <c r="A42" s="93">
        <v>33</v>
      </c>
      <c r="B42" s="94">
        <v>10.63</v>
      </c>
      <c r="C42" s="94">
        <v>10.09</v>
      </c>
      <c r="D42" s="94">
        <v>9.57</v>
      </c>
      <c r="E42" s="94">
        <v>9.0500000000000007</v>
      </c>
    </row>
    <row r="43" spans="1:5" x14ac:dyDescent="0.25">
      <c r="A43" s="93">
        <v>34</v>
      </c>
      <c r="B43" s="94">
        <v>10.78</v>
      </c>
      <c r="C43" s="94">
        <v>10.24</v>
      </c>
      <c r="D43" s="94">
        <v>9.6999999999999993</v>
      </c>
      <c r="E43" s="94">
        <v>9.17</v>
      </c>
    </row>
    <row r="44" spans="1:5" x14ac:dyDescent="0.25">
      <c r="A44" s="93">
        <v>35</v>
      </c>
      <c r="B44" s="94">
        <v>10.94</v>
      </c>
      <c r="C44" s="94">
        <v>10.38</v>
      </c>
      <c r="D44" s="94">
        <v>9.83</v>
      </c>
      <c r="E44" s="94">
        <v>9.3000000000000007</v>
      </c>
    </row>
    <row r="45" spans="1:5" x14ac:dyDescent="0.25">
      <c r="A45" s="93">
        <v>36</v>
      </c>
      <c r="B45" s="94">
        <v>11.09</v>
      </c>
      <c r="C45" s="94">
        <v>10.53</v>
      </c>
      <c r="D45" s="94">
        <v>9.9700000000000006</v>
      </c>
      <c r="E45" s="94">
        <v>9.43</v>
      </c>
    </row>
    <row r="46" spans="1:5" x14ac:dyDescent="0.25">
      <c r="A46" s="93">
        <v>37</v>
      </c>
      <c r="B46" s="94">
        <v>11.25</v>
      </c>
      <c r="C46" s="94">
        <v>10.68</v>
      </c>
      <c r="D46" s="94">
        <v>10.11</v>
      </c>
      <c r="E46" s="94">
        <v>9.56</v>
      </c>
    </row>
    <row r="47" spans="1:5" x14ac:dyDescent="0.25">
      <c r="A47" s="93">
        <v>38</v>
      </c>
      <c r="B47" s="94">
        <v>11.42</v>
      </c>
      <c r="C47" s="94">
        <v>10.83</v>
      </c>
      <c r="D47" s="94">
        <v>10.25</v>
      </c>
      <c r="E47" s="94">
        <v>9.69</v>
      </c>
    </row>
    <row r="48" spans="1:5" x14ac:dyDescent="0.25">
      <c r="A48" s="93">
        <v>39</v>
      </c>
      <c r="B48" s="94">
        <v>11.58</v>
      </c>
      <c r="C48" s="94">
        <v>10.98</v>
      </c>
      <c r="D48" s="94">
        <v>10.4</v>
      </c>
      <c r="E48" s="94">
        <v>9.83</v>
      </c>
    </row>
    <row r="49" spans="1:5" x14ac:dyDescent="0.25">
      <c r="A49" s="93">
        <v>40</v>
      </c>
      <c r="B49" s="94">
        <v>11.75</v>
      </c>
      <c r="C49" s="94">
        <v>11.14</v>
      </c>
      <c r="D49" s="94">
        <v>10.54</v>
      </c>
      <c r="E49" s="94">
        <v>9.9600000000000009</v>
      </c>
    </row>
    <row r="50" spans="1:5" x14ac:dyDescent="0.25">
      <c r="A50" s="93">
        <v>41</v>
      </c>
      <c r="B50" s="94">
        <v>11.92</v>
      </c>
      <c r="C50" s="94">
        <v>11.3</v>
      </c>
      <c r="D50" s="94">
        <v>10.7</v>
      </c>
      <c r="E50" s="94">
        <v>10.1</v>
      </c>
    </row>
    <row r="51" spans="1:5" x14ac:dyDescent="0.25">
      <c r="A51" s="93">
        <v>42</v>
      </c>
      <c r="B51" s="94">
        <v>12.09</v>
      </c>
      <c r="C51" s="94">
        <v>11.46</v>
      </c>
      <c r="D51" s="94">
        <v>10.85</v>
      </c>
      <c r="E51" s="94">
        <v>10.25</v>
      </c>
    </row>
    <row r="52" spans="1:5" x14ac:dyDescent="0.25">
      <c r="A52" s="93">
        <v>43</v>
      </c>
      <c r="B52" s="94">
        <v>12.27</v>
      </c>
      <c r="C52" s="94">
        <v>11.63</v>
      </c>
      <c r="D52" s="94">
        <v>11.01</v>
      </c>
      <c r="E52" s="94">
        <v>10.39</v>
      </c>
    </row>
    <row r="53" spans="1:5" x14ac:dyDescent="0.25">
      <c r="A53" s="93">
        <v>44</v>
      </c>
      <c r="B53" s="94">
        <v>12.46</v>
      </c>
      <c r="C53" s="94">
        <v>11.8</v>
      </c>
      <c r="D53" s="94">
        <v>11.17</v>
      </c>
      <c r="E53" s="94">
        <v>10.54</v>
      </c>
    </row>
    <row r="54" spans="1:5" x14ac:dyDescent="0.25">
      <c r="A54" s="93">
        <v>45</v>
      </c>
      <c r="B54" s="94">
        <v>12.64</v>
      </c>
      <c r="C54" s="94">
        <v>11.98</v>
      </c>
      <c r="D54" s="94">
        <v>11.33</v>
      </c>
      <c r="E54" s="94">
        <v>10.7</v>
      </c>
    </row>
    <row r="55" spans="1:5" x14ac:dyDescent="0.25">
      <c r="A55" s="93">
        <v>46</v>
      </c>
      <c r="B55" s="94">
        <v>12.83</v>
      </c>
      <c r="C55" s="94">
        <v>12.16</v>
      </c>
      <c r="D55" s="94">
        <v>11.5</v>
      </c>
      <c r="E55" s="94">
        <v>10.85</v>
      </c>
    </row>
    <row r="56" spans="1:5" x14ac:dyDescent="0.25">
      <c r="A56" s="93">
        <v>47</v>
      </c>
      <c r="B56" s="94">
        <v>13.03</v>
      </c>
      <c r="C56" s="94">
        <v>12.34</v>
      </c>
      <c r="D56" s="94">
        <v>11.67</v>
      </c>
      <c r="E56" s="94">
        <v>11.01</v>
      </c>
    </row>
    <row r="57" spans="1:5" x14ac:dyDescent="0.25">
      <c r="A57" s="93">
        <v>48</v>
      </c>
      <c r="B57" s="94">
        <v>13.23</v>
      </c>
      <c r="C57" s="94">
        <v>12.53</v>
      </c>
      <c r="D57" s="94">
        <v>11.84</v>
      </c>
      <c r="E57" s="94">
        <v>11.18</v>
      </c>
    </row>
    <row r="58" spans="1:5" x14ac:dyDescent="0.25">
      <c r="A58" s="93">
        <v>49</v>
      </c>
      <c r="B58" s="94">
        <v>13.44</v>
      </c>
      <c r="C58" s="94">
        <v>12.72</v>
      </c>
      <c r="D58" s="94">
        <v>12.02</v>
      </c>
      <c r="E58" s="94">
        <v>11.34</v>
      </c>
    </row>
    <row r="59" spans="1:5" x14ac:dyDescent="0.25">
      <c r="A59" s="93">
        <v>50</v>
      </c>
      <c r="B59" s="94">
        <v>13.65</v>
      </c>
      <c r="C59" s="94">
        <v>12.92</v>
      </c>
      <c r="D59" s="94">
        <v>12.21</v>
      </c>
      <c r="E59" s="94">
        <v>11.52</v>
      </c>
    </row>
    <row r="60" spans="1:5" x14ac:dyDescent="0.25">
      <c r="A60" s="93">
        <v>51</v>
      </c>
      <c r="B60" s="94">
        <v>13.86</v>
      </c>
      <c r="C60" s="94">
        <v>13.12</v>
      </c>
      <c r="D60" s="94">
        <v>12.4</v>
      </c>
      <c r="E60" s="94">
        <v>11.69</v>
      </c>
    </row>
    <row r="61" spans="1:5" x14ac:dyDescent="0.25">
      <c r="A61" s="93">
        <v>52</v>
      </c>
      <c r="B61" s="94">
        <v>14.08</v>
      </c>
      <c r="C61" s="94">
        <v>13.33</v>
      </c>
      <c r="D61" s="94">
        <v>12.59</v>
      </c>
      <c r="E61" s="94">
        <v>11.87</v>
      </c>
    </row>
    <row r="62" spans="1:5" x14ac:dyDescent="0.25">
      <c r="A62" s="93">
        <v>53</v>
      </c>
      <c r="B62" s="94">
        <v>14.31</v>
      </c>
      <c r="C62" s="94">
        <v>13.54</v>
      </c>
      <c r="D62" s="94">
        <v>12.79</v>
      </c>
      <c r="E62" s="94">
        <v>12.06</v>
      </c>
    </row>
    <row r="63" spans="1:5" x14ac:dyDescent="0.25">
      <c r="A63" s="93">
        <v>54</v>
      </c>
      <c r="B63" s="94">
        <v>14.55</v>
      </c>
      <c r="C63" s="94">
        <v>13.76</v>
      </c>
      <c r="D63" s="94">
        <v>13</v>
      </c>
      <c r="E63" s="94">
        <v>12.25</v>
      </c>
    </row>
    <row r="64" spans="1:5" x14ac:dyDescent="0.25">
      <c r="A64" s="93">
        <v>55</v>
      </c>
      <c r="B64" s="94">
        <v>14.79</v>
      </c>
      <c r="C64" s="94">
        <v>13.99</v>
      </c>
      <c r="D64" s="94">
        <v>13.21</v>
      </c>
      <c r="E64" s="94">
        <v>12.45</v>
      </c>
    </row>
    <row r="65" spans="1:5" x14ac:dyDescent="0.25">
      <c r="A65" s="93">
        <v>56</v>
      </c>
      <c r="B65" s="94">
        <v>15.04</v>
      </c>
      <c r="C65" s="94">
        <v>14.22</v>
      </c>
      <c r="D65" s="94">
        <v>13.42</v>
      </c>
      <c r="E65" s="94">
        <v>12.65</v>
      </c>
    </row>
    <row r="66" spans="1:5" x14ac:dyDescent="0.25">
      <c r="A66" s="93">
        <v>57</v>
      </c>
      <c r="B66" s="94">
        <v>15.3</v>
      </c>
      <c r="C66" s="94">
        <v>14.46</v>
      </c>
      <c r="D66" s="94">
        <v>13.65</v>
      </c>
      <c r="E66" s="94">
        <v>12.86</v>
      </c>
    </row>
    <row r="67" spans="1:5" x14ac:dyDescent="0.25">
      <c r="A67" s="93">
        <v>58</v>
      </c>
      <c r="B67" s="94">
        <v>15.56</v>
      </c>
      <c r="C67" s="94">
        <v>14.71</v>
      </c>
      <c r="D67" s="94">
        <v>13.88</v>
      </c>
      <c r="E67" s="94">
        <v>13.08</v>
      </c>
    </row>
    <row r="68" spans="1:5" x14ac:dyDescent="0.25">
      <c r="A68" s="93">
        <v>59</v>
      </c>
      <c r="B68" s="94">
        <v>15.84</v>
      </c>
      <c r="C68" s="94">
        <v>14.97</v>
      </c>
      <c r="D68" s="94">
        <v>14.13</v>
      </c>
      <c r="E68" s="94">
        <v>13.3</v>
      </c>
    </row>
    <row r="69" spans="1:5" x14ac:dyDescent="0.25">
      <c r="A69" s="93">
        <v>60</v>
      </c>
      <c r="B69" s="94">
        <v>16.13</v>
      </c>
      <c r="C69" s="94">
        <v>15.24</v>
      </c>
      <c r="D69" s="94">
        <v>14.38</v>
      </c>
      <c r="E69" s="94">
        <v>13.54</v>
      </c>
    </row>
    <row r="70" spans="1:5" x14ac:dyDescent="0.25">
      <c r="A70" s="93">
        <v>61</v>
      </c>
      <c r="B70" s="94">
        <v>16.43</v>
      </c>
      <c r="C70" s="94">
        <v>15.53</v>
      </c>
      <c r="D70" s="94">
        <v>14.64</v>
      </c>
      <c r="E70" s="94">
        <v>13.78</v>
      </c>
    </row>
    <row r="71" spans="1:5" x14ac:dyDescent="0.25">
      <c r="A71" s="93">
        <v>62</v>
      </c>
      <c r="B71" s="94">
        <v>16.75</v>
      </c>
      <c r="C71" s="94">
        <v>15.82</v>
      </c>
      <c r="D71" s="94">
        <v>14.92</v>
      </c>
      <c r="E71" s="94">
        <v>14.04</v>
      </c>
    </row>
    <row r="72" spans="1:5" x14ac:dyDescent="0.25">
      <c r="A72" s="93">
        <v>63</v>
      </c>
      <c r="B72" s="94">
        <v>17.079999999999998</v>
      </c>
      <c r="C72" s="94">
        <v>16.13</v>
      </c>
      <c r="D72" s="94">
        <v>15.21</v>
      </c>
      <c r="E72" s="94">
        <v>14.31</v>
      </c>
    </row>
    <row r="73" spans="1:5" x14ac:dyDescent="0.25">
      <c r="A73" s="93">
        <v>64</v>
      </c>
      <c r="B73" s="94">
        <v>17.43</v>
      </c>
      <c r="C73" s="94">
        <v>16.46</v>
      </c>
      <c r="D73" s="94">
        <v>15.52</v>
      </c>
      <c r="E73" s="94">
        <v>14.6</v>
      </c>
    </row>
    <row r="74" spans="1:5" x14ac:dyDescent="0.25">
      <c r="A74" s="93">
        <v>65</v>
      </c>
      <c r="B74" s="94"/>
      <c r="C74" s="94">
        <v>16.82</v>
      </c>
      <c r="D74" s="94">
        <v>15.85</v>
      </c>
      <c r="E74" s="94">
        <v>14.9</v>
      </c>
    </row>
    <row r="75" spans="1:5" x14ac:dyDescent="0.25">
      <c r="A75" s="93">
        <v>66</v>
      </c>
      <c r="B75" s="94"/>
      <c r="C75" s="94"/>
      <c r="D75" s="94">
        <v>16.2</v>
      </c>
      <c r="E75" s="94">
        <v>15.23</v>
      </c>
    </row>
    <row r="76" spans="1:5" x14ac:dyDescent="0.25">
      <c r="A76" s="93">
        <v>67</v>
      </c>
      <c r="B76" s="94"/>
      <c r="C76" s="94"/>
      <c r="D76" s="94"/>
      <c r="E76" s="94">
        <v>15.58</v>
      </c>
    </row>
  </sheetData>
  <sheetProtection algorithmName="SHA-512" hashValue="g8mURdEg8YPDoNgnooDdfyZieV61L7xVfAQdvoFTxuetCFpEENUlJDHKbysOrjJ7wBa+bley2+8zspI55ziu1Q==" saltValue="8h7UmsrTxRzK5XtTIvT76A==" spinCount="100000" sheet="1" objects="1" scenarios="1"/>
  <conditionalFormatting sqref="A6:A21">
    <cfRule type="expression" dxfId="247" priority="11" stopIfTrue="1">
      <formula>MOD(ROW(),2)=0</formula>
    </cfRule>
    <cfRule type="expression" dxfId="246" priority="12" stopIfTrue="1">
      <formula>MOD(ROW(),2)&lt;&gt;0</formula>
    </cfRule>
  </conditionalFormatting>
  <conditionalFormatting sqref="A26:A76">
    <cfRule type="expression" dxfId="245" priority="3" stopIfTrue="1">
      <formula>MOD(ROW(),2)=0</formula>
    </cfRule>
    <cfRule type="expression" dxfId="244" priority="4" stopIfTrue="1">
      <formula>MOD(ROW(),2)&lt;&gt;0</formula>
    </cfRule>
  </conditionalFormatting>
  <conditionalFormatting sqref="B17:B21">
    <cfRule type="expression" dxfId="243" priority="1" stopIfTrue="1">
      <formula>MOD(ROW(),2)=0</formula>
    </cfRule>
    <cfRule type="expression" dxfId="242" priority="2" stopIfTrue="1">
      <formula>MOD(ROW(),2)&lt;&gt;0</formula>
    </cfRule>
  </conditionalFormatting>
  <conditionalFormatting sqref="B6:E21">
    <cfRule type="expression" dxfId="241" priority="21" stopIfTrue="1">
      <formula>MOD(ROW(),2)=0</formula>
    </cfRule>
    <cfRule type="expression" dxfId="240" priority="22" stopIfTrue="1">
      <formula>MOD(ROW(),2)&lt;&gt;0</formula>
    </cfRule>
  </conditionalFormatting>
  <conditionalFormatting sqref="B26:E76">
    <cfRule type="expression" dxfId="239" priority="5" stopIfTrue="1">
      <formula>MOD(ROW(),2)=0</formula>
    </cfRule>
    <cfRule type="expression" dxfId="23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I47"/>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x-609</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2015</v>
      </c>
      <c r="C8" s="152"/>
    </row>
    <row r="9" spans="1:9" x14ac:dyDescent="0.25">
      <c r="A9" s="79" t="s">
        <v>307</v>
      </c>
      <c r="B9" s="152" t="s">
        <v>481</v>
      </c>
      <c r="C9" s="152"/>
    </row>
    <row r="10" spans="1:9" x14ac:dyDescent="0.25">
      <c r="A10" s="79" t="s">
        <v>233</v>
      </c>
      <c r="B10" s="152" t="s">
        <v>495</v>
      </c>
      <c r="C10" s="152"/>
    </row>
    <row r="11" spans="1:9" x14ac:dyDescent="0.25">
      <c r="A11" s="79" t="s">
        <v>308</v>
      </c>
      <c r="B11" s="152" t="s">
        <v>483</v>
      </c>
      <c r="C11" s="152"/>
    </row>
    <row r="12" spans="1:9" x14ac:dyDescent="0.25">
      <c r="A12" s="79" t="s">
        <v>309</v>
      </c>
      <c r="B12" s="152" t="s">
        <v>323</v>
      </c>
      <c r="C12" s="152"/>
    </row>
    <row r="13" spans="1:9" x14ac:dyDescent="0.25">
      <c r="A13" s="79" t="s">
        <v>566</v>
      </c>
      <c r="B13" s="152">
        <v>0</v>
      </c>
      <c r="C13" s="152"/>
    </row>
    <row r="14" spans="1:9" x14ac:dyDescent="0.25">
      <c r="A14" s="79" t="s">
        <v>311</v>
      </c>
      <c r="B14" s="152">
        <v>609</v>
      </c>
      <c r="C14" s="152"/>
    </row>
    <row r="15" spans="1:9" x14ac:dyDescent="0.25">
      <c r="A15" s="79" t="s">
        <v>569</v>
      </c>
      <c r="B15" s="152" t="s">
        <v>496</v>
      </c>
      <c r="C15" s="152"/>
    </row>
    <row r="16" spans="1:9" x14ac:dyDescent="0.25">
      <c r="A16" s="79" t="s">
        <v>313</v>
      </c>
      <c r="B16" s="152" t="s">
        <v>398</v>
      </c>
      <c r="C16" s="152"/>
    </row>
    <row r="17" spans="1:3" x14ac:dyDescent="0.25">
      <c r="A17" s="79" t="s">
        <v>639</v>
      </c>
      <c r="B17" s="152"/>
      <c r="C17" s="152"/>
    </row>
    <row r="18" spans="1:3" x14ac:dyDescent="0.25">
      <c r="A18" s="79" t="s">
        <v>315</v>
      </c>
      <c r="B18" s="154">
        <v>45135</v>
      </c>
      <c r="C18" s="152"/>
    </row>
    <row r="19" spans="1:3" x14ac:dyDescent="0.25">
      <c r="A19" s="79" t="s">
        <v>316</v>
      </c>
      <c r="B19" s="154">
        <v>45135</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x14ac:dyDescent="0.25">
      <c r="A26" s="92" t="s">
        <v>640</v>
      </c>
      <c r="B26" s="92" t="s">
        <v>691</v>
      </c>
      <c r="C26" s="92" t="s">
        <v>692</v>
      </c>
    </row>
    <row r="27" spans="1:3" x14ac:dyDescent="0.25">
      <c r="A27" s="93">
        <v>55</v>
      </c>
      <c r="B27" s="94">
        <v>23.37</v>
      </c>
      <c r="C27" s="94">
        <v>23.37</v>
      </c>
    </row>
    <row r="28" spans="1:3" x14ac:dyDescent="0.25">
      <c r="A28" s="93">
        <v>56</v>
      </c>
      <c r="B28" s="94">
        <v>22.78</v>
      </c>
      <c r="C28" s="94">
        <v>22.78</v>
      </c>
    </row>
    <row r="29" spans="1:3" x14ac:dyDescent="0.25">
      <c r="A29" s="93">
        <v>57</v>
      </c>
      <c r="B29" s="94">
        <v>22.19</v>
      </c>
      <c r="C29" s="94">
        <v>22.19</v>
      </c>
    </row>
    <row r="30" spans="1:3" x14ac:dyDescent="0.25">
      <c r="A30" s="93">
        <v>58</v>
      </c>
      <c r="B30" s="94">
        <v>21.6</v>
      </c>
      <c r="C30" s="94">
        <v>21.6</v>
      </c>
    </row>
    <row r="31" spans="1:3" x14ac:dyDescent="0.25">
      <c r="A31" s="93">
        <v>59</v>
      </c>
      <c r="B31" s="94">
        <v>20.99</v>
      </c>
      <c r="C31" s="94">
        <v>20.99</v>
      </c>
    </row>
    <row r="32" spans="1:3" x14ac:dyDescent="0.25">
      <c r="A32" s="93">
        <v>60</v>
      </c>
      <c r="B32" s="94">
        <v>20.37</v>
      </c>
      <c r="C32" s="94">
        <v>20.37</v>
      </c>
    </row>
    <row r="33" spans="1:3" x14ac:dyDescent="0.25">
      <c r="A33" s="93">
        <v>61</v>
      </c>
      <c r="B33" s="94">
        <v>19.739999999999998</v>
      </c>
      <c r="C33" s="94">
        <v>19.739999999999998</v>
      </c>
    </row>
    <row r="34" spans="1:3" x14ac:dyDescent="0.25">
      <c r="A34" s="93">
        <v>62</v>
      </c>
      <c r="B34" s="94">
        <v>19.100000000000001</v>
      </c>
      <c r="C34" s="94">
        <v>19.100000000000001</v>
      </c>
    </row>
    <row r="35" spans="1:3" x14ac:dyDescent="0.25">
      <c r="A35" s="93">
        <v>63</v>
      </c>
      <c r="B35" s="94">
        <v>18.46</v>
      </c>
      <c r="C35" s="94">
        <v>18.46</v>
      </c>
    </row>
    <row r="36" spans="1:3" x14ac:dyDescent="0.25">
      <c r="A36" s="93">
        <v>64</v>
      </c>
      <c r="B36" s="94">
        <v>17.829999999999998</v>
      </c>
      <c r="C36" s="94">
        <v>17.829999999999998</v>
      </c>
    </row>
    <row r="37" spans="1:3" x14ac:dyDescent="0.25">
      <c r="A37" s="93">
        <v>65</v>
      </c>
      <c r="B37" s="94">
        <v>17.2</v>
      </c>
      <c r="C37" s="94">
        <v>17.2</v>
      </c>
    </row>
    <row r="38" spans="1:3" x14ac:dyDescent="0.25">
      <c r="A38" s="93">
        <v>66</v>
      </c>
      <c r="B38" s="94">
        <v>16.57</v>
      </c>
      <c r="C38" s="94">
        <v>16.57</v>
      </c>
    </row>
    <row r="39" spans="1:3" x14ac:dyDescent="0.25">
      <c r="A39" s="93">
        <v>67</v>
      </c>
      <c r="B39" s="94">
        <v>15.94</v>
      </c>
      <c r="C39" s="94">
        <v>15.94</v>
      </c>
    </row>
    <row r="40" spans="1:3" x14ac:dyDescent="0.25">
      <c r="A40" s="93">
        <v>68</v>
      </c>
      <c r="B40" s="94">
        <v>15.31</v>
      </c>
      <c r="C40" s="94">
        <v>15.31</v>
      </c>
    </row>
    <row r="41" spans="1:3" x14ac:dyDescent="0.25">
      <c r="A41" s="93">
        <v>69</v>
      </c>
      <c r="B41" s="94">
        <v>14.67</v>
      </c>
      <c r="C41" s="94">
        <v>14.67</v>
      </c>
    </row>
    <row r="42" spans="1:3" x14ac:dyDescent="0.25">
      <c r="A42" s="93">
        <v>70</v>
      </c>
      <c r="B42" s="94">
        <v>14.04</v>
      </c>
      <c r="C42" s="94">
        <v>14.04</v>
      </c>
    </row>
    <row r="43" spans="1:3" x14ac:dyDescent="0.25">
      <c r="A43" s="93">
        <v>71</v>
      </c>
      <c r="B43" s="94">
        <v>13.42</v>
      </c>
      <c r="C43" s="94">
        <v>13.42</v>
      </c>
    </row>
    <row r="44" spans="1:3" x14ac:dyDescent="0.25">
      <c r="A44" s="93">
        <v>72</v>
      </c>
      <c r="B44" s="94">
        <v>12.79</v>
      </c>
      <c r="C44" s="94">
        <v>12.79</v>
      </c>
    </row>
    <row r="45" spans="1:3" x14ac:dyDescent="0.25">
      <c r="A45" s="93">
        <v>73</v>
      </c>
      <c r="B45" s="94">
        <v>12.17</v>
      </c>
      <c r="C45" s="94">
        <v>12.17</v>
      </c>
    </row>
    <row r="46" spans="1:3" x14ac:dyDescent="0.25">
      <c r="A46" s="93">
        <v>74</v>
      </c>
      <c r="B46" s="94">
        <v>11.56</v>
      </c>
      <c r="C46" s="94">
        <v>11.56</v>
      </c>
    </row>
    <row r="47" spans="1:3" x14ac:dyDescent="0.25">
      <c r="A47" s="93">
        <v>75</v>
      </c>
      <c r="B47" s="94">
        <v>10.95</v>
      </c>
      <c r="C47" s="94">
        <v>10.95</v>
      </c>
    </row>
  </sheetData>
  <sheetProtection algorithmName="SHA-512" hashValue="ddR114igwIHfVbhcvWZNaewdeq23rzDQUVWt2H+x13k6lI2Cp/283d7gGI2VrRy8lnumHhYJK/C76A0rXT3ptw==" saltValue="4eBwZYZ8VlRQQCdyyVqK+g==" spinCount="100000" sheet="1" objects="1" scenarios="1"/>
  <conditionalFormatting sqref="A6:A21">
    <cfRule type="expression" dxfId="237" priority="11" stopIfTrue="1">
      <formula>MOD(ROW(),2)=0</formula>
    </cfRule>
    <cfRule type="expression" dxfId="236" priority="12" stopIfTrue="1">
      <formula>MOD(ROW(),2)&lt;&gt;0</formula>
    </cfRule>
  </conditionalFormatting>
  <conditionalFormatting sqref="A26:A47">
    <cfRule type="expression" dxfId="235" priority="3" stopIfTrue="1">
      <formula>MOD(ROW(),2)=0</formula>
    </cfRule>
    <cfRule type="expression" dxfId="234" priority="4" stopIfTrue="1">
      <formula>MOD(ROW(),2)&lt;&gt;0</formula>
    </cfRule>
  </conditionalFormatting>
  <conditionalFormatting sqref="B17:B21">
    <cfRule type="expression" dxfId="233" priority="1" stopIfTrue="1">
      <formula>MOD(ROW(),2)=0</formula>
    </cfRule>
    <cfRule type="expression" dxfId="232" priority="2" stopIfTrue="1">
      <formula>MOD(ROW(),2)&lt;&gt;0</formula>
    </cfRule>
  </conditionalFormatting>
  <conditionalFormatting sqref="B6:C21">
    <cfRule type="expression" dxfId="231" priority="21" stopIfTrue="1">
      <formula>MOD(ROW(),2)=0</formula>
    </cfRule>
    <cfRule type="expression" dxfId="230" priority="22" stopIfTrue="1">
      <formula>MOD(ROW(),2)&lt;&gt;0</formula>
    </cfRule>
  </conditionalFormatting>
  <conditionalFormatting sqref="B26:C47">
    <cfRule type="expression" dxfId="229" priority="5" stopIfTrue="1">
      <formula>MOD(ROW(),2)=0</formula>
    </cfRule>
    <cfRule type="expression" dxfId="22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I82"/>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x-610</v>
      </c>
      <c r="B3" s="43"/>
      <c r="C3" s="43"/>
      <c r="D3" s="43"/>
      <c r="E3" s="43"/>
      <c r="F3" s="43"/>
      <c r="G3" s="43"/>
      <c r="H3" s="43"/>
      <c r="I3" s="43"/>
    </row>
    <row r="4" spans="1:9" x14ac:dyDescent="0.25">
      <c r="A4" s="45"/>
    </row>
    <row r="6" spans="1:9" x14ac:dyDescent="0.25">
      <c r="A6" s="77" t="s">
        <v>558</v>
      </c>
      <c r="B6" s="152" t="s">
        <v>559</v>
      </c>
      <c r="C6" s="152"/>
    </row>
    <row r="7" spans="1:9" x14ac:dyDescent="0.25">
      <c r="A7" s="79" t="s">
        <v>305</v>
      </c>
      <c r="B7" s="152" t="s">
        <v>319</v>
      </c>
      <c r="C7" s="152"/>
    </row>
    <row r="8" spans="1:9" x14ac:dyDescent="0.25">
      <c r="A8" s="79" t="s">
        <v>306</v>
      </c>
      <c r="B8" s="152">
        <v>2015</v>
      </c>
      <c r="C8" s="152"/>
    </row>
    <row r="9" spans="1:9" x14ac:dyDescent="0.25">
      <c r="A9" s="79" t="s">
        <v>307</v>
      </c>
      <c r="B9" s="152" t="s">
        <v>481</v>
      </c>
      <c r="C9" s="152"/>
    </row>
    <row r="10" spans="1:9" x14ac:dyDescent="0.25">
      <c r="A10" s="79" t="s">
        <v>233</v>
      </c>
      <c r="B10" s="152" t="s">
        <v>497</v>
      </c>
      <c r="C10" s="152"/>
    </row>
    <row r="11" spans="1:9" x14ac:dyDescent="0.25">
      <c r="A11" s="79" t="s">
        <v>308</v>
      </c>
      <c r="B11" s="152" t="s">
        <v>483</v>
      </c>
      <c r="C11" s="152"/>
    </row>
    <row r="12" spans="1:9" x14ac:dyDescent="0.25">
      <c r="A12" s="79" t="s">
        <v>309</v>
      </c>
      <c r="B12" s="152" t="s">
        <v>323</v>
      </c>
      <c r="C12" s="152"/>
    </row>
    <row r="13" spans="1:9" x14ac:dyDescent="0.25">
      <c r="A13" s="79" t="s">
        <v>566</v>
      </c>
      <c r="B13" s="152">
        <v>0</v>
      </c>
      <c r="C13" s="152"/>
    </row>
    <row r="14" spans="1:9" x14ac:dyDescent="0.25">
      <c r="A14" s="79" t="s">
        <v>311</v>
      </c>
      <c r="B14" s="152">
        <v>610</v>
      </c>
      <c r="C14" s="152"/>
    </row>
    <row r="15" spans="1:9" x14ac:dyDescent="0.25">
      <c r="A15" s="79" t="s">
        <v>569</v>
      </c>
      <c r="B15" s="152" t="s">
        <v>498</v>
      </c>
      <c r="C15" s="152"/>
    </row>
    <row r="16" spans="1:9" x14ac:dyDescent="0.25">
      <c r="A16" s="79" t="s">
        <v>313</v>
      </c>
      <c r="B16" s="152" t="s">
        <v>499</v>
      </c>
      <c r="C16" s="152"/>
    </row>
    <row r="17" spans="1:3" x14ac:dyDescent="0.25">
      <c r="A17" s="79" t="s">
        <v>639</v>
      </c>
      <c r="B17" s="152"/>
      <c r="C17" s="152"/>
    </row>
    <row r="18" spans="1:3" x14ac:dyDescent="0.25">
      <c r="A18" s="79" t="s">
        <v>315</v>
      </c>
      <c r="B18" s="154">
        <v>45135</v>
      </c>
      <c r="C18" s="152"/>
    </row>
    <row r="19" spans="1:3" x14ac:dyDescent="0.25">
      <c r="A19" s="79" t="s">
        <v>316</v>
      </c>
      <c r="B19" s="154">
        <v>45135</v>
      </c>
      <c r="C19" s="152"/>
    </row>
    <row r="20" spans="1:3" x14ac:dyDescent="0.25">
      <c r="A20" s="79" t="s">
        <v>317</v>
      </c>
      <c r="B20" s="152" t="s">
        <v>326</v>
      </c>
      <c r="C20" s="152"/>
    </row>
    <row r="21" spans="1:3" x14ac:dyDescent="0.25">
      <c r="A21" s="79" t="s">
        <v>318</v>
      </c>
      <c r="B21" s="152" t="s">
        <v>327</v>
      </c>
      <c r="C21" s="152"/>
    </row>
    <row r="23" spans="1:3" x14ac:dyDescent="0.25">
      <c r="B23" s="96" t="str">
        <f>HYPERLINK("#'Factor List'!A1","Back to Factor List")</f>
        <v>Back to Factor List</v>
      </c>
    </row>
    <row r="24" spans="1:3" x14ac:dyDescent="0.25">
      <c r="B24" s="96" t="str">
        <f>HYPERLINK("#'Assumptions'!A1","Assumptions")</f>
        <v>Assumptions</v>
      </c>
    </row>
    <row r="26" spans="1:3" x14ac:dyDescent="0.25">
      <c r="A26" s="92" t="s">
        <v>640</v>
      </c>
      <c r="B26" s="92" t="s">
        <v>691</v>
      </c>
      <c r="C26" s="92" t="s">
        <v>692</v>
      </c>
    </row>
    <row r="27" spans="1:3" x14ac:dyDescent="0.25">
      <c r="A27" s="93">
        <v>20</v>
      </c>
      <c r="B27" s="94">
        <v>39.64</v>
      </c>
      <c r="C27" s="94">
        <v>39.64</v>
      </c>
    </row>
    <row r="28" spans="1:3" x14ac:dyDescent="0.25">
      <c r="A28" s="93">
        <v>21</v>
      </c>
      <c r="B28" s="94">
        <v>39.28</v>
      </c>
      <c r="C28" s="94">
        <v>39.28</v>
      </c>
    </row>
    <row r="29" spans="1:3" x14ac:dyDescent="0.25">
      <c r="A29" s="93">
        <v>22</v>
      </c>
      <c r="B29" s="94">
        <v>38.92</v>
      </c>
      <c r="C29" s="94">
        <v>38.92</v>
      </c>
    </row>
    <row r="30" spans="1:3" x14ac:dyDescent="0.25">
      <c r="A30" s="93">
        <v>23</v>
      </c>
      <c r="B30" s="94">
        <v>38.549999999999997</v>
      </c>
      <c r="C30" s="94">
        <v>38.549999999999997</v>
      </c>
    </row>
    <row r="31" spans="1:3" x14ac:dyDescent="0.25">
      <c r="A31" s="93">
        <v>24</v>
      </c>
      <c r="B31" s="94">
        <v>38.17</v>
      </c>
      <c r="C31" s="94">
        <v>38.17</v>
      </c>
    </row>
    <row r="32" spans="1:3" x14ac:dyDescent="0.25">
      <c r="A32" s="93">
        <v>25</v>
      </c>
      <c r="B32" s="94">
        <v>37.79</v>
      </c>
      <c r="C32" s="94">
        <v>37.79</v>
      </c>
    </row>
    <row r="33" spans="1:3" x14ac:dyDescent="0.25">
      <c r="A33" s="93">
        <v>26</v>
      </c>
      <c r="B33" s="94">
        <v>37.4</v>
      </c>
      <c r="C33" s="94">
        <v>37.4</v>
      </c>
    </row>
    <row r="34" spans="1:3" x14ac:dyDescent="0.25">
      <c r="A34" s="93">
        <v>27</v>
      </c>
      <c r="B34" s="94">
        <v>37.01</v>
      </c>
      <c r="C34" s="94">
        <v>37.01</v>
      </c>
    </row>
    <row r="35" spans="1:3" x14ac:dyDescent="0.25">
      <c r="A35" s="93">
        <v>28</v>
      </c>
      <c r="B35" s="94">
        <v>36.61</v>
      </c>
      <c r="C35" s="94">
        <v>36.61</v>
      </c>
    </row>
    <row r="36" spans="1:3" x14ac:dyDescent="0.25">
      <c r="A36" s="93">
        <v>29</v>
      </c>
      <c r="B36" s="94">
        <v>36.200000000000003</v>
      </c>
      <c r="C36" s="94">
        <v>36.200000000000003</v>
      </c>
    </row>
    <row r="37" spans="1:3" x14ac:dyDescent="0.25">
      <c r="A37" s="93">
        <v>30</v>
      </c>
      <c r="B37" s="94">
        <v>35.79</v>
      </c>
      <c r="C37" s="94">
        <v>35.79</v>
      </c>
    </row>
    <row r="38" spans="1:3" x14ac:dyDescent="0.25">
      <c r="A38" s="93">
        <v>31</v>
      </c>
      <c r="B38" s="94">
        <v>35.369999999999997</v>
      </c>
      <c r="C38" s="94">
        <v>35.369999999999997</v>
      </c>
    </row>
    <row r="39" spans="1:3" x14ac:dyDescent="0.25">
      <c r="A39" s="93">
        <v>32</v>
      </c>
      <c r="B39" s="94">
        <v>34.950000000000003</v>
      </c>
      <c r="C39" s="94">
        <v>34.950000000000003</v>
      </c>
    </row>
    <row r="40" spans="1:3" x14ac:dyDescent="0.25">
      <c r="A40" s="93">
        <v>33</v>
      </c>
      <c r="B40" s="94">
        <v>34.51</v>
      </c>
      <c r="C40" s="94">
        <v>34.51</v>
      </c>
    </row>
    <row r="41" spans="1:3" x14ac:dyDescent="0.25">
      <c r="A41" s="93">
        <v>34</v>
      </c>
      <c r="B41" s="94">
        <v>34.08</v>
      </c>
      <c r="C41" s="94">
        <v>34.08</v>
      </c>
    </row>
    <row r="42" spans="1:3" x14ac:dyDescent="0.25">
      <c r="A42" s="93">
        <v>35</v>
      </c>
      <c r="B42" s="94">
        <v>33.630000000000003</v>
      </c>
      <c r="C42" s="94">
        <v>33.630000000000003</v>
      </c>
    </row>
    <row r="43" spans="1:3" x14ac:dyDescent="0.25">
      <c r="A43" s="93">
        <v>36</v>
      </c>
      <c r="B43" s="94">
        <v>33.18</v>
      </c>
      <c r="C43" s="94">
        <v>33.18</v>
      </c>
    </row>
    <row r="44" spans="1:3" x14ac:dyDescent="0.25">
      <c r="A44" s="93">
        <v>37</v>
      </c>
      <c r="B44" s="94">
        <v>32.72</v>
      </c>
      <c r="C44" s="94">
        <v>32.72</v>
      </c>
    </row>
    <row r="45" spans="1:3" x14ac:dyDescent="0.25">
      <c r="A45" s="93">
        <v>38</v>
      </c>
      <c r="B45" s="94">
        <v>32.26</v>
      </c>
      <c r="C45" s="94">
        <v>32.26</v>
      </c>
    </row>
    <row r="46" spans="1:3" x14ac:dyDescent="0.25">
      <c r="A46" s="93">
        <v>39</v>
      </c>
      <c r="B46" s="94">
        <v>31.79</v>
      </c>
      <c r="C46" s="94">
        <v>31.79</v>
      </c>
    </row>
    <row r="47" spans="1:3" x14ac:dyDescent="0.25">
      <c r="A47" s="93">
        <v>40</v>
      </c>
      <c r="B47" s="94">
        <v>31.31</v>
      </c>
      <c r="C47" s="94">
        <v>31.31</v>
      </c>
    </row>
    <row r="48" spans="1:3" x14ac:dyDescent="0.25">
      <c r="A48" s="93">
        <v>41</v>
      </c>
      <c r="B48" s="94">
        <v>30.82</v>
      </c>
      <c r="C48" s="94">
        <v>30.82</v>
      </c>
    </row>
    <row r="49" spans="1:3" x14ac:dyDescent="0.25">
      <c r="A49" s="93">
        <v>42</v>
      </c>
      <c r="B49" s="94">
        <v>30.33</v>
      </c>
      <c r="C49" s="94">
        <v>30.33</v>
      </c>
    </row>
    <row r="50" spans="1:3" x14ac:dyDescent="0.25">
      <c r="A50" s="93">
        <v>43</v>
      </c>
      <c r="B50" s="94">
        <v>29.83</v>
      </c>
      <c r="C50" s="94">
        <v>29.83</v>
      </c>
    </row>
    <row r="51" spans="1:3" x14ac:dyDescent="0.25">
      <c r="A51" s="93">
        <v>44</v>
      </c>
      <c r="B51" s="94">
        <v>29.33</v>
      </c>
      <c r="C51" s="94">
        <v>29.33</v>
      </c>
    </row>
    <row r="52" spans="1:3" x14ac:dyDescent="0.25">
      <c r="A52" s="93">
        <v>45</v>
      </c>
      <c r="B52" s="94">
        <v>28.82</v>
      </c>
      <c r="C52" s="94">
        <v>28.82</v>
      </c>
    </row>
    <row r="53" spans="1:3" x14ac:dyDescent="0.25">
      <c r="A53" s="93">
        <v>46</v>
      </c>
      <c r="B53" s="94">
        <v>28.3</v>
      </c>
      <c r="C53" s="94">
        <v>28.3</v>
      </c>
    </row>
    <row r="54" spans="1:3" x14ac:dyDescent="0.25">
      <c r="A54" s="93">
        <v>47</v>
      </c>
      <c r="B54" s="94">
        <v>27.78</v>
      </c>
      <c r="C54" s="94">
        <v>27.78</v>
      </c>
    </row>
    <row r="55" spans="1:3" x14ac:dyDescent="0.25">
      <c r="A55" s="93">
        <v>48</v>
      </c>
      <c r="B55" s="94">
        <v>27.25</v>
      </c>
      <c r="C55" s="94">
        <v>27.25</v>
      </c>
    </row>
    <row r="56" spans="1:3" x14ac:dyDescent="0.25">
      <c r="A56" s="93">
        <v>49</v>
      </c>
      <c r="B56" s="94">
        <v>26.71</v>
      </c>
      <c r="C56" s="94">
        <v>26.71</v>
      </c>
    </row>
    <row r="57" spans="1:3" x14ac:dyDescent="0.25">
      <c r="A57" s="93">
        <v>50</v>
      </c>
      <c r="B57" s="94">
        <v>26.16</v>
      </c>
      <c r="C57" s="94">
        <v>26.16</v>
      </c>
    </row>
    <row r="58" spans="1:3" x14ac:dyDescent="0.25">
      <c r="A58" s="93">
        <v>51</v>
      </c>
      <c r="B58" s="94">
        <v>25.61</v>
      </c>
      <c r="C58" s="94">
        <v>25.61</v>
      </c>
    </row>
    <row r="59" spans="1:3" x14ac:dyDescent="0.25">
      <c r="A59" s="93">
        <v>52</v>
      </c>
      <c r="B59" s="94">
        <v>25.05</v>
      </c>
      <c r="C59" s="94">
        <v>25.05</v>
      </c>
    </row>
    <row r="60" spans="1:3" x14ac:dyDescent="0.25">
      <c r="A60" s="93">
        <v>53</v>
      </c>
      <c r="B60" s="94">
        <v>24.48</v>
      </c>
      <c r="C60" s="94">
        <v>24.48</v>
      </c>
    </row>
    <row r="61" spans="1:3" x14ac:dyDescent="0.25">
      <c r="A61" s="93">
        <v>54</v>
      </c>
      <c r="B61" s="94">
        <v>23.91</v>
      </c>
      <c r="C61" s="94">
        <v>23.91</v>
      </c>
    </row>
    <row r="62" spans="1:3" x14ac:dyDescent="0.25">
      <c r="A62" s="93">
        <v>55</v>
      </c>
      <c r="B62" s="94">
        <v>23.33</v>
      </c>
      <c r="C62" s="94">
        <v>23.33</v>
      </c>
    </row>
    <row r="63" spans="1:3" x14ac:dyDescent="0.25">
      <c r="A63" s="93">
        <v>56</v>
      </c>
      <c r="B63" s="94">
        <v>22.74</v>
      </c>
      <c r="C63" s="94">
        <v>22.74</v>
      </c>
    </row>
    <row r="64" spans="1:3" x14ac:dyDescent="0.25">
      <c r="A64" s="93">
        <v>57</v>
      </c>
      <c r="B64" s="94">
        <v>22.14</v>
      </c>
      <c r="C64" s="94">
        <v>22.14</v>
      </c>
    </row>
    <row r="65" spans="1:3" x14ac:dyDescent="0.25">
      <c r="A65" s="93">
        <v>58</v>
      </c>
      <c r="B65" s="94">
        <v>21.54</v>
      </c>
      <c r="C65" s="94">
        <v>21.54</v>
      </c>
    </row>
    <row r="66" spans="1:3" x14ac:dyDescent="0.25">
      <c r="A66" s="93">
        <v>59</v>
      </c>
      <c r="B66" s="94">
        <v>20.93</v>
      </c>
      <c r="C66" s="94">
        <v>20.93</v>
      </c>
    </row>
    <row r="67" spans="1:3" x14ac:dyDescent="0.25">
      <c r="A67" s="93">
        <v>60</v>
      </c>
      <c r="B67" s="94">
        <v>20.32</v>
      </c>
      <c r="C67" s="94">
        <v>20.32</v>
      </c>
    </row>
    <row r="68" spans="1:3" x14ac:dyDescent="0.25">
      <c r="A68" s="93">
        <v>61</v>
      </c>
      <c r="B68" s="94">
        <v>19.7</v>
      </c>
      <c r="C68" s="94">
        <v>19.7</v>
      </c>
    </row>
    <row r="69" spans="1:3" x14ac:dyDescent="0.25">
      <c r="A69" s="93">
        <v>62</v>
      </c>
      <c r="B69" s="94">
        <v>19.079999999999998</v>
      </c>
      <c r="C69" s="94">
        <v>19.079999999999998</v>
      </c>
    </row>
    <row r="70" spans="1:3" x14ac:dyDescent="0.25">
      <c r="A70" s="93">
        <v>63</v>
      </c>
      <c r="B70" s="94">
        <v>18.46</v>
      </c>
      <c r="C70" s="94">
        <v>18.46</v>
      </c>
    </row>
    <row r="71" spans="1:3" x14ac:dyDescent="0.25">
      <c r="A71" s="93">
        <v>64</v>
      </c>
      <c r="B71" s="94">
        <v>17.829999999999998</v>
      </c>
      <c r="C71" s="94">
        <v>17.829999999999998</v>
      </c>
    </row>
    <row r="72" spans="1:3" x14ac:dyDescent="0.25">
      <c r="A72" s="93">
        <v>65</v>
      </c>
      <c r="B72" s="94">
        <v>17.2</v>
      </c>
      <c r="C72" s="94">
        <v>17.2</v>
      </c>
    </row>
    <row r="73" spans="1:3" x14ac:dyDescent="0.25">
      <c r="A73" s="93">
        <v>66</v>
      </c>
      <c r="B73" s="94">
        <v>16.57</v>
      </c>
      <c r="C73" s="94">
        <v>16.57</v>
      </c>
    </row>
    <row r="74" spans="1:3" x14ac:dyDescent="0.25">
      <c r="A74" s="93">
        <v>67</v>
      </c>
      <c r="B74" s="94">
        <v>15.94</v>
      </c>
      <c r="C74" s="94">
        <v>15.94</v>
      </c>
    </row>
    <row r="75" spans="1:3" x14ac:dyDescent="0.25">
      <c r="A75" s="93">
        <v>68</v>
      </c>
      <c r="B75" s="94">
        <v>15.31</v>
      </c>
      <c r="C75" s="94">
        <v>15.31</v>
      </c>
    </row>
    <row r="76" spans="1:3" x14ac:dyDescent="0.25">
      <c r="A76" s="93">
        <v>69</v>
      </c>
      <c r="B76" s="94">
        <v>14.67</v>
      </c>
      <c r="C76" s="94">
        <v>14.67</v>
      </c>
    </row>
    <row r="77" spans="1:3" x14ac:dyDescent="0.25">
      <c r="A77" s="93">
        <v>70</v>
      </c>
      <c r="B77" s="94">
        <v>14.04</v>
      </c>
      <c r="C77" s="94">
        <v>14.04</v>
      </c>
    </row>
    <row r="78" spans="1:3" x14ac:dyDescent="0.25">
      <c r="A78" s="93">
        <v>71</v>
      </c>
      <c r="B78" s="94">
        <v>13.42</v>
      </c>
      <c r="C78" s="94">
        <v>13.42</v>
      </c>
    </row>
    <row r="79" spans="1:3" x14ac:dyDescent="0.25">
      <c r="A79" s="93">
        <v>72</v>
      </c>
      <c r="B79" s="94">
        <v>12.79</v>
      </c>
      <c r="C79" s="94">
        <v>12.79</v>
      </c>
    </row>
    <row r="80" spans="1:3" x14ac:dyDescent="0.25">
      <c r="A80" s="93">
        <v>73</v>
      </c>
      <c r="B80" s="94">
        <v>12.17</v>
      </c>
      <c r="C80" s="94">
        <v>12.17</v>
      </c>
    </row>
    <row r="81" spans="1:3" x14ac:dyDescent="0.25">
      <c r="A81" s="93">
        <v>74</v>
      </c>
      <c r="B81" s="94">
        <v>11.56</v>
      </c>
      <c r="C81" s="94">
        <v>11.56</v>
      </c>
    </row>
    <row r="82" spans="1:3" x14ac:dyDescent="0.25">
      <c r="A82" s="93">
        <v>75</v>
      </c>
      <c r="B82" s="94">
        <v>10.95</v>
      </c>
      <c r="C82" s="94">
        <v>10.95</v>
      </c>
    </row>
  </sheetData>
  <sheetProtection algorithmName="SHA-512" hashValue="GKRsX+n1sc1+1prNIJyM/olc8Po3BPoEBxA6kCjTb1wJIX/FP3npq2FL9jGEsSuGoPm+QDkn1S5oDQR44PGPLw==" saltValue="J89SfZT47ddLefwkvWjUMw==" spinCount="100000" sheet="1" objects="1" scenarios="1"/>
  <conditionalFormatting sqref="A6:A21">
    <cfRule type="expression" dxfId="227" priority="11" stopIfTrue="1">
      <formula>MOD(ROW(),2)=0</formula>
    </cfRule>
    <cfRule type="expression" dxfId="226" priority="12" stopIfTrue="1">
      <formula>MOD(ROW(),2)&lt;&gt;0</formula>
    </cfRule>
  </conditionalFormatting>
  <conditionalFormatting sqref="A26:A82">
    <cfRule type="expression" dxfId="225" priority="3" stopIfTrue="1">
      <formula>MOD(ROW(),2)=0</formula>
    </cfRule>
    <cfRule type="expression" dxfId="224" priority="4" stopIfTrue="1">
      <formula>MOD(ROW(),2)&lt;&gt;0</formula>
    </cfRule>
  </conditionalFormatting>
  <conditionalFormatting sqref="B17:B21">
    <cfRule type="expression" dxfId="223" priority="1" stopIfTrue="1">
      <formula>MOD(ROW(),2)=0</formula>
    </cfRule>
    <cfRule type="expression" dxfId="222" priority="2" stopIfTrue="1">
      <formula>MOD(ROW(),2)&lt;&gt;0</formula>
    </cfRule>
  </conditionalFormatting>
  <conditionalFormatting sqref="B6:C21">
    <cfRule type="expression" dxfId="221" priority="21" stopIfTrue="1">
      <formula>MOD(ROW(),2)=0</formula>
    </cfRule>
    <cfRule type="expression" dxfId="220" priority="22" stopIfTrue="1">
      <formula>MOD(ROW(),2)&lt;&gt;0</formula>
    </cfRule>
  </conditionalFormatting>
  <conditionalFormatting sqref="B26:C82">
    <cfRule type="expression" dxfId="219" priority="5" stopIfTrue="1">
      <formula>MOD(ROW(),2)=0</formula>
    </cfRule>
    <cfRule type="expression" dxfId="21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Scheme pays AA - x-611</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1992</v>
      </c>
      <c r="C8" s="152"/>
      <c r="D8" s="152"/>
      <c r="E8" s="152"/>
      <c r="F8" s="152"/>
      <c r="G8" s="152"/>
      <c r="H8" s="152"/>
      <c r="I8" s="152"/>
      <c r="J8" s="152"/>
      <c r="K8" s="152"/>
    </row>
    <row r="9" spans="1:11" x14ac:dyDescent="0.25">
      <c r="A9" s="79" t="s">
        <v>307</v>
      </c>
      <c r="B9" s="152" t="s">
        <v>481</v>
      </c>
      <c r="C9" s="152"/>
      <c r="D9" s="152"/>
      <c r="E9" s="152"/>
      <c r="F9" s="152"/>
      <c r="G9" s="152"/>
      <c r="H9" s="152"/>
      <c r="I9" s="152"/>
      <c r="J9" s="152"/>
      <c r="K9" s="152"/>
    </row>
    <row r="10" spans="1:11" x14ac:dyDescent="0.25">
      <c r="A10" s="79" t="s">
        <v>233</v>
      </c>
      <c r="B10" s="152" t="s">
        <v>500</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405</v>
      </c>
      <c r="C12" s="152"/>
      <c r="D12" s="152"/>
      <c r="E12" s="152"/>
      <c r="F12" s="152"/>
      <c r="G12" s="152"/>
      <c r="H12" s="152"/>
      <c r="I12" s="152"/>
      <c r="J12" s="152"/>
      <c r="K12" s="152"/>
    </row>
    <row r="13" spans="1:11" x14ac:dyDescent="0.25">
      <c r="A13" s="79" t="s">
        <v>566</v>
      </c>
      <c r="B13" s="152">
        <v>2</v>
      </c>
      <c r="C13" s="152"/>
      <c r="D13" s="152"/>
      <c r="E13" s="152"/>
      <c r="F13" s="152"/>
      <c r="G13" s="152"/>
      <c r="H13" s="152"/>
      <c r="I13" s="152"/>
      <c r="J13" s="152"/>
      <c r="K13" s="152"/>
    </row>
    <row r="14" spans="1:11" x14ac:dyDescent="0.25">
      <c r="A14" s="79" t="s">
        <v>311</v>
      </c>
      <c r="B14" s="152">
        <v>611</v>
      </c>
      <c r="C14" s="152"/>
      <c r="D14" s="152"/>
      <c r="E14" s="152"/>
      <c r="F14" s="152"/>
      <c r="G14" s="152"/>
      <c r="H14" s="152"/>
      <c r="I14" s="152"/>
      <c r="J14" s="152"/>
      <c r="K14" s="152"/>
    </row>
    <row r="15" spans="1:11" x14ac:dyDescent="0.25">
      <c r="A15" s="79" t="s">
        <v>569</v>
      </c>
      <c r="B15" s="152" t="s">
        <v>501</v>
      </c>
      <c r="C15" s="152"/>
      <c r="D15" s="152"/>
      <c r="E15" s="152"/>
      <c r="F15" s="152"/>
      <c r="G15" s="152"/>
      <c r="H15" s="152"/>
      <c r="I15" s="152"/>
      <c r="J15" s="152"/>
      <c r="K15" s="152"/>
    </row>
    <row r="16" spans="1:11" x14ac:dyDescent="0.25">
      <c r="A16" s="79" t="s">
        <v>313</v>
      </c>
      <c r="B16" s="152" t="s">
        <v>339</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45135</v>
      </c>
      <c r="C18" s="152"/>
      <c r="D18" s="152"/>
      <c r="E18" s="152"/>
      <c r="F18" s="152"/>
      <c r="G18" s="152"/>
      <c r="H18" s="152"/>
      <c r="I18" s="152"/>
      <c r="J18" s="152"/>
      <c r="K18" s="152"/>
    </row>
    <row r="19" spans="1:11" x14ac:dyDescent="0.25">
      <c r="A19" s="79" t="s">
        <v>316</v>
      </c>
      <c r="B19" s="154">
        <v>45135</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50</v>
      </c>
      <c r="C26" s="92">
        <v>51</v>
      </c>
      <c r="D26" s="92">
        <v>52</v>
      </c>
      <c r="E26" s="92">
        <v>53</v>
      </c>
      <c r="F26" s="92">
        <v>54</v>
      </c>
      <c r="G26" s="92">
        <v>55</v>
      </c>
      <c r="H26" s="92">
        <v>56</v>
      </c>
      <c r="I26" s="92">
        <v>57</v>
      </c>
      <c r="J26" s="92">
        <v>58</v>
      </c>
      <c r="K26" s="92">
        <v>59</v>
      </c>
    </row>
    <row r="27" spans="1:11" x14ac:dyDescent="0.25">
      <c r="A27" s="93">
        <v>0</v>
      </c>
      <c r="B27" s="95">
        <v>0.66300000000000003</v>
      </c>
      <c r="C27" s="95">
        <v>0.68600000000000005</v>
      </c>
      <c r="D27" s="95">
        <v>0.71099999999999997</v>
      </c>
      <c r="E27" s="95">
        <v>0.73799999999999999</v>
      </c>
      <c r="F27" s="95">
        <v>0.76800000000000002</v>
      </c>
      <c r="G27" s="95">
        <v>0.8</v>
      </c>
      <c r="H27" s="95">
        <v>0.83399999999999996</v>
      </c>
      <c r="I27" s="95">
        <v>0.871</v>
      </c>
      <c r="J27" s="95">
        <v>0.91100000000000003</v>
      </c>
      <c r="K27" s="95">
        <v>0.95399999999999996</v>
      </c>
    </row>
    <row r="28" spans="1:11" x14ac:dyDescent="0.25">
      <c r="A28" s="93">
        <v>1</v>
      </c>
      <c r="B28" s="95">
        <v>0.66500000000000004</v>
      </c>
      <c r="C28" s="95">
        <v>0.68799999999999994</v>
      </c>
      <c r="D28" s="95">
        <v>0.71399999999999997</v>
      </c>
      <c r="E28" s="95">
        <v>0.74099999999999999</v>
      </c>
      <c r="F28" s="95">
        <v>0.77</v>
      </c>
      <c r="G28" s="95">
        <v>0.80200000000000005</v>
      </c>
      <c r="H28" s="95">
        <v>0.83699999999999997</v>
      </c>
      <c r="I28" s="95">
        <v>0.874</v>
      </c>
      <c r="J28" s="95">
        <v>0.91400000000000003</v>
      </c>
      <c r="K28" s="95">
        <v>0.95799999999999996</v>
      </c>
    </row>
    <row r="29" spans="1:11" x14ac:dyDescent="0.25">
      <c r="A29" s="93">
        <v>2</v>
      </c>
      <c r="B29" s="95">
        <v>0.66700000000000004</v>
      </c>
      <c r="C29" s="95">
        <v>0.69</v>
      </c>
      <c r="D29" s="95">
        <v>0.71599999999999997</v>
      </c>
      <c r="E29" s="95">
        <v>0.74299999999999999</v>
      </c>
      <c r="F29" s="95">
        <v>0.77300000000000002</v>
      </c>
      <c r="G29" s="95">
        <v>0.80500000000000005</v>
      </c>
      <c r="H29" s="95">
        <v>0.84</v>
      </c>
      <c r="I29" s="95">
        <v>0.878</v>
      </c>
      <c r="J29" s="95">
        <v>0.91800000000000004</v>
      </c>
      <c r="K29" s="95">
        <v>0.96099999999999997</v>
      </c>
    </row>
    <row r="30" spans="1:11" x14ac:dyDescent="0.25">
      <c r="A30" s="93">
        <v>3</v>
      </c>
      <c r="B30" s="95">
        <v>0.66900000000000004</v>
      </c>
      <c r="C30" s="95">
        <v>0.69299999999999995</v>
      </c>
      <c r="D30" s="95">
        <v>0.71799999999999997</v>
      </c>
      <c r="E30" s="95">
        <v>0.746</v>
      </c>
      <c r="F30" s="95">
        <v>0.77600000000000002</v>
      </c>
      <c r="G30" s="95">
        <v>0.80800000000000005</v>
      </c>
      <c r="H30" s="95">
        <v>0.84299999999999997</v>
      </c>
      <c r="I30" s="95">
        <v>0.88100000000000001</v>
      </c>
      <c r="J30" s="95">
        <v>0.92200000000000004</v>
      </c>
      <c r="K30" s="95">
        <v>0.96499999999999997</v>
      </c>
    </row>
    <row r="31" spans="1:11" x14ac:dyDescent="0.25">
      <c r="A31" s="93">
        <v>4</v>
      </c>
      <c r="B31" s="95">
        <v>0.67100000000000004</v>
      </c>
      <c r="C31" s="95">
        <v>0.69499999999999995</v>
      </c>
      <c r="D31" s="95">
        <v>0.72</v>
      </c>
      <c r="E31" s="95">
        <v>0.748</v>
      </c>
      <c r="F31" s="95">
        <v>0.77800000000000002</v>
      </c>
      <c r="G31" s="95">
        <v>0.81100000000000005</v>
      </c>
      <c r="H31" s="95">
        <v>0.84599999999999997</v>
      </c>
      <c r="I31" s="95">
        <v>0.88400000000000001</v>
      </c>
      <c r="J31" s="95">
        <v>0.92500000000000004</v>
      </c>
      <c r="K31" s="95">
        <v>0.96899999999999997</v>
      </c>
    </row>
    <row r="32" spans="1:11" x14ac:dyDescent="0.25">
      <c r="A32" s="93">
        <v>5</v>
      </c>
      <c r="B32" s="95">
        <v>0.67300000000000004</v>
      </c>
      <c r="C32" s="95">
        <v>0.69699999999999995</v>
      </c>
      <c r="D32" s="95">
        <v>0.72299999999999998</v>
      </c>
      <c r="E32" s="95">
        <v>0.751</v>
      </c>
      <c r="F32" s="95">
        <v>0.78100000000000003</v>
      </c>
      <c r="G32" s="95">
        <v>0.81399999999999995</v>
      </c>
      <c r="H32" s="95">
        <v>0.84899999999999998</v>
      </c>
      <c r="I32" s="95">
        <v>0.88800000000000001</v>
      </c>
      <c r="J32" s="95">
        <v>0.92900000000000005</v>
      </c>
      <c r="K32" s="95">
        <v>0.97299999999999998</v>
      </c>
    </row>
    <row r="33" spans="1:11" x14ac:dyDescent="0.25">
      <c r="A33" s="93">
        <v>6</v>
      </c>
      <c r="B33" s="95">
        <v>0.67500000000000004</v>
      </c>
      <c r="C33" s="95">
        <v>0.69899999999999995</v>
      </c>
      <c r="D33" s="95">
        <v>0.72499999999999998</v>
      </c>
      <c r="E33" s="95">
        <v>0.753</v>
      </c>
      <c r="F33" s="95">
        <v>0.78400000000000003</v>
      </c>
      <c r="G33" s="95">
        <v>0.81699999999999995</v>
      </c>
      <c r="H33" s="95">
        <v>0.85299999999999998</v>
      </c>
      <c r="I33" s="95">
        <v>0.89100000000000001</v>
      </c>
      <c r="J33" s="95">
        <v>0.93200000000000005</v>
      </c>
      <c r="K33" s="95">
        <v>0.97699999999999998</v>
      </c>
    </row>
    <row r="34" spans="1:11" x14ac:dyDescent="0.25">
      <c r="A34" s="93">
        <v>7</v>
      </c>
      <c r="B34" s="95">
        <v>0.67700000000000005</v>
      </c>
      <c r="C34" s="95">
        <v>0.70099999999999996</v>
      </c>
      <c r="D34" s="95">
        <v>0.72699999999999998</v>
      </c>
      <c r="E34" s="95">
        <v>0.755</v>
      </c>
      <c r="F34" s="95">
        <v>0.78600000000000003</v>
      </c>
      <c r="G34" s="95">
        <v>0.82</v>
      </c>
      <c r="H34" s="95">
        <v>0.85599999999999998</v>
      </c>
      <c r="I34" s="95">
        <v>0.89400000000000002</v>
      </c>
      <c r="J34" s="95">
        <v>0.93600000000000005</v>
      </c>
      <c r="K34" s="95">
        <v>0.98099999999999998</v>
      </c>
    </row>
    <row r="35" spans="1:11" x14ac:dyDescent="0.25">
      <c r="A35" s="93">
        <v>8</v>
      </c>
      <c r="B35" s="95">
        <v>0.67900000000000005</v>
      </c>
      <c r="C35" s="95">
        <v>0.70299999999999996</v>
      </c>
      <c r="D35" s="95">
        <v>0.72899999999999998</v>
      </c>
      <c r="E35" s="95">
        <v>0.75800000000000001</v>
      </c>
      <c r="F35" s="95">
        <v>0.78900000000000003</v>
      </c>
      <c r="G35" s="95">
        <v>0.82299999999999995</v>
      </c>
      <c r="H35" s="95">
        <v>0.85899999999999999</v>
      </c>
      <c r="I35" s="95">
        <v>0.89800000000000002</v>
      </c>
      <c r="J35" s="95">
        <v>0.93899999999999995</v>
      </c>
      <c r="K35" s="95">
        <v>0.98499999999999999</v>
      </c>
    </row>
    <row r="36" spans="1:11" x14ac:dyDescent="0.25">
      <c r="A36" s="93">
        <v>9</v>
      </c>
      <c r="B36" s="95">
        <v>0.68100000000000005</v>
      </c>
      <c r="C36" s="95">
        <v>0.70499999999999996</v>
      </c>
      <c r="D36" s="95">
        <v>0.73199999999999998</v>
      </c>
      <c r="E36" s="95">
        <v>0.76</v>
      </c>
      <c r="F36" s="95">
        <v>0.79200000000000004</v>
      </c>
      <c r="G36" s="95">
        <v>0.82499999999999996</v>
      </c>
      <c r="H36" s="95">
        <v>0.86199999999999999</v>
      </c>
      <c r="I36" s="95">
        <v>0.90100000000000002</v>
      </c>
      <c r="J36" s="95">
        <v>0.94299999999999995</v>
      </c>
      <c r="K36" s="95">
        <v>0.98799999999999999</v>
      </c>
    </row>
    <row r="37" spans="1:11" x14ac:dyDescent="0.25">
      <c r="A37" s="93">
        <v>10</v>
      </c>
      <c r="B37" s="95">
        <v>0.68200000000000005</v>
      </c>
      <c r="C37" s="95">
        <v>0.70699999999999996</v>
      </c>
      <c r="D37" s="95">
        <v>0.73399999999999999</v>
      </c>
      <c r="E37" s="95">
        <v>0.76300000000000001</v>
      </c>
      <c r="F37" s="95">
        <v>0.79400000000000004</v>
      </c>
      <c r="G37" s="95">
        <v>0.82799999999999996</v>
      </c>
      <c r="H37" s="95">
        <v>0.86499999999999999</v>
      </c>
      <c r="I37" s="95">
        <v>0.90400000000000003</v>
      </c>
      <c r="J37" s="95">
        <v>0.94699999999999995</v>
      </c>
      <c r="K37" s="95">
        <v>0.99199999999999999</v>
      </c>
    </row>
    <row r="38" spans="1:11" x14ac:dyDescent="0.25">
      <c r="A38" s="93">
        <v>11</v>
      </c>
      <c r="B38" s="95">
        <v>0.68400000000000005</v>
      </c>
      <c r="C38" s="95">
        <v>0.70899999999999996</v>
      </c>
      <c r="D38" s="95">
        <v>0.73599999999999999</v>
      </c>
      <c r="E38" s="95">
        <v>0.76500000000000001</v>
      </c>
      <c r="F38" s="95">
        <v>0.79700000000000004</v>
      </c>
      <c r="G38" s="95">
        <v>0.83099999999999996</v>
      </c>
      <c r="H38" s="95">
        <v>0.86799999999999999</v>
      </c>
      <c r="I38" s="95">
        <v>0.90800000000000003</v>
      </c>
      <c r="J38" s="95">
        <v>0.95</v>
      </c>
      <c r="K38" s="95">
        <v>0.996</v>
      </c>
    </row>
    <row r="44" spans="1:11" ht="39.6" customHeight="1" x14ac:dyDescent="0.25"/>
    <row r="46" spans="1:11" ht="27.6" customHeight="1" x14ac:dyDescent="0.25"/>
  </sheetData>
  <sheetProtection algorithmName="SHA-512" hashValue="rcJFoySuicLT/3LcLJjgIF1sI+0DncNzy/XU89HHek/yYDPeVg5NLeWwwW2xsu5vW4DzNLJXzzpoIIO3EMcNkg==" saltValue="zUJvQgbQjyxKnH7kDyW6gQ==" spinCount="100000" sheet="1" objects="1" scenarios="1"/>
  <conditionalFormatting sqref="A6:A21">
    <cfRule type="expression" dxfId="217" priority="9" stopIfTrue="1">
      <formula>MOD(ROW(),2)=0</formula>
    </cfRule>
    <cfRule type="expression" dxfId="216" priority="10" stopIfTrue="1">
      <formula>MOD(ROW(),2)&lt;&gt;0</formula>
    </cfRule>
  </conditionalFormatting>
  <conditionalFormatting sqref="A26:A38">
    <cfRule type="expression" dxfId="215" priority="3" stopIfTrue="1">
      <formula>MOD(ROW(),2)=0</formula>
    </cfRule>
    <cfRule type="expression" dxfId="214" priority="4" stopIfTrue="1">
      <formula>MOD(ROW(),2)&lt;&gt;0</formula>
    </cfRule>
  </conditionalFormatting>
  <conditionalFormatting sqref="B17:B21">
    <cfRule type="expression" dxfId="213" priority="1" stopIfTrue="1">
      <formula>MOD(ROW(),2)=0</formula>
    </cfRule>
    <cfRule type="expression" dxfId="212" priority="2" stopIfTrue="1">
      <formula>MOD(ROW(),2)&lt;&gt;0</formula>
    </cfRule>
  </conditionalFormatting>
  <conditionalFormatting sqref="B6:K21">
    <cfRule type="expression" dxfId="211" priority="19" stopIfTrue="1">
      <formula>MOD(ROW(),2)=0</formula>
    </cfRule>
    <cfRule type="expression" dxfId="210" priority="20" stopIfTrue="1">
      <formula>MOD(ROW(),2)&lt;&gt;0</formula>
    </cfRule>
  </conditionalFormatting>
  <conditionalFormatting sqref="B26:K38">
    <cfRule type="expression" dxfId="209" priority="5" stopIfTrue="1">
      <formula>MOD(ROW(),2)=0</formula>
    </cfRule>
    <cfRule type="expression" dxfId="20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H46"/>
  <sheetViews>
    <sheetView showGridLines="0" zoomScale="85" zoomScaleNormal="85" workbookViewId="0">
      <selection activeCell="A4" sqref="A4"/>
    </sheetView>
  </sheetViews>
  <sheetFormatPr defaultColWidth="10" defaultRowHeight="13.2" x14ac:dyDescent="0.25"/>
  <cols>
    <col min="1" max="1" width="31.77734375" style="27" customWidth="1"/>
    <col min="2" max="7" width="22.77734375" style="27" customWidth="1"/>
    <col min="8"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TABLE_FACTOR_TYPE_1&amp;" - x-"&amp;TABLE_SERIES_NUMBER_1</f>
        <v>Scheme pays AA - x-612</v>
      </c>
      <c r="B3" s="43"/>
      <c r="C3" s="43"/>
      <c r="D3" s="43"/>
      <c r="E3" s="43"/>
      <c r="F3" s="43"/>
      <c r="G3" s="43"/>
      <c r="H3" s="43"/>
    </row>
    <row r="4" spans="1:8" x14ac:dyDescent="0.25">
      <c r="A4" s="45"/>
    </row>
    <row r="6" spans="1:8" x14ac:dyDescent="0.25">
      <c r="A6" s="77" t="s">
        <v>558</v>
      </c>
      <c r="B6" s="152" t="s">
        <v>559</v>
      </c>
      <c r="C6" s="152"/>
      <c r="D6" s="152"/>
      <c r="E6" s="152"/>
      <c r="F6" s="152"/>
      <c r="G6" s="152"/>
    </row>
    <row r="7" spans="1:8" x14ac:dyDescent="0.25">
      <c r="A7" s="79" t="s">
        <v>305</v>
      </c>
      <c r="B7" s="152" t="s">
        <v>319</v>
      </c>
      <c r="C7" s="152"/>
      <c r="D7" s="152"/>
      <c r="E7" s="152"/>
      <c r="F7" s="152"/>
      <c r="G7" s="152"/>
    </row>
    <row r="8" spans="1:8" x14ac:dyDescent="0.25">
      <c r="A8" s="79" t="s">
        <v>306</v>
      </c>
      <c r="B8" s="152">
        <v>1992</v>
      </c>
      <c r="C8" s="152"/>
      <c r="D8" s="152"/>
      <c r="E8" s="152"/>
      <c r="F8" s="152"/>
      <c r="G8" s="152"/>
    </row>
    <row r="9" spans="1:8" x14ac:dyDescent="0.25">
      <c r="A9" s="79" t="s">
        <v>307</v>
      </c>
      <c r="B9" s="152" t="s">
        <v>481</v>
      </c>
      <c r="C9" s="152"/>
      <c r="D9" s="152"/>
      <c r="E9" s="152"/>
      <c r="F9" s="152"/>
      <c r="G9" s="152"/>
    </row>
    <row r="10" spans="1:8" x14ac:dyDescent="0.25">
      <c r="A10" s="79" t="s">
        <v>233</v>
      </c>
      <c r="B10" s="152" t="s">
        <v>502</v>
      </c>
      <c r="C10" s="152"/>
      <c r="D10" s="152"/>
      <c r="E10" s="152"/>
      <c r="F10" s="152"/>
      <c r="G10" s="152"/>
    </row>
    <row r="11" spans="1:8" x14ac:dyDescent="0.25">
      <c r="A11" s="79" t="s">
        <v>308</v>
      </c>
      <c r="B11" s="152" t="s">
        <v>404</v>
      </c>
      <c r="C11" s="152"/>
      <c r="D11" s="152"/>
      <c r="E11" s="152"/>
      <c r="F11" s="152"/>
      <c r="G11" s="152"/>
    </row>
    <row r="12" spans="1:8" x14ac:dyDescent="0.25">
      <c r="A12" s="79" t="s">
        <v>309</v>
      </c>
      <c r="B12" s="152" t="s">
        <v>405</v>
      </c>
      <c r="C12" s="152"/>
      <c r="D12" s="152"/>
      <c r="E12" s="152"/>
      <c r="F12" s="152"/>
      <c r="G12" s="152"/>
    </row>
    <row r="13" spans="1:8" x14ac:dyDescent="0.25">
      <c r="A13" s="79" t="s">
        <v>566</v>
      </c>
      <c r="B13" s="152">
        <v>2</v>
      </c>
      <c r="C13" s="152"/>
      <c r="D13" s="152"/>
      <c r="E13" s="152"/>
      <c r="F13" s="152"/>
      <c r="G13" s="152"/>
    </row>
    <row r="14" spans="1:8" x14ac:dyDescent="0.25">
      <c r="A14" s="79" t="s">
        <v>311</v>
      </c>
      <c r="B14" s="152">
        <v>612</v>
      </c>
      <c r="C14" s="152"/>
      <c r="D14" s="152"/>
      <c r="E14" s="152"/>
      <c r="F14" s="152"/>
      <c r="G14" s="152"/>
    </row>
    <row r="15" spans="1:8" x14ac:dyDescent="0.25">
      <c r="A15" s="79" t="s">
        <v>569</v>
      </c>
      <c r="B15" s="152" t="s">
        <v>503</v>
      </c>
      <c r="C15" s="152"/>
      <c r="D15" s="152"/>
      <c r="E15" s="152"/>
      <c r="F15" s="152"/>
      <c r="G15" s="152"/>
    </row>
    <row r="16" spans="1:8" x14ac:dyDescent="0.25">
      <c r="A16" s="79" t="s">
        <v>313</v>
      </c>
      <c r="B16" s="152" t="s">
        <v>341</v>
      </c>
      <c r="C16" s="152"/>
      <c r="D16" s="152"/>
      <c r="E16" s="152"/>
      <c r="F16" s="152"/>
      <c r="G16" s="152"/>
    </row>
    <row r="17" spans="1:7" x14ac:dyDescent="0.25">
      <c r="A17" s="79" t="s">
        <v>639</v>
      </c>
      <c r="B17" s="152"/>
      <c r="C17" s="152"/>
      <c r="D17" s="152"/>
      <c r="E17" s="152"/>
      <c r="F17" s="152"/>
      <c r="G17" s="152"/>
    </row>
    <row r="18" spans="1:7" x14ac:dyDescent="0.25">
      <c r="A18" s="79" t="s">
        <v>315</v>
      </c>
      <c r="B18" s="154">
        <v>45135</v>
      </c>
      <c r="C18" s="152"/>
      <c r="D18" s="152"/>
      <c r="E18" s="152"/>
      <c r="F18" s="152"/>
      <c r="G18" s="152"/>
    </row>
    <row r="19" spans="1:7" x14ac:dyDescent="0.25">
      <c r="A19" s="79" t="s">
        <v>316</v>
      </c>
      <c r="B19" s="154">
        <v>45135</v>
      </c>
      <c r="C19" s="152"/>
      <c r="D19" s="152"/>
      <c r="E19" s="152"/>
      <c r="F19" s="152"/>
      <c r="G19" s="152"/>
    </row>
    <row r="20" spans="1:7" x14ac:dyDescent="0.25">
      <c r="A20" s="79" t="s">
        <v>317</v>
      </c>
      <c r="B20" s="152" t="s">
        <v>326</v>
      </c>
      <c r="C20" s="152"/>
      <c r="D20" s="152"/>
      <c r="E20" s="152"/>
      <c r="F20" s="152"/>
      <c r="G20" s="152"/>
    </row>
    <row r="21" spans="1:7" x14ac:dyDescent="0.25">
      <c r="A21" s="79" t="s">
        <v>318</v>
      </c>
      <c r="B21" s="152" t="s">
        <v>327</v>
      </c>
      <c r="C21" s="152"/>
      <c r="D21" s="152"/>
      <c r="E21" s="152"/>
      <c r="F21" s="152"/>
      <c r="G21" s="152"/>
    </row>
    <row r="23" spans="1:7" x14ac:dyDescent="0.25">
      <c r="B23" s="96" t="str">
        <f>HYPERLINK("#'Factor List'!A1","Back to Factor List")</f>
        <v>Back to Factor List</v>
      </c>
    </row>
    <row r="24" spans="1:7" x14ac:dyDescent="0.25">
      <c r="B24" s="96" t="str">
        <f>HYPERLINK("#'Assumptions'!A1","Assumptions")</f>
        <v>Assumptions</v>
      </c>
    </row>
    <row r="26" spans="1:7" x14ac:dyDescent="0.25">
      <c r="A26" s="92" t="s">
        <v>664</v>
      </c>
      <c r="B26" s="92">
        <v>60</v>
      </c>
      <c r="C26" s="92">
        <v>61</v>
      </c>
      <c r="D26" s="92">
        <v>62</v>
      </c>
      <c r="E26" s="92">
        <v>63</v>
      </c>
      <c r="F26" s="92">
        <v>64</v>
      </c>
      <c r="G26" s="92">
        <v>65</v>
      </c>
    </row>
    <row r="27" spans="1:7" x14ac:dyDescent="0.25">
      <c r="A27" s="93">
        <v>0</v>
      </c>
      <c r="B27" s="95">
        <v>1</v>
      </c>
      <c r="C27" s="95">
        <v>1.05</v>
      </c>
      <c r="D27" s="95">
        <v>1.105</v>
      </c>
      <c r="E27" s="95">
        <v>1.1639999999999999</v>
      </c>
      <c r="F27" s="95">
        <v>1.228</v>
      </c>
      <c r="G27" s="95">
        <v>1.298</v>
      </c>
    </row>
    <row r="28" spans="1:7" x14ac:dyDescent="0.25">
      <c r="A28" s="93">
        <v>1</v>
      </c>
      <c r="B28" s="95">
        <v>1.004</v>
      </c>
      <c r="C28" s="95">
        <v>1.0549999999999999</v>
      </c>
      <c r="D28" s="95">
        <v>1.1100000000000001</v>
      </c>
      <c r="E28" s="95">
        <v>1.169</v>
      </c>
      <c r="F28" s="95">
        <v>1.234</v>
      </c>
      <c r="G28" s="95">
        <v>1.304</v>
      </c>
    </row>
    <row r="29" spans="1:7" x14ac:dyDescent="0.25">
      <c r="A29" s="93">
        <v>2</v>
      </c>
      <c r="B29" s="95">
        <v>1.008</v>
      </c>
      <c r="C29" s="95">
        <v>1.0589999999999999</v>
      </c>
      <c r="D29" s="95">
        <v>1.115</v>
      </c>
      <c r="E29" s="95">
        <v>1.175</v>
      </c>
      <c r="F29" s="95">
        <v>1.24</v>
      </c>
      <c r="G29" s="95">
        <v>1.3109999999999999</v>
      </c>
    </row>
    <row r="30" spans="1:7" x14ac:dyDescent="0.25">
      <c r="A30" s="93">
        <v>3</v>
      </c>
      <c r="B30" s="95">
        <v>1.0129999999999999</v>
      </c>
      <c r="C30" s="95">
        <v>1.0640000000000001</v>
      </c>
      <c r="D30" s="95">
        <v>1.1200000000000001</v>
      </c>
      <c r="E30" s="95">
        <v>1.18</v>
      </c>
      <c r="F30" s="95">
        <v>1.2450000000000001</v>
      </c>
      <c r="G30" s="95">
        <v>1.3169999999999999</v>
      </c>
    </row>
    <row r="31" spans="1:7" x14ac:dyDescent="0.25">
      <c r="A31" s="93">
        <v>4</v>
      </c>
      <c r="B31" s="95">
        <v>1.0169999999999999</v>
      </c>
      <c r="C31" s="95">
        <v>1.0680000000000001</v>
      </c>
      <c r="D31" s="95">
        <v>1.1240000000000001</v>
      </c>
      <c r="E31" s="95">
        <v>1.1850000000000001</v>
      </c>
      <c r="F31" s="95">
        <v>1.2509999999999999</v>
      </c>
      <c r="G31" s="95">
        <v>1.323</v>
      </c>
    </row>
    <row r="32" spans="1:7" x14ac:dyDescent="0.25">
      <c r="A32" s="93">
        <v>5</v>
      </c>
      <c r="B32" s="95">
        <v>1.0209999999999999</v>
      </c>
      <c r="C32" s="95">
        <v>1.073</v>
      </c>
      <c r="D32" s="95">
        <v>1.129</v>
      </c>
      <c r="E32" s="95">
        <v>1.1910000000000001</v>
      </c>
      <c r="F32" s="95">
        <v>1.2569999999999999</v>
      </c>
      <c r="G32" s="95">
        <v>1.33</v>
      </c>
    </row>
    <row r="33" spans="1:7" x14ac:dyDescent="0.25">
      <c r="A33" s="93">
        <v>6</v>
      </c>
      <c r="B33" s="95">
        <v>1.0249999999999999</v>
      </c>
      <c r="C33" s="95">
        <v>1.0780000000000001</v>
      </c>
      <c r="D33" s="95">
        <v>1.1339999999999999</v>
      </c>
      <c r="E33" s="95">
        <v>1.196</v>
      </c>
      <c r="F33" s="95">
        <v>1.2629999999999999</v>
      </c>
      <c r="G33" s="95">
        <v>1.3360000000000001</v>
      </c>
    </row>
    <row r="34" spans="1:7" x14ac:dyDescent="0.25">
      <c r="A34" s="93">
        <v>7</v>
      </c>
      <c r="B34" s="95">
        <v>1.0289999999999999</v>
      </c>
      <c r="C34" s="95">
        <v>1.0820000000000001</v>
      </c>
      <c r="D34" s="95">
        <v>1.139</v>
      </c>
      <c r="E34" s="95">
        <v>1.2010000000000001</v>
      </c>
      <c r="F34" s="95">
        <v>1.2689999999999999</v>
      </c>
      <c r="G34" s="95">
        <v>1.3420000000000001</v>
      </c>
    </row>
    <row r="35" spans="1:7" x14ac:dyDescent="0.25">
      <c r="A35" s="93">
        <v>8</v>
      </c>
      <c r="B35" s="95">
        <v>1.034</v>
      </c>
      <c r="C35" s="95">
        <v>1.087</v>
      </c>
      <c r="D35" s="95">
        <v>1.1439999999999999</v>
      </c>
      <c r="E35" s="95">
        <v>1.2070000000000001</v>
      </c>
      <c r="F35" s="95">
        <v>1.2749999999999999</v>
      </c>
      <c r="G35" s="95">
        <v>1.349</v>
      </c>
    </row>
    <row r="36" spans="1:7" x14ac:dyDescent="0.25">
      <c r="A36" s="93">
        <v>9</v>
      </c>
      <c r="B36" s="95">
        <v>1.038</v>
      </c>
      <c r="C36" s="95">
        <v>1.091</v>
      </c>
      <c r="D36" s="95">
        <v>1.149</v>
      </c>
      <c r="E36" s="95">
        <v>1.212</v>
      </c>
      <c r="F36" s="95">
        <v>1.28</v>
      </c>
      <c r="G36" s="95">
        <v>1.355</v>
      </c>
    </row>
    <row r="37" spans="1:7" x14ac:dyDescent="0.25">
      <c r="A37" s="93">
        <v>10</v>
      </c>
      <c r="B37" s="95">
        <v>1.042</v>
      </c>
      <c r="C37" s="95">
        <v>1.0960000000000001</v>
      </c>
      <c r="D37" s="95">
        <v>1.1539999999999999</v>
      </c>
      <c r="E37" s="95">
        <v>1.2170000000000001</v>
      </c>
      <c r="F37" s="95">
        <v>1.286</v>
      </c>
      <c r="G37" s="95">
        <v>1.361</v>
      </c>
    </row>
    <row r="38" spans="1:7" x14ac:dyDescent="0.25">
      <c r="A38" s="93">
        <v>11</v>
      </c>
      <c r="B38" s="95">
        <v>1.046</v>
      </c>
      <c r="C38" s="95">
        <v>1.1000000000000001</v>
      </c>
      <c r="D38" s="95">
        <v>1.159</v>
      </c>
      <c r="E38" s="95">
        <v>1.2230000000000001</v>
      </c>
      <c r="F38" s="95">
        <v>1.292</v>
      </c>
      <c r="G38" s="95">
        <v>1.3680000000000001</v>
      </c>
    </row>
    <row r="44" spans="1:7" ht="39.6" customHeight="1" x14ac:dyDescent="0.25"/>
    <row r="46" spans="1:7" ht="27.6" customHeight="1" x14ac:dyDescent="0.25"/>
  </sheetData>
  <sheetProtection algorithmName="SHA-512" hashValue="eFNCXL52PxK3mMgIWqd1lSQ9aGPIsTqu4IBsqU6wJ3n2x0GYGmtfxB/Ukgxv7nqrgYJsPDb0wHWiEwCeXX7MGQ==" saltValue="z0IurYMDpfdjbHanpERAnQ==" spinCount="100000" sheet="1" objects="1" scenarios="1"/>
  <conditionalFormatting sqref="A6:A21">
    <cfRule type="expression" dxfId="207" priority="9" stopIfTrue="1">
      <formula>MOD(ROW(),2)=0</formula>
    </cfRule>
    <cfRule type="expression" dxfId="206" priority="10" stopIfTrue="1">
      <formula>MOD(ROW(),2)&lt;&gt;0</formula>
    </cfRule>
  </conditionalFormatting>
  <conditionalFormatting sqref="A26:A38">
    <cfRule type="expression" dxfId="205" priority="3" stopIfTrue="1">
      <formula>MOD(ROW(),2)=0</formula>
    </cfRule>
    <cfRule type="expression" dxfId="204" priority="4" stopIfTrue="1">
      <formula>MOD(ROW(),2)&lt;&gt;0</formula>
    </cfRule>
  </conditionalFormatting>
  <conditionalFormatting sqref="B17:B21">
    <cfRule type="expression" dxfId="203" priority="1" stopIfTrue="1">
      <formula>MOD(ROW(),2)=0</formula>
    </cfRule>
    <cfRule type="expression" dxfId="202" priority="2" stopIfTrue="1">
      <formula>MOD(ROW(),2)&lt;&gt;0</formula>
    </cfRule>
  </conditionalFormatting>
  <conditionalFormatting sqref="B6:G21">
    <cfRule type="expression" dxfId="201" priority="19" stopIfTrue="1">
      <formula>MOD(ROW(),2)=0</formula>
    </cfRule>
    <cfRule type="expression" dxfId="200" priority="20" stopIfTrue="1">
      <formula>MOD(ROW(),2)&lt;&gt;0</formula>
    </cfRule>
  </conditionalFormatting>
  <conditionalFormatting sqref="B26:G38">
    <cfRule type="expression" dxfId="199" priority="5" stopIfTrue="1">
      <formula>MOD(ROW(),2)=0</formula>
    </cfRule>
    <cfRule type="expression" dxfId="19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AQ46"/>
  <sheetViews>
    <sheetView showGridLines="0" zoomScale="85" zoomScaleNormal="85" workbookViewId="0">
      <selection activeCell="A4" sqref="A4"/>
    </sheetView>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TABLE_FACTOR_TYPE_1&amp;" - x-"&amp;TABLE_SERIES_NUMBER_1</f>
        <v>Scheme pays AA - x-613</v>
      </c>
      <c r="B3" s="43"/>
      <c r="C3" s="43"/>
      <c r="D3" s="43"/>
      <c r="E3" s="43"/>
      <c r="F3" s="43"/>
      <c r="G3" s="43"/>
      <c r="H3" s="43"/>
      <c r="I3" s="43"/>
    </row>
    <row r="4" spans="1:43" x14ac:dyDescent="0.25">
      <c r="A4" s="45"/>
    </row>
    <row r="6" spans="1:43"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row>
    <row r="7" spans="1:43"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row>
    <row r="8" spans="1:43" x14ac:dyDescent="0.25">
      <c r="A8" s="79" t="s">
        <v>306</v>
      </c>
      <c r="B8" s="152">
        <v>1992</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row>
    <row r="9" spans="1:43" x14ac:dyDescent="0.25">
      <c r="A9" s="79" t="s">
        <v>307</v>
      </c>
      <c r="B9" s="152" t="s">
        <v>481</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row>
    <row r="10" spans="1:43" x14ac:dyDescent="0.25">
      <c r="A10" s="79" t="s">
        <v>233</v>
      </c>
      <c r="B10" s="152" t="s">
        <v>504</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row>
    <row r="11" spans="1:43"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row>
    <row r="12" spans="1:43" x14ac:dyDescent="0.25">
      <c r="A12" s="79" t="s">
        <v>309</v>
      </c>
      <c r="B12" s="152" t="s">
        <v>405</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row>
    <row r="13" spans="1:43" x14ac:dyDescent="0.25">
      <c r="A13" s="79" t="s">
        <v>566</v>
      </c>
      <c r="B13" s="152">
        <v>2</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row>
    <row r="14" spans="1:43" x14ac:dyDescent="0.25">
      <c r="A14" s="79" t="s">
        <v>311</v>
      </c>
      <c r="B14" s="152">
        <v>613</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row>
    <row r="15" spans="1:43" x14ac:dyDescent="0.25">
      <c r="A15" s="79" t="s">
        <v>569</v>
      </c>
      <c r="B15" s="152" t="s">
        <v>505</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row>
    <row r="16" spans="1:43" x14ac:dyDescent="0.25">
      <c r="A16" s="79" t="s">
        <v>313</v>
      </c>
      <c r="B16" s="152" t="s">
        <v>457</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row>
    <row r="17" spans="1:43"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row>
    <row r="18" spans="1:43" x14ac:dyDescent="0.25">
      <c r="A18" s="79" t="s">
        <v>315</v>
      </c>
      <c r="B18" s="154">
        <v>45135</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row>
    <row r="19" spans="1:43" x14ac:dyDescent="0.25">
      <c r="A19" s="79" t="s">
        <v>316</v>
      </c>
      <c r="B19" s="154">
        <v>45135</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row>
    <row r="20" spans="1:43"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row>
    <row r="21" spans="1:43"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row>
    <row r="23" spans="1:43" x14ac:dyDescent="0.25">
      <c r="B23" s="96" t="str">
        <f>HYPERLINK("#'Factor List'!A1","Back to Factor List")</f>
        <v>Back to Factor List</v>
      </c>
    </row>
    <row r="24" spans="1:43" x14ac:dyDescent="0.25">
      <c r="B24" s="96" t="str">
        <f>HYPERLINK("#'Assumptions'!A1","Assumptions")</f>
        <v>Assumptions</v>
      </c>
    </row>
    <row r="26" spans="1:43"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row>
    <row r="27" spans="1:43" x14ac:dyDescent="0.25">
      <c r="A27" s="93">
        <v>0</v>
      </c>
      <c r="B27" s="95">
        <v>0.26700000000000002</v>
      </c>
      <c r="C27" s="95">
        <v>0.27300000000000002</v>
      </c>
      <c r="D27" s="95">
        <v>0.27900000000000003</v>
      </c>
      <c r="E27" s="95">
        <v>0.28599999999999998</v>
      </c>
      <c r="F27" s="95">
        <v>0.29299999999999998</v>
      </c>
      <c r="G27" s="95">
        <v>0.3</v>
      </c>
      <c r="H27" s="95">
        <v>0.307</v>
      </c>
      <c r="I27" s="95">
        <v>0.315</v>
      </c>
      <c r="J27" s="95">
        <v>0.32200000000000001</v>
      </c>
      <c r="K27" s="95">
        <v>0.33</v>
      </c>
      <c r="L27" s="95">
        <v>0.33900000000000002</v>
      </c>
      <c r="M27" s="95">
        <v>0.34799999999999998</v>
      </c>
      <c r="N27" s="95">
        <v>0.35699999999999998</v>
      </c>
      <c r="O27" s="95">
        <v>0.36599999999999999</v>
      </c>
      <c r="P27" s="95">
        <v>0.376</v>
      </c>
      <c r="Q27" s="95">
        <v>0.38600000000000001</v>
      </c>
      <c r="R27" s="95">
        <v>0.39700000000000002</v>
      </c>
      <c r="S27" s="95">
        <v>0.40799999999999997</v>
      </c>
      <c r="T27" s="95">
        <v>0.42</v>
      </c>
      <c r="U27" s="95">
        <v>0.432</v>
      </c>
      <c r="V27" s="95">
        <v>0.44500000000000001</v>
      </c>
      <c r="W27" s="95">
        <v>0.45800000000000002</v>
      </c>
      <c r="X27" s="95">
        <v>0.47199999999999998</v>
      </c>
      <c r="Y27" s="95">
        <v>0.48599999999999999</v>
      </c>
      <c r="Z27" s="95">
        <v>0.502</v>
      </c>
      <c r="AA27" s="95">
        <v>0.51800000000000002</v>
      </c>
      <c r="AB27" s="95">
        <v>0.53500000000000003</v>
      </c>
      <c r="AC27" s="95">
        <v>0.55200000000000005</v>
      </c>
      <c r="AD27" s="95">
        <v>0.57099999999999995</v>
      </c>
      <c r="AE27" s="95">
        <v>0.59099999999999997</v>
      </c>
      <c r="AF27" s="95">
        <v>0.61199999999999999</v>
      </c>
      <c r="AG27" s="95">
        <v>0.63400000000000001</v>
      </c>
      <c r="AH27" s="95">
        <v>0.65800000000000003</v>
      </c>
      <c r="AI27" s="95">
        <v>0.68300000000000005</v>
      </c>
      <c r="AJ27" s="95">
        <v>0.70899999999999996</v>
      </c>
      <c r="AK27" s="95">
        <v>0.73699999999999999</v>
      </c>
      <c r="AL27" s="95">
        <v>0.76700000000000002</v>
      </c>
      <c r="AM27" s="95">
        <v>0.8</v>
      </c>
      <c r="AN27" s="95">
        <v>0.83399999999999996</v>
      </c>
      <c r="AO27" s="95">
        <v>0.871</v>
      </c>
      <c r="AP27" s="95">
        <v>0.91100000000000003</v>
      </c>
      <c r="AQ27" s="95">
        <v>0.95399999999999996</v>
      </c>
    </row>
    <row r="28" spans="1:43" x14ac:dyDescent="0.25">
      <c r="A28" s="93">
        <v>1</v>
      </c>
      <c r="B28" s="95">
        <v>0.26700000000000002</v>
      </c>
      <c r="C28" s="95">
        <v>0.27300000000000002</v>
      </c>
      <c r="D28" s="95">
        <v>0.28000000000000003</v>
      </c>
      <c r="E28" s="95">
        <v>0.28599999999999998</v>
      </c>
      <c r="F28" s="95">
        <v>0.29299999999999998</v>
      </c>
      <c r="G28" s="95">
        <v>0.3</v>
      </c>
      <c r="H28" s="95">
        <v>0.308</v>
      </c>
      <c r="I28" s="95">
        <v>0.315</v>
      </c>
      <c r="J28" s="95">
        <v>0.32300000000000001</v>
      </c>
      <c r="K28" s="95">
        <v>0.33100000000000002</v>
      </c>
      <c r="L28" s="95">
        <v>0.34</v>
      </c>
      <c r="M28" s="95">
        <v>0.34799999999999998</v>
      </c>
      <c r="N28" s="95">
        <v>0.35799999999999998</v>
      </c>
      <c r="O28" s="95">
        <v>0.36699999999999999</v>
      </c>
      <c r="P28" s="95">
        <v>0.377</v>
      </c>
      <c r="Q28" s="95">
        <v>0.38700000000000001</v>
      </c>
      <c r="R28" s="95">
        <v>0.39800000000000002</v>
      </c>
      <c r="S28" s="95">
        <v>0.40899999999999997</v>
      </c>
      <c r="T28" s="95">
        <v>0.42099999999999999</v>
      </c>
      <c r="U28" s="95">
        <v>0.433</v>
      </c>
      <c r="V28" s="95">
        <v>0.44600000000000001</v>
      </c>
      <c r="W28" s="95">
        <v>0.45900000000000002</v>
      </c>
      <c r="X28" s="95">
        <v>0.47299999999999998</v>
      </c>
      <c r="Y28" s="95">
        <v>0.48799999999999999</v>
      </c>
      <c r="Z28" s="95">
        <v>0.503</v>
      </c>
      <c r="AA28" s="95">
        <v>0.51900000000000002</v>
      </c>
      <c r="AB28" s="95">
        <v>0.53600000000000003</v>
      </c>
      <c r="AC28" s="95">
        <v>0.55400000000000005</v>
      </c>
      <c r="AD28" s="95">
        <v>0.57299999999999995</v>
      </c>
      <c r="AE28" s="95">
        <v>0.59299999999999997</v>
      </c>
      <c r="AF28" s="95">
        <v>0.61399999999999999</v>
      </c>
      <c r="AG28" s="95">
        <v>0.63600000000000001</v>
      </c>
      <c r="AH28" s="95">
        <v>0.66</v>
      </c>
      <c r="AI28" s="95">
        <v>0.68500000000000005</v>
      </c>
      <c r="AJ28" s="95">
        <v>0.71099999999999997</v>
      </c>
      <c r="AK28" s="95">
        <v>0.74</v>
      </c>
      <c r="AL28" s="95">
        <v>0.77</v>
      </c>
      <c r="AM28" s="95">
        <v>0.80200000000000005</v>
      </c>
      <c r="AN28" s="95">
        <v>0.83699999999999997</v>
      </c>
      <c r="AO28" s="95">
        <v>0.874</v>
      </c>
      <c r="AP28" s="95">
        <v>0.91400000000000003</v>
      </c>
      <c r="AQ28" s="95">
        <v>0.95799999999999996</v>
      </c>
    </row>
    <row r="29" spans="1:43" x14ac:dyDescent="0.25">
      <c r="A29" s="93">
        <v>2</v>
      </c>
      <c r="B29" s="95">
        <v>0.26800000000000002</v>
      </c>
      <c r="C29" s="95">
        <v>0.27400000000000002</v>
      </c>
      <c r="D29" s="95">
        <v>0.28000000000000003</v>
      </c>
      <c r="E29" s="95">
        <v>0.28699999999999998</v>
      </c>
      <c r="F29" s="95">
        <v>0.29399999999999998</v>
      </c>
      <c r="G29" s="95">
        <v>0.30099999999999999</v>
      </c>
      <c r="H29" s="95">
        <v>0.308</v>
      </c>
      <c r="I29" s="95">
        <v>0.316</v>
      </c>
      <c r="J29" s="95">
        <v>0.32400000000000001</v>
      </c>
      <c r="K29" s="95">
        <v>0.33200000000000002</v>
      </c>
      <c r="L29" s="95">
        <v>0.34</v>
      </c>
      <c r="M29" s="95">
        <v>0.34899999999999998</v>
      </c>
      <c r="N29" s="95">
        <v>0.35799999999999998</v>
      </c>
      <c r="O29" s="95">
        <v>0.36799999999999999</v>
      </c>
      <c r="P29" s="95">
        <v>0.378</v>
      </c>
      <c r="Q29" s="95">
        <v>0.38800000000000001</v>
      </c>
      <c r="R29" s="95">
        <v>0.39900000000000002</v>
      </c>
      <c r="S29" s="95">
        <v>0.41</v>
      </c>
      <c r="T29" s="95">
        <v>0.42199999999999999</v>
      </c>
      <c r="U29" s="95">
        <v>0.434</v>
      </c>
      <c r="V29" s="95">
        <v>0.44700000000000001</v>
      </c>
      <c r="W29" s="95">
        <v>0.46</v>
      </c>
      <c r="X29" s="95">
        <v>0.47399999999999998</v>
      </c>
      <c r="Y29" s="95">
        <v>0.48899999999999999</v>
      </c>
      <c r="Z29" s="95">
        <v>0.504</v>
      </c>
      <c r="AA29" s="95">
        <v>0.52100000000000002</v>
      </c>
      <c r="AB29" s="95">
        <v>0.53800000000000003</v>
      </c>
      <c r="AC29" s="95">
        <v>0.55600000000000005</v>
      </c>
      <c r="AD29" s="95">
        <v>0.57399999999999995</v>
      </c>
      <c r="AE29" s="95">
        <v>0.59399999999999997</v>
      </c>
      <c r="AF29" s="95">
        <v>0.61599999999999999</v>
      </c>
      <c r="AG29" s="95">
        <v>0.63800000000000001</v>
      </c>
      <c r="AH29" s="95">
        <v>0.66200000000000003</v>
      </c>
      <c r="AI29" s="95">
        <v>0.68700000000000006</v>
      </c>
      <c r="AJ29" s="95">
        <v>0.71399999999999997</v>
      </c>
      <c r="AK29" s="95">
        <v>0.74199999999999999</v>
      </c>
      <c r="AL29" s="95">
        <v>0.77300000000000002</v>
      </c>
      <c r="AM29" s="95">
        <v>0.80500000000000005</v>
      </c>
      <c r="AN29" s="95">
        <v>0.84</v>
      </c>
      <c r="AO29" s="95">
        <v>0.878</v>
      </c>
      <c r="AP29" s="95">
        <v>0.91800000000000004</v>
      </c>
      <c r="AQ29" s="95">
        <v>0.96099999999999997</v>
      </c>
    </row>
    <row r="30" spans="1:43" x14ac:dyDescent="0.25">
      <c r="A30" s="93">
        <v>3</v>
      </c>
      <c r="B30" s="95">
        <v>0.26800000000000002</v>
      </c>
      <c r="C30" s="95">
        <v>0.27500000000000002</v>
      </c>
      <c r="D30" s="95">
        <v>0.28100000000000003</v>
      </c>
      <c r="E30" s="95">
        <v>0.28799999999999998</v>
      </c>
      <c r="F30" s="95">
        <v>0.29399999999999998</v>
      </c>
      <c r="G30" s="95">
        <v>0.30199999999999999</v>
      </c>
      <c r="H30" s="95">
        <v>0.309</v>
      </c>
      <c r="I30" s="95">
        <v>0.316</v>
      </c>
      <c r="J30" s="95">
        <v>0.32400000000000001</v>
      </c>
      <c r="K30" s="95">
        <v>0.33300000000000002</v>
      </c>
      <c r="L30" s="95">
        <v>0.34100000000000003</v>
      </c>
      <c r="M30" s="95">
        <v>0.35</v>
      </c>
      <c r="N30" s="95">
        <v>0.35899999999999999</v>
      </c>
      <c r="O30" s="95">
        <v>0.36899999999999999</v>
      </c>
      <c r="P30" s="95">
        <v>0.379</v>
      </c>
      <c r="Q30" s="95">
        <v>0.38900000000000001</v>
      </c>
      <c r="R30" s="95">
        <v>0.4</v>
      </c>
      <c r="S30" s="95">
        <v>0.41099999999999998</v>
      </c>
      <c r="T30" s="95">
        <v>0.42299999999999999</v>
      </c>
      <c r="U30" s="95">
        <v>0.435</v>
      </c>
      <c r="V30" s="95">
        <v>0.44800000000000001</v>
      </c>
      <c r="W30" s="95">
        <v>0.46100000000000002</v>
      </c>
      <c r="X30" s="95">
        <v>0.47499999999999998</v>
      </c>
      <c r="Y30" s="95">
        <v>0.49</v>
      </c>
      <c r="Z30" s="95">
        <v>0.50600000000000001</v>
      </c>
      <c r="AA30" s="95">
        <v>0.52200000000000002</v>
      </c>
      <c r="AB30" s="95">
        <v>0.53900000000000003</v>
      </c>
      <c r="AC30" s="95">
        <v>0.55700000000000005</v>
      </c>
      <c r="AD30" s="95">
        <v>0.57599999999999996</v>
      </c>
      <c r="AE30" s="95">
        <v>0.59599999999999997</v>
      </c>
      <c r="AF30" s="95">
        <v>0.61699999999999999</v>
      </c>
      <c r="AG30" s="95">
        <v>0.64</v>
      </c>
      <c r="AH30" s="95">
        <v>0.66400000000000003</v>
      </c>
      <c r="AI30" s="95">
        <v>0.68899999999999995</v>
      </c>
      <c r="AJ30" s="95">
        <v>0.71599999999999997</v>
      </c>
      <c r="AK30" s="95">
        <v>0.745</v>
      </c>
      <c r="AL30" s="95">
        <v>0.77500000000000002</v>
      </c>
      <c r="AM30" s="95">
        <v>0.80800000000000005</v>
      </c>
      <c r="AN30" s="95">
        <v>0.84299999999999997</v>
      </c>
      <c r="AO30" s="95">
        <v>0.88100000000000001</v>
      </c>
      <c r="AP30" s="95">
        <v>0.92200000000000004</v>
      </c>
      <c r="AQ30" s="95">
        <v>0.96499999999999997</v>
      </c>
    </row>
    <row r="31" spans="1:43" x14ac:dyDescent="0.25">
      <c r="A31" s="93">
        <v>4</v>
      </c>
      <c r="B31" s="95">
        <v>0.26900000000000002</v>
      </c>
      <c r="C31" s="95">
        <v>0.27500000000000002</v>
      </c>
      <c r="D31" s="95">
        <v>0.28100000000000003</v>
      </c>
      <c r="E31" s="95">
        <v>0.28799999999999998</v>
      </c>
      <c r="F31" s="95">
        <v>0.29499999999999998</v>
      </c>
      <c r="G31" s="95">
        <v>0.30199999999999999</v>
      </c>
      <c r="H31" s="95">
        <v>0.31</v>
      </c>
      <c r="I31" s="95">
        <v>0.317</v>
      </c>
      <c r="J31" s="95">
        <v>0.32500000000000001</v>
      </c>
      <c r="K31" s="95">
        <v>0.33300000000000002</v>
      </c>
      <c r="L31" s="95">
        <v>0.34200000000000003</v>
      </c>
      <c r="M31" s="95">
        <v>0.35099999999999998</v>
      </c>
      <c r="N31" s="95">
        <v>0.36</v>
      </c>
      <c r="O31" s="95">
        <v>0.36899999999999999</v>
      </c>
      <c r="P31" s="95">
        <v>0.379</v>
      </c>
      <c r="Q31" s="95">
        <v>0.39</v>
      </c>
      <c r="R31" s="95">
        <v>0.40100000000000002</v>
      </c>
      <c r="S31" s="95">
        <v>0.41199999999999998</v>
      </c>
      <c r="T31" s="95">
        <v>0.42399999999999999</v>
      </c>
      <c r="U31" s="95">
        <v>0.436</v>
      </c>
      <c r="V31" s="95">
        <v>0.44900000000000001</v>
      </c>
      <c r="W31" s="95">
        <v>0.46200000000000002</v>
      </c>
      <c r="X31" s="95">
        <v>0.47699999999999998</v>
      </c>
      <c r="Y31" s="95">
        <v>0.49099999999999999</v>
      </c>
      <c r="Z31" s="95">
        <v>0.50700000000000001</v>
      </c>
      <c r="AA31" s="95">
        <v>0.52300000000000002</v>
      </c>
      <c r="AB31" s="95">
        <v>0.54100000000000004</v>
      </c>
      <c r="AC31" s="95">
        <v>0.55900000000000005</v>
      </c>
      <c r="AD31" s="95">
        <v>0.57799999999999996</v>
      </c>
      <c r="AE31" s="95">
        <v>0.59799999999999998</v>
      </c>
      <c r="AF31" s="95">
        <v>0.61899999999999999</v>
      </c>
      <c r="AG31" s="95">
        <v>0.64200000000000002</v>
      </c>
      <c r="AH31" s="95">
        <v>0.66600000000000004</v>
      </c>
      <c r="AI31" s="95">
        <v>0.69099999999999995</v>
      </c>
      <c r="AJ31" s="95">
        <v>0.71799999999999997</v>
      </c>
      <c r="AK31" s="95">
        <v>0.747</v>
      </c>
      <c r="AL31" s="95">
        <v>0.77800000000000002</v>
      </c>
      <c r="AM31" s="95">
        <v>0.81100000000000005</v>
      </c>
      <c r="AN31" s="95">
        <v>0.84599999999999997</v>
      </c>
      <c r="AO31" s="95">
        <v>0.88400000000000001</v>
      </c>
      <c r="AP31" s="95">
        <v>0.92500000000000004</v>
      </c>
      <c r="AQ31" s="95">
        <v>0.96899999999999997</v>
      </c>
    </row>
    <row r="32" spans="1:43" x14ac:dyDescent="0.25">
      <c r="A32" s="93">
        <v>5</v>
      </c>
      <c r="B32" s="95">
        <v>0.26900000000000002</v>
      </c>
      <c r="C32" s="95">
        <v>0.27600000000000002</v>
      </c>
      <c r="D32" s="95">
        <v>0.28199999999999997</v>
      </c>
      <c r="E32" s="95">
        <v>0.28899999999999998</v>
      </c>
      <c r="F32" s="95">
        <v>0.29599999999999999</v>
      </c>
      <c r="G32" s="95">
        <v>0.30299999999999999</v>
      </c>
      <c r="H32" s="95">
        <v>0.31</v>
      </c>
      <c r="I32" s="95">
        <v>0.318</v>
      </c>
      <c r="J32" s="95">
        <v>0.32600000000000001</v>
      </c>
      <c r="K32" s="95">
        <v>0.33400000000000002</v>
      </c>
      <c r="L32" s="95">
        <v>0.34300000000000003</v>
      </c>
      <c r="M32" s="95">
        <v>0.35099999999999998</v>
      </c>
      <c r="N32" s="95">
        <v>0.36099999999999999</v>
      </c>
      <c r="O32" s="95">
        <v>0.37</v>
      </c>
      <c r="P32" s="95">
        <v>0.38</v>
      </c>
      <c r="Q32" s="95">
        <v>0.39100000000000001</v>
      </c>
      <c r="R32" s="95">
        <v>0.40200000000000002</v>
      </c>
      <c r="S32" s="95">
        <v>0.41299999999999998</v>
      </c>
      <c r="T32" s="95">
        <v>0.42499999999999999</v>
      </c>
      <c r="U32" s="95">
        <v>0.437</v>
      </c>
      <c r="V32" s="95">
        <v>0.45</v>
      </c>
      <c r="W32" s="95">
        <v>0.46400000000000002</v>
      </c>
      <c r="X32" s="95">
        <v>0.47799999999999998</v>
      </c>
      <c r="Y32" s="95">
        <v>0.49299999999999999</v>
      </c>
      <c r="Z32" s="95">
        <v>0.50800000000000001</v>
      </c>
      <c r="AA32" s="95">
        <v>0.52500000000000002</v>
      </c>
      <c r="AB32" s="95">
        <v>0.54200000000000004</v>
      </c>
      <c r="AC32" s="95">
        <v>0.56000000000000005</v>
      </c>
      <c r="AD32" s="95">
        <v>0.57899999999999996</v>
      </c>
      <c r="AE32" s="95">
        <v>0.6</v>
      </c>
      <c r="AF32" s="95">
        <v>0.621</v>
      </c>
      <c r="AG32" s="95">
        <v>0.64400000000000002</v>
      </c>
      <c r="AH32" s="95">
        <v>0.66800000000000004</v>
      </c>
      <c r="AI32" s="95">
        <v>0.69399999999999995</v>
      </c>
      <c r="AJ32" s="95">
        <v>0.72099999999999997</v>
      </c>
      <c r="AK32" s="95">
        <v>0.75</v>
      </c>
      <c r="AL32" s="95">
        <v>0.78100000000000003</v>
      </c>
      <c r="AM32" s="95">
        <v>0.81399999999999995</v>
      </c>
      <c r="AN32" s="95">
        <v>0.84899999999999998</v>
      </c>
      <c r="AO32" s="95">
        <v>0.88800000000000001</v>
      </c>
      <c r="AP32" s="95">
        <v>0.92900000000000005</v>
      </c>
      <c r="AQ32" s="95">
        <v>0.97299999999999998</v>
      </c>
    </row>
    <row r="33" spans="1:43" x14ac:dyDescent="0.25">
      <c r="A33" s="93">
        <v>6</v>
      </c>
      <c r="B33" s="95">
        <v>0.27</v>
      </c>
      <c r="C33" s="95">
        <v>0.27600000000000002</v>
      </c>
      <c r="D33" s="95">
        <v>0.28299999999999997</v>
      </c>
      <c r="E33" s="95">
        <v>0.28899999999999998</v>
      </c>
      <c r="F33" s="95">
        <v>0.29599999999999999</v>
      </c>
      <c r="G33" s="95">
        <v>0.30299999999999999</v>
      </c>
      <c r="H33" s="95">
        <v>0.311</v>
      </c>
      <c r="I33" s="95">
        <v>0.318</v>
      </c>
      <c r="J33" s="95">
        <v>0.32600000000000001</v>
      </c>
      <c r="K33" s="95">
        <v>0.33500000000000002</v>
      </c>
      <c r="L33" s="95">
        <v>0.34300000000000003</v>
      </c>
      <c r="M33" s="95">
        <v>0.35199999999999998</v>
      </c>
      <c r="N33" s="95">
        <v>0.36099999999999999</v>
      </c>
      <c r="O33" s="95">
        <v>0.371</v>
      </c>
      <c r="P33" s="95">
        <v>0.38100000000000001</v>
      </c>
      <c r="Q33" s="95">
        <v>0.39200000000000002</v>
      </c>
      <c r="R33" s="95">
        <v>0.40300000000000002</v>
      </c>
      <c r="S33" s="95">
        <v>0.41399999999999998</v>
      </c>
      <c r="T33" s="95">
        <v>0.42599999999999999</v>
      </c>
      <c r="U33" s="95">
        <v>0.438</v>
      </c>
      <c r="V33" s="95">
        <v>0.45100000000000001</v>
      </c>
      <c r="W33" s="95">
        <v>0.46500000000000002</v>
      </c>
      <c r="X33" s="95">
        <v>0.47899999999999998</v>
      </c>
      <c r="Y33" s="95">
        <v>0.49399999999999999</v>
      </c>
      <c r="Z33" s="95">
        <v>0.51</v>
      </c>
      <c r="AA33" s="95">
        <v>0.52600000000000002</v>
      </c>
      <c r="AB33" s="95">
        <v>0.54400000000000004</v>
      </c>
      <c r="AC33" s="95">
        <v>0.56200000000000006</v>
      </c>
      <c r="AD33" s="95">
        <v>0.58099999999999996</v>
      </c>
      <c r="AE33" s="95">
        <v>0.60099999999999998</v>
      </c>
      <c r="AF33" s="95">
        <v>0.623</v>
      </c>
      <c r="AG33" s="95">
        <v>0.64600000000000002</v>
      </c>
      <c r="AH33" s="95">
        <v>0.67</v>
      </c>
      <c r="AI33" s="95">
        <v>0.69599999999999995</v>
      </c>
      <c r="AJ33" s="95">
        <v>0.72299999999999998</v>
      </c>
      <c r="AK33" s="95">
        <v>0.752</v>
      </c>
      <c r="AL33" s="95">
        <v>0.78300000000000003</v>
      </c>
      <c r="AM33" s="95">
        <v>0.81699999999999995</v>
      </c>
      <c r="AN33" s="95">
        <v>0.85299999999999998</v>
      </c>
      <c r="AO33" s="95">
        <v>0.89100000000000001</v>
      </c>
      <c r="AP33" s="95">
        <v>0.93200000000000005</v>
      </c>
      <c r="AQ33" s="95">
        <v>0.97699999999999998</v>
      </c>
    </row>
    <row r="34" spans="1:43" x14ac:dyDescent="0.25">
      <c r="A34" s="93">
        <v>7</v>
      </c>
      <c r="B34" s="95">
        <v>0.27</v>
      </c>
      <c r="C34" s="95">
        <v>0.27700000000000002</v>
      </c>
      <c r="D34" s="95">
        <v>0.28299999999999997</v>
      </c>
      <c r="E34" s="95">
        <v>0.28999999999999998</v>
      </c>
      <c r="F34" s="95">
        <v>0.29699999999999999</v>
      </c>
      <c r="G34" s="95">
        <v>0.30399999999999999</v>
      </c>
      <c r="H34" s="95">
        <v>0.311</v>
      </c>
      <c r="I34" s="95">
        <v>0.31900000000000001</v>
      </c>
      <c r="J34" s="95">
        <v>0.32700000000000001</v>
      </c>
      <c r="K34" s="95">
        <v>0.33500000000000002</v>
      </c>
      <c r="L34" s="95">
        <v>0.34399999999999997</v>
      </c>
      <c r="M34" s="95">
        <v>0.35299999999999998</v>
      </c>
      <c r="N34" s="95">
        <v>0.36199999999999999</v>
      </c>
      <c r="O34" s="95">
        <v>0.372</v>
      </c>
      <c r="P34" s="95">
        <v>0.38200000000000001</v>
      </c>
      <c r="Q34" s="95">
        <v>0.39300000000000002</v>
      </c>
      <c r="R34" s="95">
        <v>0.40300000000000002</v>
      </c>
      <c r="S34" s="95">
        <v>0.41499999999999998</v>
      </c>
      <c r="T34" s="95">
        <v>0.42699999999999999</v>
      </c>
      <c r="U34" s="95">
        <v>0.439</v>
      </c>
      <c r="V34" s="95">
        <v>0.45200000000000001</v>
      </c>
      <c r="W34" s="95">
        <v>0.46600000000000003</v>
      </c>
      <c r="X34" s="95">
        <v>0.48</v>
      </c>
      <c r="Y34" s="95">
        <v>0.495</v>
      </c>
      <c r="Z34" s="95">
        <v>0.51100000000000001</v>
      </c>
      <c r="AA34" s="95">
        <v>0.52800000000000002</v>
      </c>
      <c r="AB34" s="95">
        <v>0.54500000000000004</v>
      </c>
      <c r="AC34" s="95">
        <v>0.56299999999999994</v>
      </c>
      <c r="AD34" s="95">
        <v>0.58299999999999996</v>
      </c>
      <c r="AE34" s="95">
        <v>0.60299999999999998</v>
      </c>
      <c r="AF34" s="95">
        <v>0.625</v>
      </c>
      <c r="AG34" s="95">
        <v>0.64800000000000002</v>
      </c>
      <c r="AH34" s="95">
        <v>0.67200000000000004</v>
      </c>
      <c r="AI34" s="95">
        <v>0.69799999999999995</v>
      </c>
      <c r="AJ34" s="95">
        <v>0.72499999999999998</v>
      </c>
      <c r="AK34" s="95">
        <v>0.755</v>
      </c>
      <c r="AL34" s="95">
        <v>0.78600000000000003</v>
      </c>
      <c r="AM34" s="95">
        <v>0.82</v>
      </c>
      <c r="AN34" s="95">
        <v>0.85599999999999998</v>
      </c>
      <c r="AO34" s="95">
        <v>0.89400000000000002</v>
      </c>
      <c r="AP34" s="95">
        <v>0.93600000000000005</v>
      </c>
      <c r="AQ34" s="95">
        <v>0.98099999999999998</v>
      </c>
    </row>
    <row r="35" spans="1:43" x14ac:dyDescent="0.25">
      <c r="A35" s="93">
        <v>8</v>
      </c>
      <c r="B35" s="95">
        <v>0.27100000000000002</v>
      </c>
      <c r="C35" s="95">
        <v>0.27700000000000002</v>
      </c>
      <c r="D35" s="95">
        <v>0.28399999999999997</v>
      </c>
      <c r="E35" s="95">
        <v>0.28999999999999998</v>
      </c>
      <c r="F35" s="95">
        <v>0.29699999999999999</v>
      </c>
      <c r="G35" s="95">
        <v>0.30499999999999999</v>
      </c>
      <c r="H35" s="95">
        <v>0.312</v>
      </c>
      <c r="I35" s="95">
        <v>0.32</v>
      </c>
      <c r="J35" s="95">
        <v>0.32800000000000001</v>
      </c>
      <c r="K35" s="95">
        <v>0.33600000000000002</v>
      </c>
      <c r="L35" s="95">
        <v>0.34499999999999997</v>
      </c>
      <c r="M35" s="95">
        <v>0.35399999999999998</v>
      </c>
      <c r="N35" s="95">
        <v>0.36299999999999999</v>
      </c>
      <c r="O35" s="95">
        <v>0.373</v>
      </c>
      <c r="P35" s="95">
        <v>0.38300000000000001</v>
      </c>
      <c r="Q35" s="95">
        <v>0.39300000000000002</v>
      </c>
      <c r="R35" s="95">
        <v>0.40400000000000003</v>
      </c>
      <c r="S35" s="95">
        <v>0.41599999999999998</v>
      </c>
      <c r="T35" s="95">
        <v>0.42799999999999999</v>
      </c>
      <c r="U35" s="95">
        <v>0.44</v>
      </c>
      <c r="V35" s="95">
        <v>0.45300000000000001</v>
      </c>
      <c r="W35" s="95">
        <v>0.46700000000000003</v>
      </c>
      <c r="X35" s="95">
        <v>0.48099999999999998</v>
      </c>
      <c r="Y35" s="95">
        <v>0.497</v>
      </c>
      <c r="Z35" s="95">
        <v>0.51200000000000001</v>
      </c>
      <c r="AA35" s="95">
        <v>0.52900000000000003</v>
      </c>
      <c r="AB35" s="95">
        <v>0.54600000000000004</v>
      </c>
      <c r="AC35" s="95">
        <v>0.56499999999999995</v>
      </c>
      <c r="AD35" s="95">
        <v>0.58399999999999996</v>
      </c>
      <c r="AE35" s="95">
        <v>0.60499999999999998</v>
      </c>
      <c r="AF35" s="95">
        <v>0.627</v>
      </c>
      <c r="AG35" s="95">
        <v>0.65</v>
      </c>
      <c r="AH35" s="95">
        <v>0.67400000000000004</v>
      </c>
      <c r="AI35" s="95">
        <v>0.7</v>
      </c>
      <c r="AJ35" s="95">
        <v>0.72799999999999998</v>
      </c>
      <c r="AK35" s="95">
        <v>0.75700000000000001</v>
      </c>
      <c r="AL35" s="95">
        <v>0.78900000000000003</v>
      </c>
      <c r="AM35" s="95">
        <v>0.82299999999999995</v>
      </c>
      <c r="AN35" s="95">
        <v>0.85899999999999999</v>
      </c>
      <c r="AO35" s="95">
        <v>0.89800000000000002</v>
      </c>
      <c r="AP35" s="95">
        <v>0.93899999999999995</v>
      </c>
      <c r="AQ35" s="95">
        <v>0.98499999999999999</v>
      </c>
    </row>
    <row r="36" spans="1:43" x14ac:dyDescent="0.25">
      <c r="A36" s="93">
        <v>9</v>
      </c>
      <c r="B36" s="95">
        <v>0.27100000000000002</v>
      </c>
      <c r="C36" s="95">
        <v>0.27800000000000002</v>
      </c>
      <c r="D36" s="95">
        <v>0.28399999999999997</v>
      </c>
      <c r="E36" s="95">
        <v>0.29099999999999998</v>
      </c>
      <c r="F36" s="95">
        <v>0.29799999999999999</v>
      </c>
      <c r="G36" s="95">
        <v>0.30499999999999999</v>
      </c>
      <c r="H36" s="95">
        <v>0.313</v>
      </c>
      <c r="I36" s="95">
        <v>0.32</v>
      </c>
      <c r="J36" s="95">
        <v>0.32800000000000001</v>
      </c>
      <c r="K36" s="95">
        <v>0.33700000000000002</v>
      </c>
      <c r="L36" s="95">
        <v>0.34499999999999997</v>
      </c>
      <c r="M36" s="95">
        <v>0.35399999999999998</v>
      </c>
      <c r="N36" s="95">
        <v>0.36399999999999999</v>
      </c>
      <c r="O36" s="95">
        <v>0.374</v>
      </c>
      <c r="P36" s="95">
        <v>0.38400000000000001</v>
      </c>
      <c r="Q36" s="95">
        <v>0.39400000000000002</v>
      </c>
      <c r="R36" s="95">
        <v>0.40500000000000003</v>
      </c>
      <c r="S36" s="95">
        <v>0.41699999999999998</v>
      </c>
      <c r="T36" s="95">
        <v>0.42899999999999999</v>
      </c>
      <c r="U36" s="95">
        <v>0.441</v>
      </c>
      <c r="V36" s="95">
        <v>0.45500000000000002</v>
      </c>
      <c r="W36" s="95">
        <v>0.46800000000000003</v>
      </c>
      <c r="X36" s="95">
        <v>0.48299999999999998</v>
      </c>
      <c r="Y36" s="95">
        <v>0.498</v>
      </c>
      <c r="Z36" s="95">
        <v>0.51400000000000001</v>
      </c>
      <c r="AA36" s="95">
        <v>0.53</v>
      </c>
      <c r="AB36" s="95">
        <v>0.54800000000000004</v>
      </c>
      <c r="AC36" s="95">
        <v>0.56599999999999995</v>
      </c>
      <c r="AD36" s="95">
        <v>0.58599999999999997</v>
      </c>
      <c r="AE36" s="95">
        <v>0.60699999999999998</v>
      </c>
      <c r="AF36" s="95">
        <v>0.629</v>
      </c>
      <c r="AG36" s="95">
        <v>0.65200000000000002</v>
      </c>
      <c r="AH36" s="95">
        <v>0.67600000000000005</v>
      </c>
      <c r="AI36" s="95">
        <v>0.70199999999999996</v>
      </c>
      <c r="AJ36" s="95">
        <v>0.73</v>
      </c>
      <c r="AK36" s="95">
        <v>0.76</v>
      </c>
      <c r="AL36" s="95">
        <v>0.79200000000000004</v>
      </c>
      <c r="AM36" s="95">
        <v>0.82499999999999996</v>
      </c>
      <c r="AN36" s="95">
        <v>0.86199999999999999</v>
      </c>
      <c r="AO36" s="95">
        <v>0.90100000000000002</v>
      </c>
      <c r="AP36" s="95">
        <v>0.94299999999999995</v>
      </c>
      <c r="AQ36" s="95">
        <v>0.98799999999999999</v>
      </c>
    </row>
    <row r="37" spans="1:43" x14ac:dyDescent="0.25">
      <c r="A37" s="93">
        <v>10</v>
      </c>
      <c r="B37" s="95">
        <v>0.27200000000000002</v>
      </c>
      <c r="C37" s="95">
        <v>0.27800000000000002</v>
      </c>
      <c r="D37" s="95">
        <v>0.28499999999999998</v>
      </c>
      <c r="E37" s="95">
        <v>0.29199999999999998</v>
      </c>
      <c r="F37" s="95">
        <v>0.29899999999999999</v>
      </c>
      <c r="G37" s="95">
        <v>0.30599999999999999</v>
      </c>
      <c r="H37" s="95">
        <v>0.313</v>
      </c>
      <c r="I37" s="95">
        <v>0.32100000000000001</v>
      </c>
      <c r="J37" s="95">
        <v>0.32900000000000001</v>
      </c>
      <c r="K37" s="95">
        <v>0.33800000000000002</v>
      </c>
      <c r="L37" s="95">
        <v>0.34599999999999997</v>
      </c>
      <c r="M37" s="95">
        <v>0.35499999999999998</v>
      </c>
      <c r="N37" s="95">
        <v>0.36499999999999999</v>
      </c>
      <c r="O37" s="95">
        <v>0.374</v>
      </c>
      <c r="P37" s="95">
        <v>0.38500000000000001</v>
      </c>
      <c r="Q37" s="95">
        <v>0.39500000000000002</v>
      </c>
      <c r="R37" s="95">
        <v>0.40600000000000003</v>
      </c>
      <c r="S37" s="95">
        <v>0.41799999999999998</v>
      </c>
      <c r="T37" s="95">
        <v>0.43</v>
      </c>
      <c r="U37" s="95">
        <v>0.442</v>
      </c>
      <c r="V37" s="95">
        <v>0.45600000000000002</v>
      </c>
      <c r="W37" s="95">
        <v>0.46899999999999997</v>
      </c>
      <c r="X37" s="95">
        <v>0.48399999999999999</v>
      </c>
      <c r="Y37" s="95">
        <v>0.499</v>
      </c>
      <c r="Z37" s="95">
        <v>0.51500000000000001</v>
      </c>
      <c r="AA37" s="95">
        <v>0.53200000000000003</v>
      </c>
      <c r="AB37" s="95">
        <v>0.54900000000000004</v>
      </c>
      <c r="AC37" s="95">
        <v>0.56799999999999995</v>
      </c>
      <c r="AD37" s="95">
        <v>0.58799999999999997</v>
      </c>
      <c r="AE37" s="95">
        <v>0.60799999999999998</v>
      </c>
      <c r="AF37" s="95">
        <v>0.63</v>
      </c>
      <c r="AG37" s="95">
        <v>0.65400000000000003</v>
      </c>
      <c r="AH37" s="95">
        <v>0.67800000000000005</v>
      </c>
      <c r="AI37" s="95">
        <v>0.70499999999999996</v>
      </c>
      <c r="AJ37" s="95">
        <v>0.73299999999999998</v>
      </c>
      <c r="AK37" s="95">
        <v>0.76200000000000001</v>
      </c>
      <c r="AL37" s="95">
        <v>0.79400000000000004</v>
      </c>
      <c r="AM37" s="95">
        <v>0.82799999999999996</v>
      </c>
      <c r="AN37" s="95">
        <v>0.86499999999999999</v>
      </c>
      <c r="AO37" s="95">
        <v>0.90400000000000003</v>
      </c>
      <c r="AP37" s="95">
        <v>0.94699999999999995</v>
      </c>
      <c r="AQ37" s="95">
        <v>0.99199999999999999</v>
      </c>
    </row>
    <row r="38" spans="1:43" x14ac:dyDescent="0.25">
      <c r="A38" s="93">
        <v>11</v>
      </c>
      <c r="B38" s="95">
        <v>0.27200000000000002</v>
      </c>
      <c r="C38" s="95">
        <v>0.27900000000000003</v>
      </c>
      <c r="D38" s="95">
        <v>0.28499999999999998</v>
      </c>
      <c r="E38" s="95">
        <v>0.29199999999999998</v>
      </c>
      <c r="F38" s="95">
        <v>0.29899999999999999</v>
      </c>
      <c r="G38" s="95">
        <v>0.30599999999999999</v>
      </c>
      <c r="H38" s="95">
        <v>0.314</v>
      </c>
      <c r="I38" s="95">
        <v>0.32200000000000001</v>
      </c>
      <c r="J38" s="95">
        <v>0.33</v>
      </c>
      <c r="K38" s="95">
        <v>0.33800000000000002</v>
      </c>
      <c r="L38" s="95">
        <v>0.34699999999999998</v>
      </c>
      <c r="M38" s="95">
        <v>0.35599999999999998</v>
      </c>
      <c r="N38" s="95">
        <v>0.36499999999999999</v>
      </c>
      <c r="O38" s="95">
        <v>0.375</v>
      </c>
      <c r="P38" s="95">
        <v>0.38500000000000001</v>
      </c>
      <c r="Q38" s="95">
        <v>0.39600000000000002</v>
      </c>
      <c r="R38" s="95">
        <v>0.40699999999999997</v>
      </c>
      <c r="S38" s="95">
        <v>0.41899999999999998</v>
      </c>
      <c r="T38" s="95">
        <v>0.43099999999999999</v>
      </c>
      <c r="U38" s="95">
        <v>0.443</v>
      </c>
      <c r="V38" s="95">
        <v>0.45700000000000002</v>
      </c>
      <c r="W38" s="95">
        <v>0.47099999999999997</v>
      </c>
      <c r="X38" s="95">
        <v>0.48499999999999999</v>
      </c>
      <c r="Y38" s="95">
        <v>0.5</v>
      </c>
      <c r="Z38" s="95">
        <v>0.51600000000000001</v>
      </c>
      <c r="AA38" s="95">
        <v>0.53300000000000003</v>
      </c>
      <c r="AB38" s="95">
        <v>0.55100000000000005</v>
      </c>
      <c r="AC38" s="95">
        <v>0.56999999999999995</v>
      </c>
      <c r="AD38" s="95">
        <v>0.58899999999999997</v>
      </c>
      <c r="AE38" s="95">
        <v>0.61</v>
      </c>
      <c r="AF38" s="95">
        <v>0.63200000000000001</v>
      </c>
      <c r="AG38" s="95">
        <v>0.65600000000000003</v>
      </c>
      <c r="AH38" s="95">
        <v>0.68</v>
      </c>
      <c r="AI38" s="95">
        <v>0.70699999999999996</v>
      </c>
      <c r="AJ38" s="95">
        <v>0.73499999999999999</v>
      </c>
      <c r="AK38" s="95">
        <v>0.76500000000000001</v>
      </c>
      <c r="AL38" s="95">
        <v>0.79700000000000004</v>
      </c>
      <c r="AM38" s="95">
        <v>0.83099999999999996</v>
      </c>
      <c r="AN38" s="95">
        <v>0.86799999999999999</v>
      </c>
      <c r="AO38" s="95">
        <v>0.90800000000000003</v>
      </c>
      <c r="AP38" s="95">
        <v>0.95</v>
      </c>
      <c r="AQ38" s="95">
        <v>0.996</v>
      </c>
    </row>
    <row r="44" spans="1:43" ht="39.6" customHeight="1" x14ac:dyDescent="0.25"/>
    <row r="46" spans="1:43" ht="27.6" customHeight="1" x14ac:dyDescent="0.25"/>
  </sheetData>
  <sheetProtection algorithmName="SHA-512" hashValue="mqXCHnicYs8kvFupCLrHi+oc2HeW+dXc2uPho6NNDzdDR5IttUSn4I8E5v7boH1cG9YUVbH59/YXxZWt2Xkq2A==" saltValue="O3MXtFkwerQyRioBr4ZX8A==" spinCount="100000" sheet="1" objects="1" scenarios="1"/>
  <conditionalFormatting sqref="A6:A21">
    <cfRule type="expression" dxfId="197" priority="9" stopIfTrue="1">
      <formula>MOD(ROW(),2)=0</formula>
    </cfRule>
    <cfRule type="expression" dxfId="196" priority="10" stopIfTrue="1">
      <formula>MOD(ROW(),2)&lt;&gt;0</formula>
    </cfRule>
  </conditionalFormatting>
  <conditionalFormatting sqref="A26:A38">
    <cfRule type="expression" dxfId="195" priority="3" stopIfTrue="1">
      <formula>MOD(ROW(),2)=0</formula>
    </cfRule>
    <cfRule type="expression" dxfId="194" priority="4" stopIfTrue="1">
      <formula>MOD(ROW(),2)&lt;&gt;0</formula>
    </cfRule>
  </conditionalFormatting>
  <conditionalFormatting sqref="B17:B21">
    <cfRule type="expression" dxfId="193" priority="1" stopIfTrue="1">
      <formula>MOD(ROW(),2)=0</formula>
    </cfRule>
    <cfRule type="expression" dxfId="192" priority="2" stopIfTrue="1">
      <formula>MOD(ROW(),2)&lt;&gt;0</formula>
    </cfRule>
  </conditionalFormatting>
  <conditionalFormatting sqref="B6:AQ21">
    <cfRule type="expression" dxfId="191" priority="19" stopIfTrue="1">
      <formula>MOD(ROW(),2)=0</formula>
    </cfRule>
    <cfRule type="expression" dxfId="190" priority="20" stopIfTrue="1">
      <formula>MOD(ROW(),2)&lt;&gt;0</formula>
    </cfRule>
  </conditionalFormatting>
  <conditionalFormatting sqref="B26:AQ38">
    <cfRule type="expression" dxfId="189" priority="5" stopIfTrue="1">
      <formula>MOD(ROW(),2)=0</formula>
    </cfRule>
    <cfRule type="expression" dxfId="18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Scheme pays AA - x-614</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481</v>
      </c>
      <c r="C9" s="152"/>
      <c r="D9" s="152"/>
      <c r="E9" s="152"/>
      <c r="F9" s="152"/>
      <c r="G9" s="152"/>
      <c r="H9" s="152"/>
      <c r="I9" s="152"/>
      <c r="J9" s="152"/>
      <c r="K9" s="152"/>
    </row>
    <row r="10" spans="1:11" x14ac:dyDescent="0.25">
      <c r="A10" s="79" t="s">
        <v>233</v>
      </c>
      <c r="B10" s="152" t="s">
        <v>506</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507</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614</v>
      </c>
      <c r="C14" s="152"/>
      <c r="D14" s="152"/>
      <c r="E14" s="152"/>
      <c r="F14" s="152"/>
      <c r="G14" s="152"/>
      <c r="H14" s="152"/>
      <c r="I14" s="152"/>
      <c r="J14" s="152"/>
      <c r="K14" s="152"/>
    </row>
    <row r="15" spans="1:11" x14ac:dyDescent="0.25">
      <c r="A15" s="79" t="s">
        <v>569</v>
      </c>
      <c r="B15" s="152" t="s">
        <v>508</v>
      </c>
      <c r="C15" s="152"/>
      <c r="D15" s="152"/>
      <c r="E15" s="152"/>
      <c r="F15" s="152"/>
      <c r="G15" s="152"/>
      <c r="H15" s="152"/>
      <c r="I15" s="152"/>
      <c r="J15" s="152"/>
      <c r="K15" s="152"/>
    </row>
    <row r="16" spans="1:11" x14ac:dyDescent="0.25">
      <c r="A16" s="79" t="s">
        <v>313</v>
      </c>
      <c r="B16" s="152" t="s">
        <v>339</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45135</v>
      </c>
      <c r="C18" s="152"/>
      <c r="D18" s="152"/>
      <c r="E18" s="152"/>
      <c r="F18" s="152"/>
      <c r="G18" s="152"/>
      <c r="H18" s="152"/>
      <c r="I18" s="152"/>
      <c r="J18" s="152"/>
      <c r="K18" s="152"/>
    </row>
    <row r="19" spans="1:11" x14ac:dyDescent="0.25">
      <c r="A19" s="79" t="s">
        <v>316</v>
      </c>
      <c r="B19" s="154">
        <v>45135</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55</v>
      </c>
      <c r="C26" s="92">
        <v>56</v>
      </c>
      <c r="D26" s="92">
        <v>57</v>
      </c>
      <c r="E26" s="92">
        <v>58</v>
      </c>
      <c r="F26" s="92">
        <v>59</v>
      </c>
      <c r="G26" s="92">
        <v>60</v>
      </c>
      <c r="H26" s="92">
        <v>61</v>
      </c>
      <c r="I26" s="92">
        <v>62</v>
      </c>
      <c r="J26" s="92">
        <v>63</v>
      </c>
      <c r="K26" s="92">
        <v>64</v>
      </c>
    </row>
    <row r="27" spans="1:11" x14ac:dyDescent="0.25">
      <c r="A27" s="93">
        <v>0</v>
      </c>
      <c r="B27" s="95">
        <v>0.62</v>
      </c>
      <c r="C27" s="95">
        <v>0.64600000000000002</v>
      </c>
      <c r="D27" s="95">
        <v>0.67400000000000004</v>
      </c>
      <c r="E27" s="95">
        <v>0.70499999999999996</v>
      </c>
      <c r="F27" s="95">
        <v>0.73699999999999999</v>
      </c>
      <c r="G27" s="95">
        <v>0.77200000000000002</v>
      </c>
      <c r="H27" s="95">
        <v>0.81100000000000005</v>
      </c>
      <c r="I27" s="95">
        <v>0.85199999999999998</v>
      </c>
      <c r="J27" s="95">
        <v>0.89700000000000002</v>
      </c>
      <c r="K27" s="95">
        <v>0.94599999999999995</v>
      </c>
    </row>
    <row r="28" spans="1:11" x14ac:dyDescent="0.25">
      <c r="A28" s="93">
        <v>1</v>
      </c>
      <c r="B28" s="95">
        <v>0.622</v>
      </c>
      <c r="C28" s="95">
        <v>0.64800000000000002</v>
      </c>
      <c r="D28" s="95">
        <v>0.67700000000000005</v>
      </c>
      <c r="E28" s="95">
        <v>0.70699999999999996</v>
      </c>
      <c r="F28" s="95">
        <v>0.74</v>
      </c>
      <c r="G28" s="95">
        <v>0.77600000000000002</v>
      </c>
      <c r="H28" s="95">
        <v>0.81399999999999995</v>
      </c>
      <c r="I28" s="95">
        <v>0.85599999999999998</v>
      </c>
      <c r="J28" s="95">
        <v>0.90100000000000002</v>
      </c>
      <c r="K28" s="95">
        <v>0.95099999999999996</v>
      </c>
    </row>
    <row r="29" spans="1:11" x14ac:dyDescent="0.25">
      <c r="A29" s="93">
        <v>2</v>
      </c>
      <c r="B29" s="95">
        <v>0.624</v>
      </c>
      <c r="C29" s="95">
        <v>0.65100000000000002</v>
      </c>
      <c r="D29" s="95">
        <v>0.67900000000000005</v>
      </c>
      <c r="E29" s="95">
        <v>0.71</v>
      </c>
      <c r="F29" s="95">
        <v>0.74299999999999999</v>
      </c>
      <c r="G29" s="95">
        <v>0.77900000000000003</v>
      </c>
      <c r="H29" s="95">
        <v>0.81699999999999995</v>
      </c>
      <c r="I29" s="95">
        <v>0.85899999999999999</v>
      </c>
      <c r="J29" s="95">
        <v>0.90500000000000003</v>
      </c>
      <c r="K29" s="95">
        <v>0.95499999999999996</v>
      </c>
    </row>
    <row r="30" spans="1:11" x14ac:dyDescent="0.25">
      <c r="A30" s="93">
        <v>3</v>
      </c>
      <c r="B30" s="95">
        <v>0.626</v>
      </c>
      <c r="C30" s="95">
        <v>0.65300000000000002</v>
      </c>
      <c r="D30" s="95">
        <v>0.68200000000000005</v>
      </c>
      <c r="E30" s="95">
        <v>0.71299999999999997</v>
      </c>
      <c r="F30" s="95">
        <v>0.746</v>
      </c>
      <c r="G30" s="95">
        <v>0.78200000000000003</v>
      </c>
      <c r="H30" s="95">
        <v>0.82099999999999995</v>
      </c>
      <c r="I30" s="95">
        <v>0.86299999999999999</v>
      </c>
      <c r="J30" s="95">
        <v>0.90900000000000003</v>
      </c>
      <c r="K30" s="95">
        <v>0.96</v>
      </c>
    </row>
    <row r="31" spans="1:11" x14ac:dyDescent="0.25">
      <c r="A31" s="93">
        <v>4</v>
      </c>
      <c r="B31" s="95">
        <v>0.629</v>
      </c>
      <c r="C31" s="95">
        <v>0.65600000000000003</v>
      </c>
      <c r="D31" s="95">
        <v>0.68400000000000005</v>
      </c>
      <c r="E31" s="95">
        <v>0.71499999999999997</v>
      </c>
      <c r="F31" s="95">
        <v>0.749</v>
      </c>
      <c r="G31" s="95">
        <v>0.78500000000000003</v>
      </c>
      <c r="H31" s="95">
        <v>0.82399999999999995</v>
      </c>
      <c r="I31" s="95">
        <v>0.86699999999999999</v>
      </c>
      <c r="J31" s="95">
        <v>0.91300000000000003</v>
      </c>
      <c r="K31" s="95">
        <v>0.96399999999999997</v>
      </c>
    </row>
    <row r="32" spans="1:11" x14ac:dyDescent="0.25">
      <c r="A32" s="93">
        <v>5</v>
      </c>
      <c r="B32" s="95">
        <v>0.63100000000000001</v>
      </c>
      <c r="C32" s="95">
        <v>0.65800000000000003</v>
      </c>
      <c r="D32" s="95">
        <v>0.68700000000000006</v>
      </c>
      <c r="E32" s="95">
        <v>0.71799999999999997</v>
      </c>
      <c r="F32" s="95">
        <v>0.752</v>
      </c>
      <c r="G32" s="95">
        <v>0.78800000000000003</v>
      </c>
      <c r="H32" s="95">
        <v>0.82799999999999996</v>
      </c>
      <c r="I32" s="95">
        <v>0.871</v>
      </c>
      <c r="J32" s="95">
        <v>0.91700000000000004</v>
      </c>
      <c r="K32" s="95">
        <v>0.96899999999999997</v>
      </c>
    </row>
    <row r="33" spans="1:11" x14ac:dyDescent="0.25">
      <c r="A33" s="93">
        <v>6</v>
      </c>
      <c r="B33" s="95">
        <v>0.63300000000000001</v>
      </c>
      <c r="C33" s="95">
        <v>0.66</v>
      </c>
      <c r="D33" s="95">
        <v>0.68899999999999995</v>
      </c>
      <c r="E33" s="95">
        <v>0.72099999999999997</v>
      </c>
      <c r="F33" s="95">
        <v>0.755</v>
      </c>
      <c r="G33" s="95">
        <v>0.79100000000000004</v>
      </c>
      <c r="H33" s="95">
        <v>0.83099999999999996</v>
      </c>
      <c r="I33" s="95">
        <v>0.874</v>
      </c>
      <c r="J33" s="95">
        <v>0.92200000000000004</v>
      </c>
      <c r="K33" s="95">
        <v>0.97299999999999998</v>
      </c>
    </row>
    <row r="34" spans="1:11" x14ac:dyDescent="0.25">
      <c r="A34" s="93">
        <v>7</v>
      </c>
      <c r="B34" s="95">
        <v>0.63500000000000001</v>
      </c>
      <c r="C34" s="95">
        <v>0.66300000000000003</v>
      </c>
      <c r="D34" s="95">
        <v>0.69199999999999995</v>
      </c>
      <c r="E34" s="95">
        <v>0.72399999999999998</v>
      </c>
      <c r="F34" s="95">
        <v>0.75800000000000001</v>
      </c>
      <c r="G34" s="95">
        <v>0.79500000000000004</v>
      </c>
      <c r="H34" s="95">
        <v>0.83499999999999996</v>
      </c>
      <c r="I34" s="95">
        <v>0.878</v>
      </c>
      <c r="J34" s="95">
        <v>0.92600000000000005</v>
      </c>
      <c r="K34" s="95">
        <v>0.97799999999999998</v>
      </c>
    </row>
    <row r="35" spans="1:11" x14ac:dyDescent="0.25">
      <c r="A35" s="93">
        <v>8</v>
      </c>
      <c r="B35" s="95">
        <v>0.63700000000000001</v>
      </c>
      <c r="C35" s="95">
        <v>0.66500000000000004</v>
      </c>
      <c r="D35" s="95">
        <v>0.69399999999999995</v>
      </c>
      <c r="E35" s="95">
        <v>0.72599999999999998</v>
      </c>
      <c r="F35" s="95">
        <v>0.76100000000000001</v>
      </c>
      <c r="G35" s="95">
        <v>0.79800000000000004</v>
      </c>
      <c r="H35" s="95">
        <v>0.83799999999999997</v>
      </c>
      <c r="I35" s="95">
        <v>0.88200000000000001</v>
      </c>
      <c r="J35" s="95">
        <v>0.93</v>
      </c>
      <c r="K35" s="95">
        <v>0.98199999999999998</v>
      </c>
    </row>
    <row r="36" spans="1:11" x14ac:dyDescent="0.25">
      <c r="A36" s="93">
        <v>9</v>
      </c>
      <c r="B36" s="95">
        <v>0.64</v>
      </c>
      <c r="C36" s="95">
        <v>0.66700000000000004</v>
      </c>
      <c r="D36" s="95">
        <v>0.69699999999999995</v>
      </c>
      <c r="E36" s="95">
        <v>0.72899999999999998</v>
      </c>
      <c r="F36" s="95">
        <v>0.76400000000000001</v>
      </c>
      <c r="G36" s="95">
        <v>0.80100000000000005</v>
      </c>
      <c r="H36" s="95">
        <v>0.84199999999999997</v>
      </c>
      <c r="I36" s="95">
        <v>0.88600000000000001</v>
      </c>
      <c r="J36" s="95">
        <v>0.93400000000000005</v>
      </c>
      <c r="K36" s="95">
        <v>0.98699999999999999</v>
      </c>
    </row>
    <row r="37" spans="1:11" x14ac:dyDescent="0.25">
      <c r="A37" s="93">
        <v>10</v>
      </c>
      <c r="B37" s="95">
        <v>0.64200000000000002</v>
      </c>
      <c r="C37" s="95">
        <v>0.67</v>
      </c>
      <c r="D37" s="95">
        <v>0.7</v>
      </c>
      <c r="E37" s="95">
        <v>0.73199999999999998</v>
      </c>
      <c r="F37" s="95">
        <v>0.76700000000000002</v>
      </c>
      <c r="G37" s="95">
        <v>0.80400000000000005</v>
      </c>
      <c r="H37" s="95">
        <v>0.84499999999999997</v>
      </c>
      <c r="I37" s="95">
        <v>0.88900000000000001</v>
      </c>
      <c r="J37" s="95">
        <v>0.93799999999999994</v>
      </c>
      <c r="K37" s="95">
        <v>0.99099999999999999</v>
      </c>
    </row>
    <row r="38" spans="1:11" x14ac:dyDescent="0.25">
      <c r="A38" s="93">
        <v>11</v>
      </c>
      <c r="B38" s="95">
        <v>0.64400000000000002</v>
      </c>
      <c r="C38" s="95">
        <v>0.67200000000000004</v>
      </c>
      <c r="D38" s="95">
        <v>0.70199999999999996</v>
      </c>
      <c r="E38" s="95">
        <v>0.73399999999999999</v>
      </c>
      <c r="F38" s="95">
        <v>0.76900000000000002</v>
      </c>
      <c r="G38" s="95">
        <v>0.80700000000000005</v>
      </c>
      <c r="H38" s="95">
        <v>0.84799999999999998</v>
      </c>
      <c r="I38" s="95">
        <v>0.89300000000000002</v>
      </c>
      <c r="J38" s="95">
        <v>0.94199999999999995</v>
      </c>
      <c r="K38" s="95">
        <v>0.996</v>
      </c>
    </row>
    <row r="44" spans="1:11" ht="39.6" customHeight="1" x14ac:dyDescent="0.25"/>
    <row r="46" spans="1:11" ht="27.6" customHeight="1" x14ac:dyDescent="0.25"/>
  </sheetData>
  <sheetProtection algorithmName="SHA-512" hashValue="j/uTnDkv9iE/+CnAqLt/99S8kJ05oE538xvxmaWFlxFp8kV4ioxFuKV7sg6W63ZMhwXerasCLXfpPJKp4kIhHg==" saltValue="X4i+1TPTLLgh7m4SnoFd7A==" spinCount="100000" sheet="1" objects="1" scenarios="1"/>
  <conditionalFormatting sqref="A6:A21">
    <cfRule type="expression" dxfId="187" priority="9" stopIfTrue="1">
      <formula>MOD(ROW(),2)=0</formula>
    </cfRule>
    <cfRule type="expression" dxfId="186" priority="10" stopIfTrue="1">
      <formula>MOD(ROW(),2)&lt;&gt;0</formula>
    </cfRule>
  </conditionalFormatting>
  <conditionalFormatting sqref="A26:A38">
    <cfRule type="expression" dxfId="185" priority="3" stopIfTrue="1">
      <formula>MOD(ROW(),2)=0</formula>
    </cfRule>
    <cfRule type="expression" dxfId="184" priority="4" stopIfTrue="1">
      <formula>MOD(ROW(),2)&lt;&gt;0</formula>
    </cfRule>
  </conditionalFormatting>
  <conditionalFormatting sqref="B17:B21">
    <cfRule type="expression" dxfId="183" priority="1" stopIfTrue="1">
      <formula>MOD(ROW(),2)=0</formula>
    </cfRule>
    <cfRule type="expression" dxfId="182" priority="2" stopIfTrue="1">
      <formula>MOD(ROW(),2)&lt;&gt;0</formula>
    </cfRule>
  </conditionalFormatting>
  <conditionalFormatting sqref="B6:K21">
    <cfRule type="expression" dxfId="181" priority="19" stopIfTrue="1">
      <formula>MOD(ROW(),2)=0</formula>
    </cfRule>
    <cfRule type="expression" dxfId="180" priority="20" stopIfTrue="1">
      <formula>MOD(ROW(),2)&lt;&gt;0</formula>
    </cfRule>
  </conditionalFormatting>
  <conditionalFormatting sqref="B26:K38">
    <cfRule type="expression" dxfId="179" priority="5" stopIfTrue="1">
      <formula>MOD(ROW(),2)=0</formula>
    </cfRule>
    <cfRule type="expression" dxfId="17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Scheme pays AA - x-615</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481</v>
      </c>
      <c r="C9" s="152"/>
      <c r="D9" s="152"/>
      <c r="E9" s="152"/>
      <c r="F9" s="152"/>
      <c r="G9" s="152"/>
      <c r="H9" s="152"/>
      <c r="I9" s="152"/>
      <c r="J9" s="152"/>
      <c r="K9" s="152"/>
    </row>
    <row r="10" spans="1:11" x14ac:dyDescent="0.25">
      <c r="A10" s="79" t="s">
        <v>233</v>
      </c>
      <c r="B10" s="152" t="s">
        <v>509</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507</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615</v>
      </c>
      <c r="C14" s="152"/>
      <c r="D14" s="152"/>
      <c r="E14" s="152"/>
      <c r="F14" s="152"/>
      <c r="G14" s="152"/>
      <c r="H14" s="152"/>
      <c r="I14" s="152"/>
      <c r="J14" s="152"/>
      <c r="K14" s="152"/>
    </row>
    <row r="15" spans="1:11" x14ac:dyDescent="0.25">
      <c r="A15" s="79" t="s">
        <v>569</v>
      </c>
      <c r="B15" s="152" t="s">
        <v>510</v>
      </c>
      <c r="C15" s="152"/>
      <c r="D15" s="152"/>
      <c r="E15" s="152"/>
      <c r="F15" s="152"/>
      <c r="G15" s="152"/>
      <c r="H15" s="152"/>
      <c r="I15" s="152"/>
      <c r="J15" s="152"/>
      <c r="K15" s="152"/>
    </row>
    <row r="16" spans="1:11" x14ac:dyDescent="0.25">
      <c r="A16" s="79" t="s">
        <v>313</v>
      </c>
      <c r="B16" s="152" t="s">
        <v>341</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45135</v>
      </c>
      <c r="C18" s="152"/>
      <c r="D18" s="152"/>
      <c r="E18" s="152"/>
      <c r="F18" s="152"/>
      <c r="G18" s="152"/>
      <c r="H18" s="152"/>
      <c r="I18" s="152"/>
      <c r="J18" s="152"/>
      <c r="K18" s="152"/>
    </row>
    <row r="19" spans="1:11" x14ac:dyDescent="0.25">
      <c r="A19" s="79" t="s">
        <v>316</v>
      </c>
      <c r="B19" s="154">
        <v>45135</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65</v>
      </c>
      <c r="C26" s="92">
        <v>66</v>
      </c>
      <c r="D26" s="92">
        <v>67</v>
      </c>
      <c r="E26" s="92">
        <v>68</v>
      </c>
      <c r="F26" s="92">
        <v>69</v>
      </c>
      <c r="G26" s="92">
        <v>70</v>
      </c>
      <c r="H26" s="92">
        <v>71</v>
      </c>
      <c r="I26" s="92">
        <v>72</v>
      </c>
      <c r="J26" s="92">
        <v>73</v>
      </c>
      <c r="K26" s="92">
        <v>74</v>
      </c>
    </row>
    <row r="27" spans="1:11" x14ac:dyDescent="0.25">
      <c r="A27" s="93">
        <v>0</v>
      </c>
      <c r="B27" s="95">
        <v>1</v>
      </c>
      <c r="C27" s="95">
        <v>1.0589999999999999</v>
      </c>
      <c r="D27" s="95">
        <v>1.125</v>
      </c>
      <c r="E27" s="95">
        <v>1.1970000000000001</v>
      </c>
      <c r="F27" s="95">
        <v>1.276</v>
      </c>
      <c r="G27" s="95">
        <v>1.363</v>
      </c>
      <c r="H27" s="95">
        <v>1.46</v>
      </c>
      <c r="I27" s="95">
        <v>1.5669999999999999</v>
      </c>
      <c r="J27" s="95">
        <v>1.6859999999999999</v>
      </c>
      <c r="K27" s="95">
        <v>1.819</v>
      </c>
    </row>
    <row r="28" spans="1:11" x14ac:dyDescent="0.25">
      <c r="A28" s="93">
        <v>1</v>
      </c>
      <c r="B28" s="95">
        <v>1.0049999999999999</v>
      </c>
      <c r="C28" s="95">
        <v>1.0649999999999999</v>
      </c>
      <c r="D28" s="95">
        <v>1.131</v>
      </c>
      <c r="E28" s="95">
        <v>1.2030000000000001</v>
      </c>
      <c r="F28" s="95">
        <v>1.2829999999999999</v>
      </c>
      <c r="G28" s="95">
        <v>1.371</v>
      </c>
      <c r="H28" s="95">
        <v>1.4690000000000001</v>
      </c>
      <c r="I28" s="95">
        <v>1.577</v>
      </c>
      <c r="J28" s="95">
        <v>1.6970000000000001</v>
      </c>
      <c r="K28" s="95">
        <v>1.831</v>
      </c>
    </row>
    <row r="29" spans="1:11" x14ac:dyDescent="0.25">
      <c r="A29" s="93">
        <v>2</v>
      </c>
      <c r="B29" s="95">
        <v>1.01</v>
      </c>
      <c r="C29" s="95">
        <v>1.07</v>
      </c>
      <c r="D29" s="95">
        <v>1.137</v>
      </c>
      <c r="E29" s="95">
        <v>1.21</v>
      </c>
      <c r="F29" s="95">
        <v>1.29</v>
      </c>
      <c r="G29" s="95">
        <v>1.379</v>
      </c>
      <c r="H29" s="95">
        <v>1.478</v>
      </c>
      <c r="I29" s="95">
        <v>1.587</v>
      </c>
      <c r="J29" s="95">
        <v>1.708</v>
      </c>
      <c r="K29" s="95">
        <v>1.8440000000000001</v>
      </c>
    </row>
    <row r="30" spans="1:11" x14ac:dyDescent="0.25">
      <c r="A30" s="93">
        <v>3</v>
      </c>
      <c r="B30" s="95">
        <v>1.0149999999999999</v>
      </c>
      <c r="C30" s="95">
        <v>1.0760000000000001</v>
      </c>
      <c r="D30" s="95">
        <v>1.143</v>
      </c>
      <c r="E30" s="95">
        <v>1.2170000000000001</v>
      </c>
      <c r="F30" s="95">
        <v>1.298</v>
      </c>
      <c r="G30" s="95">
        <v>1.387</v>
      </c>
      <c r="H30" s="95">
        <v>1.4870000000000001</v>
      </c>
      <c r="I30" s="95">
        <v>1.597</v>
      </c>
      <c r="J30" s="95">
        <v>1.7190000000000001</v>
      </c>
      <c r="K30" s="95">
        <v>1.8560000000000001</v>
      </c>
    </row>
    <row r="31" spans="1:11" x14ac:dyDescent="0.25">
      <c r="A31" s="93">
        <v>4</v>
      </c>
      <c r="B31" s="95">
        <v>1.02</v>
      </c>
      <c r="C31" s="95">
        <v>1.081</v>
      </c>
      <c r="D31" s="95">
        <v>1.149</v>
      </c>
      <c r="E31" s="95">
        <v>1.2230000000000001</v>
      </c>
      <c r="F31" s="95">
        <v>1.3049999999999999</v>
      </c>
      <c r="G31" s="95">
        <v>1.3959999999999999</v>
      </c>
      <c r="H31" s="95">
        <v>1.496</v>
      </c>
      <c r="I31" s="95">
        <v>1.607</v>
      </c>
      <c r="J31" s="95">
        <v>1.73</v>
      </c>
      <c r="K31" s="95">
        <v>1.869</v>
      </c>
    </row>
    <row r="32" spans="1:11" x14ac:dyDescent="0.25">
      <c r="A32" s="93">
        <v>5</v>
      </c>
      <c r="B32" s="95">
        <v>1.0249999999999999</v>
      </c>
      <c r="C32" s="95">
        <v>1.087</v>
      </c>
      <c r="D32" s="95">
        <v>1.155</v>
      </c>
      <c r="E32" s="95">
        <v>1.23</v>
      </c>
      <c r="F32" s="95">
        <v>1.3120000000000001</v>
      </c>
      <c r="G32" s="95">
        <v>1.4039999999999999</v>
      </c>
      <c r="H32" s="95">
        <v>1.5049999999999999</v>
      </c>
      <c r="I32" s="95">
        <v>1.617</v>
      </c>
      <c r="J32" s="95">
        <v>1.742</v>
      </c>
      <c r="K32" s="95">
        <v>1.881</v>
      </c>
    </row>
    <row r="33" spans="1:11" x14ac:dyDescent="0.25">
      <c r="A33" s="93">
        <v>6</v>
      </c>
      <c r="B33" s="95">
        <v>1.03</v>
      </c>
      <c r="C33" s="95">
        <v>1.0920000000000001</v>
      </c>
      <c r="D33" s="95">
        <v>1.161</v>
      </c>
      <c r="E33" s="95">
        <v>1.236</v>
      </c>
      <c r="F33" s="95">
        <v>1.32</v>
      </c>
      <c r="G33" s="95">
        <v>1.4119999999999999</v>
      </c>
      <c r="H33" s="95">
        <v>1.5129999999999999</v>
      </c>
      <c r="I33" s="95">
        <v>1.627</v>
      </c>
      <c r="J33" s="95">
        <v>1.7529999999999999</v>
      </c>
      <c r="K33" s="95">
        <v>1.893</v>
      </c>
    </row>
    <row r="34" spans="1:11" x14ac:dyDescent="0.25">
      <c r="A34" s="93">
        <v>7</v>
      </c>
      <c r="B34" s="95">
        <v>1.0349999999999999</v>
      </c>
      <c r="C34" s="95">
        <v>1.0980000000000001</v>
      </c>
      <c r="D34" s="95">
        <v>1.167</v>
      </c>
      <c r="E34" s="95">
        <v>1.2430000000000001</v>
      </c>
      <c r="F34" s="95">
        <v>1.327</v>
      </c>
      <c r="G34" s="95">
        <v>1.42</v>
      </c>
      <c r="H34" s="95">
        <v>1.522</v>
      </c>
      <c r="I34" s="95">
        <v>1.637</v>
      </c>
      <c r="J34" s="95">
        <v>1.764</v>
      </c>
      <c r="K34" s="95">
        <v>1.9059999999999999</v>
      </c>
    </row>
    <row r="35" spans="1:11" x14ac:dyDescent="0.25">
      <c r="A35" s="93">
        <v>8</v>
      </c>
      <c r="B35" s="95">
        <v>1.04</v>
      </c>
      <c r="C35" s="95">
        <v>1.103</v>
      </c>
      <c r="D35" s="95">
        <v>1.173</v>
      </c>
      <c r="E35" s="95">
        <v>1.25</v>
      </c>
      <c r="F35" s="95">
        <v>1.3340000000000001</v>
      </c>
      <c r="G35" s="95">
        <v>1.4279999999999999</v>
      </c>
      <c r="H35" s="95">
        <v>1.5309999999999999</v>
      </c>
      <c r="I35" s="95">
        <v>1.6459999999999999</v>
      </c>
      <c r="J35" s="95">
        <v>1.7749999999999999</v>
      </c>
      <c r="K35" s="95">
        <v>1.9179999999999999</v>
      </c>
    </row>
    <row r="36" spans="1:11" x14ac:dyDescent="0.25">
      <c r="A36" s="93">
        <v>9</v>
      </c>
      <c r="B36" s="95">
        <v>1.0449999999999999</v>
      </c>
      <c r="C36" s="95">
        <v>1.1080000000000001</v>
      </c>
      <c r="D36" s="95">
        <v>1.179</v>
      </c>
      <c r="E36" s="95">
        <v>1.256</v>
      </c>
      <c r="F36" s="95">
        <v>1.341</v>
      </c>
      <c r="G36" s="95">
        <v>1.4359999999999999</v>
      </c>
      <c r="H36" s="95">
        <v>1.54</v>
      </c>
      <c r="I36" s="95">
        <v>1.6559999999999999</v>
      </c>
      <c r="J36" s="95">
        <v>1.786</v>
      </c>
      <c r="K36" s="95">
        <v>1.931</v>
      </c>
    </row>
    <row r="37" spans="1:11" x14ac:dyDescent="0.25">
      <c r="A37" s="93">
        <v>10</v>
      </c>
      <c r="B37" s="95">
        <v>1.05</v>
      </c>
      <c r="C37" s="95">
        <v>1.1140000000000001</v>
      </c>
      <c r="D37" s="95">
        <v>1.1850000000000001</v>
      </c>
      <c r="E37" s="95">
        <v>1.2629999999999999</v>
      </c>
      <c r="F37" s="95">
        <v>1.349</v>
      </c>
      <c r="G37" s="95">
        <v>1.444</v>
      </c>
      <c r="H37" s="95">
        <v>1.5489999999999999</v>
      </c>
      <c r="I37" s="95">
        <v>1.6659999999999999</v>
      </c>
      <c r="J37" s="95">
        <v>1.7969999999999999</v>
      </c>
      <c r="K37" s="95">
        <v>1.9430000000000001</v>
      </c>
    </row>
    <row r="38" spans="1:11" x14ac:dyDescent="0.25">
      <c r="A38" s="93">
        <v>11</v>
      </c>
      <c r="B38" s="95">
        <v>1.0549999999999999</v>
      </c>
      <c r="C38" s="95">
        <v>1.119</v>
      </c>
      <c r="D38" s="95">
        <v>1.1910000000000001</v>
      </c>
      <c r="E38" s="95">
        <v>1.2689999999999999</v>
      </c>
      <c r="F38" s="95">
        <v>1.3560000000000001</v>
      </c>
      <c r="G38" s="95">
        <v>1.452</v>
      </c>
      <c r="H38" s="95">
        <v>1.5580000000000001</v>
      </c>
      <c r="I38" s="95">
        <v>1.6759999999999999</v>
      </c>
      <c r="J38" s="95">
        <v>1.8080000000000001</v>
      </c>
      <c r="K38" s="95">
        <v>1.9550000000000001</v>
      </c>
    </row>
    <row r="44" spans="1:11" ht="39.6" customHeight="1" x14ac:dyDescent="0.25"/>
    <row r="46" spans="1:11" ht="27.6" customHeight="1" x14ac:dyDescent="0.25"/>
  </sheetData>
  <sheetProtection algorithmName="SHA-512" hashValue="Uq7XjZ8T4j4h6n8roO9XWqsfiC7hruNpMPodYu8CR44EXdYuvSCH/uuFkhYh1xu0PuYoyhUnXPruHPYJ0+/mNQ==" saltValue="jPKIUBe90T0zVr71PnNn+w==" spinCount="100000" sheet="1" objects="1" scenarios="1"/>
  <conditionalFormatting sqref="A6:A21">
    <cfRule type="expression" dxfId="177" priority="11" stopIfTrue="1">
      <formula>MOD(ROW(),2)=0</formula>
    </cfRule>
    <cfRule type="expression" dxfId="176" priority="12" stopIfTrue="1">
      <formula>MOD(ROW(),2)&lt;&gt;0</formula>
    </cfRule>
  </conditionalFormatting>
  <conditionalFormatting sqref="A26:A38">
    <cfRule type="expression" dxfId="175" priority="3" stopIfTrue="1">
      <formula>MOD(ROW(),2)=0</formula>
    </cfRule>
    <cfRule type="expression" dxfId="174" priority="4" stopIfTrue="1">
      <formula>MOD(ROW(),2)&lt;&gt;0</formula>
    </cfRule>
  </conditionalFormatting>
  <conditionalFormatting sqref="B17:B21">
    <cfRule type="expression" dxfId="173" priority="1" stopIfTrue="1">
      <formula>MOD(ROW(),2)=0</formula>
    </cfRule>
    <cfRule type="expression" dxfId="172" priority="2" stopIfTrue="1">
      <formula>MOD(ROW(),2)&lt;&gt;0</formula>
    </cfRule>
  </conditionalFormatting>
  <conditionalFormatting sqref="B6:K21">
    <cfRule type="expression" dxfId="171" priority="21" stopIfTrue="1">
      <formula>MOD(ROW(),2)=0</formula>
    </cfRule>
    <cfRule type="expression" dxfId="170" priority="22" stopIfTrue="1">
      <formula>MOD(ROW(),2)&lt;&gt;0</formula>
    </cfRule>
  </conditionalFormatting>
  <conditionalFormatting sqref="B26:K38">
    <cfRule type="expression" dxfId="169" priority="5" stopIfTrue="1">
      <formula>MOD(ROW(),2)=0</formula>
    </cfRule>
    <cfRule type="expression" dxfId="16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1B9B-F65C-40FD-925D-C4CFBEBFBD4C}">
  <sheetPr codeName="Sheet112">
    <tabColor theme="4"/>
  </sheetPr>
  <dimension ref="A1:D793"/>
  <sheetViews>
    <sheetView showGridLines="0" topLeftCell="A25" zoomScale="85" zoomScaleNormal="85" workbookViewId="0">
      <selection activeCell="B6" sqref="B6:D21"/>
    </sheetView>
  </sheetViews>
  <sheetFormatPr defaultRowHeight="13.2" x14ac:dyDescent="0.25"/>
  <cols>
    <col min="1" max="1" width="56.21875" customWidth="1"/>
    <col min="2" max="2" width="84.5546875" customWidth="1"/>
    <col min="3" max="12" width="15.21875" customWidth="1"/>
    <col min="13" max="13" width="5.5546875" customWidth="1"/>
    <col min="14" max="24" width="19.21875" customWidth="1"/>
    <col min="25" max="25" width="6.44140625" customWidth="1"/>
    <col min="26" max="26" width="19.21875" customWidth="1"/>
    <col min="27" max="27" width="18.5546875" customWidth="1"/>
    <col min="28" max="28" width="25.21875" customWidth="1"/>
    <col min="29" max="29" width="27" customWidth="1"/>
    <col min="30" max="30" width="39.44140625" customWidth="1"/>
    <col min="31" max="31" width="15.44140625" customWidth="1"/>
    <col min="32" max="32" width="11.44140625" customWidth="1"/>
    <col min="33" max="33" width="15.44140625" customWidth="1"/>
    <col min="34" max="34" width="15.21875" customWidth="1"/>
    <col min="35" max="35" width="20" customWidth="1"/>
    <col min="36" max="36" width="15.21875" customWidth="1"/>
    <col min="37" max="37" width="16.77734375" customWidth="1"/>
    <col min="38" max="38" width="28.77734375" customWidth="1"/>
    <col min="39" max="39" width="20" customWidth="1"/>
    <col min="40" max="40" width="20.77734375" customWidth="1"/>
    <col min="41" max="41" width="48.77734375" customWidth="1"/>
  </cols>
  <sheetData>
    <row r="1" spans="1:2" ht="21" x14ac:dyDescent="0.4">
      <c r="A1" s="4" t="s">
        <v>227</v>
      </c>
      <c r="B1" s="10"/>
    </row>
    <row r="2" spans="1:2" ht="15.6" x14ac:dyDescent="0.3">
      <c r="A2" s="11" t="str">
        <f>IF(title_new="&gt; Enter workbook title here","Enter workbook title in Cover sheet",title_new)</f>
        <v>Fire Wales - Consolidated Factor Spreadsheet</v>
      </c>
      <c r="B2" s="9"/>
    </row>
    <row r="3" spans="1:2" ht="15.6" x14ac:dyDescent="0.3">
      <c r="A3" s="6" t="s">
        <v>240</v>
      </c>
      <c r="B3" s="9"/>
    </row>
    <row r="4" spans="1:2" x14ac:dyDescent="0.25">
      <c r="A4" s="7"/>
    </row>
    <row r="5" spans="1:2" x14ac:dyDescent="0.25">
      <c r="A5" s="12"/>
      <c r="B5" s="12"/>
    </row>
    <row r="6" spans="1:2" x14ac:dyDescent="0.25">
      <c r="A6" s="122"/>
      <c r="B6" s="12"/>
    </row>
    <row r="8" spans="1:2" ht="15.6" x14ac:dyDescent="0.3">
      <c r="A8" s="123" t="s">
        <v>577</v>
      </c>
      <c r="B8" s="124" t="s">
        <v>327</v>
      </c>
    </row>
    <row r="9" spans="1:2" ht="15.6" x14ac:dyDescent="0.3">
      <c r="A9" s="123"/>
      <c r="B9" s="124"/>
    </row>
    <row r="10" spans="1:2" ht="15.6" x14ac:dyDescent="0.3">
      <c r="A10" s="124" t="s">
        <v>578</v>
      </c>
      <c r="B10" s="125"/>
    </row>
    <row r="11" spans="1:2" ht="15" x14ac:dyDescent="0.25">
      <c r="A11" s="125" t="s">
        <v>579</v>
      </c>
      <c r="B11" s="125">
        <v>3.7339999999999998E-2</v>
      </c>
    </row>
    <row r="12" spans="1:2" ht="15" x14ac:dyDescent="0.25">
      <c r="A12" s="126" t="s">
        <v>580</v>
      </c>
      <c r="B12" s="126">
        <v>0.02</v>
      </c>
    </row>
    <row r="13" spans="1:2" ht="25.5" customHeight="1" x14ac:dyDescent="0.25">
      <c r="A13" s="127" t="s">
        <v>581</v>
      </c>
      <c r="B13" s="126" t="s">
        <v>479</v>
      </c>
    </row>
    <row r="14" spans="1:2" ht="15" x14ac:dyDescent="0.25">
      <c r="A14" s="126" t="s">
        <v>582</v>
      </c>
      <c r="B14" s="126" t="s">
        <v>479</v>
      </c>
    </row>
    <row r="15" spans="1:2" ht="15" x14ac:dyDescent="0.25">
      <c r="A15" s="125" t="s">
        <v>583</v>
      </c>
      <c r="B15" s="126">
        <v>1.4E-2</v>
      </c>
    </row>
    <row r="16" spans="1:2" ht="15" x14ac:dyDescent="0.25">
      <c r="A16" s="126" t="s">
        <v>584</v>
      </c>
      <c r="B16" s="126">
        <v>3.7999999999999999E-2</v>
      </c>
    </row>
    <row r="17" spans="1:2" ht="15" x14ac:dyDescent="0.25">
      <c r="A17" s="126" t="s">
        <v>585</v>
      </c>
      <c r="B17" s="126">
        <v>3.7999999999999999E-2</v>
      </c>
    </row>
    <row r="18" spans="1:2" ht="15" x14ac:dyDescent="0.25">
      <c r="A18" s="126" t="s">
        <v>586</v>
      </c>
      <c r="B18" s="126">
        <v>1.7000000000000001E-2</v>
      </c>
    </row>
    <row r="19" spans="1:2" ht="15" x14ac:dyDescent="0.25">
      <c r="A19" s="125" t="s">
        <v>587</v>
      </c>
      <c r="B19" s="125">
        <v>2.3019999999999999E-2</v>
      </c>
    </row>
    <row r="20" spans="1:2" ht="15" x14ac:dyDescent="0.25">
      <c r="A20" s="126" t="s">
        <v>588</v>
      </c>
      <c r="B20" s="126" t="s">
        <v>589</v>
      </c>
    </row>
    <row r="21" spans="1:2" ht="15" x14ac:dyDescent="0.25">
      <c r="A21" s="126" t="s">
        <v>590</v>
      </c>
      <c r="B21" s="128" t="s">
        <v>591</v>
      </c>
    </row>
    <row r="22" spans="1:2" ht="15" x14ac:dyDescent="0.25">
      <c r="A22" s="126"/>
      <c r="B22" s="128"/>
    </row>
    <row r="23" spans="1:2" ht="15.6" x14ac:dyDescent="0.3">
      <c r="A23" s="124" t="s">
        <v>592</v>
      </c>
      <c r="B23" s="125"/>
    </row>
    <row r="24" spans="1:2" ht="15" x14ac:dyDescent="0.25">
      <c r="A24" s="126" t="s">
        <v>593</v>
      </c>
      <c r="B24" s="126" t="s">
        <v>594</v>
      </c>
    </row>
    <row r="25" spans="1:2" ht="15" x14ac:dyDescent="0.25">
      <c r="A25" s="126" t="s">
        <v>595</v>
      </c>
      <c r="B25" s="126" t="s">
        <v>596</v>
      </c>
    </row>
    <row r="26" spans="1:2" ht="15" x14ac:dyDescent="0.25">
      <c r="A26" s="126" t="s">
        <v>597</v>
      </c>
      <c r="B26" s="126" t="s">
        <v>594</v>
      </c>
    </row>
    <row r="27" spans="1:2" ht="15" x14ac:dyDescent="0.25">
      <c r="A27" s="125" t="s">
        <v>598</v>
      </c>
      <c r="B27" s="126" t="s">
        <v>596</v>
      </c>
    </row>
    <row r="28" spans="1:2" ht="15" x14ac:dyDescent="0.25">
      <c r="A28" s="126" t="s">
        <v>599</v>
      </c>
      <c r="B28" s="126" t="s">
        <v>594</v>
      </c>
    </row>
    <row r="29" spans="1:2" ht="15" x14ac:dyDescent="0.25">
      <c r="A29" s="126" t="s">
        <v>600</v>
      </c>
      <c r="B29" s="126" t="s">
        <v>601</v>
      </c>
    </row>
    <row r="30" spans="1:2" ht="15" x14ac:dyDescent="0.25">
      <c r="A30" s="126" t="s">
        <v>602</v>
      </c>
      <c r="B30" s="126" t="s">
        <v>603</v>
      </c>
    </row>
    <row r="31" spans="1:2" ht="15" x14ac:dyDescent="0.25">
      <c r="A31" s="126" t="s">
        <v>604</v>
      </c>
      <c r="B31" s="142">
        <v>2024</v>
      </c>
    </row>
    <row r="32" spans="1:2" ht="15" x14ac:dyDescent="0.25">
      <c r="A32" s="126" t="s">
        <v>605</v>
      </c>
      <c r="B32" s="126" t="s">
        <v>606</v>
      </c>
    </row>
    <row r="33" spans="1:2" ht="15" x14ac:dyDescent="0.25">
      <c r="A33" s="126"/>
      <c r="B33" s="126"/>
    </row>
    <row r="34" spans="1:2" ht="15.6" x14ac:dyDescent="0.3">
      <c r="A34" s="129" t="s">
        <v>607</v>
      </c>
      <c r="B34" s="126"/>
    </row>
    <row r="35" spans="1:2" ht="15" x14ac:dyDescent="0.25">
      <c r="A35" s="130" t="s">
        <v>608</v>
      </c>
      <c r="B35" s="131">
        <v>0.95</v>
      </c>
    </row>
    <row r="36" spans="1:2" ht="15" x14ac:dyDescent="0.25">
      <c r="A36" s="130" t="s">
        <v>609</v>
      </c>
      <c r="B36" s="130">
        <v>0.05</v>
      </c>
    </row>
    <row r="37" spans="1:2" ht="30" x14ac:dyDescent="0.25">
      <c r="A37" s="125" t="s">
        <v>610</v>
      </c>
      <c r="B37" s="125" t="s">
        <v>611</v>
      </c>
    </row>
    <row r="38" spans="1:2" ht="30" x14ac:dyDescent="0.25">
      <c r="A38" s="126" t="s">
        <v>612</v>
      </c>
      <c r="B38" s="126" t="s">
        <v>613</v>
      </c>
    </row>
    <row r="39" spans="1:2" ht="45" x14ac:dyDescent="0.25">
      <c r="A39" s="128" t="s">
        <v>614</v>
      </c>
      <c r="B39" s="128" t="s">
        <v>615</v>
      </c>
    </row>
    <row r="40" spans="1:2" ht="15" x14ac:dyDescent="0.25">
      <c r="A40" s="128" t="s">
        <v>616</v>
      </c>
      <c r="B40" s="128" t="s">
        <v>589</v>
      </c>
    </row>
    <row r="41" spans="1:2" ht="15" x14ac:dyDescent="0.25">
      <c r="A41" s="132" t="s">
        <v>617</v>
      </c>
      <c r="B41" s="132" t="s">
        <v>589</v>
      </c>
    </row>
    <row r="42" spans="1:2" ht="15" x14ac:dyDescent="0.25">
      <c r="A42" s="128" t="s">
        <v>618</v>
      </c>
      <c r="B42" s="128" t="s">
        <v>589</v>
      </c>
    </row>
    <row r="43" spans="1:2" ht="15" x14ac:dyDescent="0.25">
      <c r="A43" s="128" t="s">
        <v>619</v>
      </c>
      <c r="B43" s="128" t="s">
        <v>620</v>
      </c>
    </row>
    <row r="44" spans="1:2" ht="15" x14ac:dyDescent="0.25">
      <c r="A44" s="128" t="s">
        <v>621</v>
      </c>
      <c r="B44" s="128" t="s">
        <v>622</v>
      </c>
    </row>
    <row r="45" spans="1:2" ht="15" x14ac:dyDescent="0.25">
      <c r="A45" s="132" t="s">
        <v>623</v>
      </c>
      <c r="B45" s="132" t="s">
        <v>589</v>
      </c>
    </row>
    <row r="46" spans="1:2" ht="15" x14ac:dyDescent="0.25">
      <c r="A46" s="128" t="s">
        <v>624</v>
      </c>
      <c r="B46" s="128" t="s">
        <v>622</v>
      </c>
    </row>
    <row r="47" spans="1:2" ht="15" x14ac:dyDescent="0.25">
      <c r="A47" s="128" t="s">
        <v>625</v>
      </c>
      <c r="B47" s="128" t="s">
        <v>589</v>
      </c>
    </row>
    <row r="48" spans="1:2" ht="30" x14ac:dyDescent="0.25">
      <c r="A48" s="128" t="s">
        <v>626</v>
      </c>
      <c r="B48" s="128" t="s">
        <v>627</v>
      </c>
    </row>
    <row r="49" spans="1:4" ht="15" x14ac:dyDescent="0.25">
      <c r="A49" s="132" t="s">
        <v>628</v>
      </c>
      <c r="B49" s="133" t="s">
        <v>629</v>
      </c>
    </row>
    <row r="50" spans="1:4" ht="75" x14ac:dyDescent="0.25">
      <c r="A50" s="126" t="s">
        <v>630</v>
      </c>
      <c r="B50" s="126" t="s">
        <v>631</v>
      </c>
    </row>
    <row r="51" spans="1:4" ht="15" x14ac:dyDescent="0.25">
      <c r="A51" s="126"/>
      <c r="B51" s="126"/>
    </row>
    <row r="52" spans="1:4" ht="15.6" x14ac:dyDescent="0.3">
      <c r="A52" s="129" t="s">
        <v>632</v>
      </c>
      <c r="B52" s="126"/>
    </row>
    <row r="53" spans="1:4" ht="15" x14ac:dyDescent="0.25">
      <c r="A53" s="132" t="s">
        <v>633</v>
      </c>
      <c r="B53" s="133" t="s">
        <v>634</v>
      </c>
      <c r="D53" s="143"/>
    </row>
    <row r="54" spans="1:4" ht="15" x14ac:dyDescent="0.25">
      <c r="A54" s="126" t="s">
        <v>635</v>
      </c>
      <c r="B54" s="126" t="s">
        <v>636</v>
      </c>
    </row>
    <row r="55" spans="1:4" ht="15" x14ac:dyDescent="0.25">
      <c r="A55" s="132" t="s">
        <v>637</v>
      </c>
      <c r="B55" s="133" t="s">
        <v>638</v>
      </c>
    </row>
    <row r="56" spans="1:4" ht="15.6" x14ac:dyDescent="0.3">
      <c r="A56" s="134"/>
      <c r="B56" s="134"/>
    </row>
    <row r="57" spans="1:4" ht="15.6" x14ac:dyDescent="0.3">
      <c r="A57" s="134"/>
      <c r="B57" s="134"/>
    </row>
    <row r="58" spans="1:4" ht="15.6" x14ac:dyDescent="0.3">
      <c r="A58" s="134"/>
      <c r="B58" s="134"/>
    </row>
    <row r="59" spans="1:4" x14ac:dyDescent="0.25">
      <c r="A59" s="135"/>
      <c r="B59" s="135"/>
    </row>
    <row r="60" spans="1:4" x14ac:dyDescent="0.25">
      <c r="A60" s="135"/>
      <c r="B60" s="135"/>
    </row>
    <row r="61" spans="1:4" x14ac:dyDescent="0.25">
      <c r="A61" s="135"/>
      <c r="B61" s="135"/>
    </row>
    <row r="62" spans="1:4" x14ac:dyDescent="0.25">
      <c r="A62" s="135"/>
      <c r="B62" s="135"/>
    </row>
    <row r="63" spans="1:4" x14ac:dyDescent="0.25">
      <c r="A63" s="135"/>
      <c r="B63" s="135"/>
    </row>
    <row r="64" spans="1:4" x14ac:dyDescent="0.25">
      <c r="A64" s="135"/>
      <c r="B64" s="135"/>
    </row>
    <row r="65" spans="1:2" x14ac:dyDescent="0.25">
      <c r="A65" s="135"/>
      <c r="B65" s="135"/>
    </row>
    <row r="66" spans="1:2" x14ac:dyDescent="0.25">
      <c r="A66" s="12"/>
      <c r="B66" s="12"/>
    </row>
    <row r="67" spans="1:2" x14ac:dyDescent="0.25">
      <c r="A67" s="12"/>
      <c r="B67" s="12"/>
    </row>
    <row r="68" spans="1:2" x14ac:dyDescent="0.25">
      <c r="A68" s="12"/>
      <c r="B68" s="12"/>
    </row>
    <row r="69" spans="1:2" x14ac:dyDescent="0.25">
      <c r="A69" s="12"/>
      <c r="B69" s="12"/>
    </row>
    <row r="70" spans="1:2" x14ac:dyDescent="0.25">
      <c r="A70" s="12"/>
      <c r="B70" s="12"/>
    </row>
    <row r="71" spans="1:2" x14ac:dyDescent="0.25">
      <c r="A71" s="12"/>
      <c r="B71" s="12"/>
    </row>
    <row r="72" spans="1:2" x14ac:dyDescent="0.25">
      <c r="A72" s="12"/>
      <c r="B72" s="12"/>
    </row>
    <row r="73" spans="1:2" x14ac:dyDescent="0.25">
      <c r="A73" s="12"/>
      <c r="B73" s="12"/>
    </row>
    <row r="74" spans="1:2" x14ac:dyDescent="0.25">
      <c r="A74" s="12"/>
      <c r="B74" s="12"/>
    </row>
    <row r="75" spans="1:2" x14ac:dyDescent="0.25">
      <c r="A75" s="12"/>
      <c r="B75" s="12"/>
    </row>
    <row r="76" spans="1:2" x14ac:dyDescent="0.25">
      <c r="A76" s="12"/>
      <c r="B76" s="12"/>
    </row>
    <row r="77" spans="1:2" x14ac:dyDescent="0.25">
      <c r="A77" s="12"/>
      <c r="B77" s="12"/>
    </row>
    <row r="78" spans="1:2" x14ac:dyDescent="0.25">
      <c r="A78" s="12"/>
      <c r="B78" s="12"/>
    </row>
    <row r="79" spans="1:2" x14ac:dyDescent="0.25">
      <c r="A79" s="12"/>
      <c r="B79" s="12"/>
    </row>
    <row r="80" spans="1:2" x14ac:dyDescent="0.25">
      <c r="A80" s="12"/>
      <c r="B80" s="12"/>
    </row>
    <row r="81" spans="1:2" x14ac:dyDescent="0.25">
      <c r="A81" s="12"/>
      <c r="B81" s="12"/>
    </row>
    <row r="82" spans="1:2" x14ac:dyDescent="0.25">
      <c r="A82" s="12"/>
      <c r="B82" s="12"/>
    </row>
    <row r="83" spans="1:2" x14ac:dyDescent="0.25">
      <c r="A83" s="12"/>
      <c r="B83" s="12"/>
    </row>
    <row r="84" spans="1:2" x14ac:dyDescent="0.25">
      <c r="A84" s="12"/>
      <c r="B84" s="12"/>
    </row>
    <row r="85" spans="1:2" x14ac:dyDescent="0.25">
      <c r="A85" s="12"/>
      <c r="B85" s="12"/>
    </row>
    <row r="86" spans="1:2" x14ac:dyDescent="0.25">
      <c r="A86" s="12"/>
      <c r="B86" s="12"/>
    </row>
    <row r="87" spans="1:2" x14ac:dyDescent="0.25">
      <c r="A87" s="12"/>
      <c r="B87" s="12"/>
    </row>
    <row r="88" spans="1:2" x14ac:dyDescent="0.25">
      <c r="A88" s="12"/>
      <c r="B88" s="12"/>
    </row>
    <row r="89" spans="1:2" x14ac:dyDescent="0.25">
      <c r="A89" s="12"/>
      <c r="B89" s="12"/>
    </row>
    <row r="90" spans="1:2" x14ac:dyDescent="0.25">
      <c r="A90" s="12"/>
      <c r="B90" s="12"/>
    </row>
    <row r="91" spans="1:2" x14ac:dyDescent="0.25">
      <c r="A91" s="12"/>
      <c r="B91" s="12"/>
    </row>
    <row r="92" spans="1:2" x14ac:dyDescent="0.25">
      <c r="A92" s="12"/>
      <c r="B92" s="12"/>
    </row>
    <row r="93" spans="1:2" x14ac:dyDescent="0.25">
      <c r="A93" s="12"/>
      <c r="B93" s="12"/>
    </row>
    <row r="94" spans="1:2" x14ac:dyDescent="0.25">
      <c r="A94" s="12"/>
      <c r="B94" s="12"/>
    </row>
    <row r="95" spans="1:2" x14ac:dyDescent="0.25">
      <c r="A95" s="12"/>
      <c r="B95" s="12"/>
    </row>
    <row r="96" spans="1:2" x14ac:dyDescent="0.25">
      <c r="A96" s="12"/>
      <c r="B96" s="12"/>
    </row>
    <row r="97" spans="1:2" x14ac:dyDescent="0.25">
      <c r="A97" s="12"/>
      <c r="B97" s="12"/>
    </row>
    <row r="98" spans="1:2" x14ac:dyDescent="0.25">
      <c r="A98" s="12"/>
      <c r="B98" s="12"/>
    </row>
    <row r="99" spans="1:2" x14ac:dyDescent="0.25">
      <c r="A99" s="12"/>
      <c r="B99" s="12"/>
    </row>
    <row r="100" spans="1:2" x14ac:dyDescent="0.25">
      <c r="A100" s="12"/>
      <c r="B100" s="12"/>
    </row>
    <row r="101" spans="1:2" x14ac:dyDescent="0.25">
      <c r="A101" s="12"/>
      <c r="B101" s="12"/>
    </row>
    <row r="102" spans="1:2" x14ac:dyDescent="0.25">
      <c r="A102" s="12"/>
      <c r="B102" s="12"/>
    </row>
    <row r="103" spans="1:2" x14ac:dyDescent="0.25">
      <c r="A103" s="12"/>
      <c r="B103" s="12"/>
    </row>
    <row r="104" spans="1:2" x14ac:dyDescent="0.25">
      <c r="A104" s="12"/>
      <c r="B104" s="12"/>
    </row>
    <row r="105" spans="1:2" x14ac:dyDescent="0.25">
      <c r="A105" s="12"/>
      <c r="B105" s="12"/>
    </row>
    <row r="106" spans="1:2" x14ac:dyDescent="0.25">
      <c r="A106" s="12"/>
      <c r="B106" s="12"/>
    </row>
    <row r="107" spans="1:2" x14ac:dyDescent="0.25">
      <c r="A107" s="12"/>
      <c r="B107" s="12"/>
    </row>
    <row r="108" spans="1:2" x14ac:dyDescent="0.25">
      <c r="A108" s="12"/>
      <c r="B108" s="12"/>
    </row>
    <row r="109" spans="1:2" x14ac:dyDescent="0.25">
      <c r="A109" s="12"/>
      <c r="B109" s="12"/>
    </row>
    <row r="110" spans="1:2" x14ac:dyDescent="0.25">
      <c r="A110" s="12"/>
      <c r="B110" s="12"/>
    </row>
    <row r="111" spans="1:2" x14ac:dyDescent="0.25">
      <c r="A111" s="12"/>
      <c r="B111" s="12"/>
    </row>
    <row r="112" spans="1:2" x14ac:dyDescent="0.25">
      <c r="A112" s="12"/>
      <c r="B112" s="12"/>
    </row>
    <row r="113" spans="1:2" x14ac:dyDescent="0.25">
      <c r="A113" s="12"/>
      <c r="B113" s="12"/>
    </row>
    <row r="114" spans="1:2" x14ac:dyDescent="0.25">
      <c r="A114" s="12"/>
      <c r="B114" s="12"/>
    </row>
    <row r="115" spans="1:2" x14ac:dyDescent="0.25">
      <c r="A115" s="12"/>
      <c r="B115" s="12"/>
    </row>
    <row r="116" spans="1:2" x14ac:dyDescent="0.25">
      <c r="A116" s="12"/>
      <c r="B116" s="12"/>
    </row>
    <row r="117" spans="1:2" x14ac:dyDescent="0.25">
      <c r="A117" s="12"/>
      <c r="B117" s="12"/>
    </row>
    <row r="118" spans="1:2" x14ac:dyDescent="0.25">
      <c r="A118" s="12"/>
      <c r="B118" s="12"/>
    </row>
    <row r="119" spans="1:2" x14ac:dyDescent="0.25">
      <c r="A119" s="12"/>
      <c r="B119" s="12"/>
    </row>
    <row r="120" spans="1:2" x14ac:dyDescent="0.25">
      <c r="A120" s="12"/>
      <c r="B120" s="12"/>
    </row>
    <row r="121" spans="1:2" x14ac:dyDescent="0.25">
      <c r="A121" s="12"/>
      <c r="B121" s="12"/>
    </row>
    <row r="122" spans="1:2" x14ac:dyDescent="0.25">
      <c r="A122" s="12"/>
      <c r="B122" s="12"/>
    </row>
    <row r="123" spans="1:2" x14ac:dyDescent="0.25">
      <c r="A123" s="12"/>
      <c r="B123" s="12"/>
    </row>
    <row r="124" spans="1:2" x14ac:dyDescent="0.25">
      <c r="A124" s="12"/>
      <c r="B124" s="12"/>
    </row>
    <row r="125" spans="1:2" x14ac:dyDescent="0.25">
      <c r="A125" s="12"/>
      <c r="B125" s="12"/>
    </row>
    <row r="126" spans="1:2" x14ac:dyDescent="0.25">
      <c r="A126" s="12"/>
      <c r="B126" s="12"/>
    </row>
    <row r="127" spans="1:2" x14ac:dyDescent="0.25">
      <c r="A127" s="12"/>
      <c r="B127" s="12"/>
    </row>
    <row r="128" spans="1:2" x14ac:dyDescent="0.25">
      <c r="A128" s="12"/>
      <c r="B128" s="12"/>
    </row>
    <row r="129" spans="1:2" x14ac:dyDescent="0.25">
      <c r="A129" s="12"/>
      <c r="B129" s="12"/>
    </row>
    <row r="130" spans="1:2" x14ac:dyDescent="0.25">
      <c r="A130" s="12"/>
      <c r="B130" s="12"/>
    </row>
    <row r="131" spans="1:2" x14ac:dyDescent="0.25">
      <c r="A131" s="12"/>
      <c r="B131" s="12"/>
    </row>
    <row r="132" spans="1:2" x14ac:dyDescent="0.25">
      <c r="A132" s="12"/>
      <c r="B132" s="12"/>
    </row>
    <row r="133" spans="1:2" x14ac:dyDescent="0.25">
      <c r="A133" s="12"/>
      <c r="B133" s="12"/>
    </row>
    <row r="134" spans="1:2" x14ac:dyDescent="0.25">
      <c r="A134" s="12"/>
      <c r="B134" s="12"/>
    </row>
    <row r="135" spans="1:2" x14ac:dyDescent="0.25">
      <c r="A135" s="12"/>
      <c r="B135" s="12"/>
    </row>
    <row r="136" spans="1:2" x14ac:dyDescent="0.25">
      <c r="A136" s="12"/>
      <c r="B136" s="12"/>
    </row>
    <row r="137" spans="1:2" x14ac:dyDescent="0.25">
      <c r="A137" s="12"/>
      <c r="B137" s="12"/>
    </row>
    <row r="138" spans="1:2" x14ac:dyDescent="0.25">
      <c r="A138" s="12"/>
      <c r="B138" s="12"/>
    </row>
    <row r="139" spans="1:2" x14ac:dyDescent="0.25">
      <c r="A139" s="12"/>
      <c r="B139" s="12"/>
    </row>
    <row r="140" spans="1:2" x14ac:dyDescent="0.25">
      <c r="A140" s="12"/>
      <c r="B140" s="12"/>
    </row>
    <row r="141" spans="1:2" x14ac:dyDescent="0.25">
      <c r="A141" s="12"/>
      <c r="B141" s="12"/>
    </row>
    <row r="142" spans="1:2" x14ac:dyDescent="0.25">
      <c r="A142" s="12"/>
      <c r="B142" s="12"/>
    </row>
    <row r="143" spans="1:2" x14ac:dyDescent="0.25">
      <c r="A143" s="12"/>
      <c r="B143" s="12"/>
    </row>
    <row r="144" spans="1:2" x14ac:dyDescent="0.25">
      <c r="A144" s="12"/>
      <c r="B144" s="12"/>
    </row>
    <row r="145" spans="1:2" x14ac:dyDescent="0.25">
      <c r="A145" s="12"/>
      <c r="B145" s="12"/>
    </row>
    <row r="146" spans="1:2" x14ac:dyDescent="0.25">
      <c r="A146" s="12"/>
      <c r="B146" s="12"/>
    </row>
    <row r="147" spans="1:2" x14ac:dyDescent="0.25">
      <c r="A147" s="12"/>
      <c r="B147" s="12"/>
    </row>
    <row r="148" spans="1:2" x14ac:dyDescent="0.25">
      <c r="A148" s="12"/>
      <c r="B148" s="12"/>
    </row>
    <row r="149" spans="1:2" x14ac:dyDescent="0.25">
      <c r="A149" s="12"/>
      <c r="B149" s="12"/>
    </row>
    <row r="150" spans="1:2" x14ac:dyDescent="0.25">
      <c r="A150" s="12"/>
      <c r="B150" s="12"/>
    </row>
    <row r="151" spans="1:2" x14ac:dyDescent="0.25">
      <c r="A151" s="12"/>
      <c r="B151" s="12"/>
    </row>
    <row r="152" spans="1:2" x14ac:dyDescent="0.25">
      <c r="A152" s="12"/>
      <c r="B152" s="12"/>
    </row>
    <row r="153" spans="1:2" x14ac:dyDescent="0.25">
      <c r="A153" s="12"/>
      <c r="B153" s="12"/>
    </row>
    <row r="154" spans="1:2" x14ac:dyDescent="0.25">
      <c r="A154" s="12"/>
      <c r="B154" s="12"/>
    </row>
    <row r="155" spans="1:2" x14ac:dyDescent="0.25">
      <c r="A155" s="12"/>
      <c r="B155" s="12"/>
    </row>
    <row r="156" spans="1:2" x14ac:dyDescent="0.25">
      <c r="A156" s="12"/>
      <c r="B156" s="12"/>
    </row>
    <row r="157" spans="1:2" x14ac:dyDescent="0.25">
      <c r="A157" s="12"/>
      <c r="B157" s="12"/>
    </row>
    <row r="158" spans="1:2" x14ac:dyDescent="0.25">
      <c r="A158" s="12"/>
      <c r="B158" s="12"/>
    </row>
    <row r="159" spans="1:2" x14ac:dyDescent="0.25">
      <c r="A159" s="12"/>
      <c r="B159" s="12"/>
    </row>
    <row r="160" spans="1:2" x14ac:dyDescent="0.25">
      <c r="A160" s="12"/>
      <c r="B160" s="12"/>
    </row>
    <row r="161" spans="1:2" x14ac:dyDescent="0.25">
      <c r="A161" s="12"/>
      <c r="B161" s="12"/>
    </row>
    <row r="162" spans="1:2" x14ac:dyDescent="0.25">
      <c r="A162" s="12"/>
      <c r="B162" s="12"/>
    </row>
    <row r="163" spans="1:2" x14ac:dyDescent="0.25">
      <c r="A163" s="12"/>
      <c r="B163" s="12"/>
    </row>
    <row r="164" spans="1:2" x14ac:dyDescent="0.25">
      <c r="A164" s="12"/>
      <c r="B164" s="12"/>
    </row>
    <row r="165" spans="1:2" x14ac:dyDescent="0.25">
      <c r="A165" s="12"/>
      <c r="B165" s="12"/>
    </row>
    <row r="166" spans="1:2" x14ac:dyDescent="0.25">
      <c r="A166" s="12"/>
      <c r="B166" s="12"/>
    </row>
    <row r="167" spans="1:2" x14ac:dyDescent="0.25">
      <c r="A167" s="12"/>
      <c r="B167" s="12"/>
    </row>
    <row r="168" spans="1:2" x14ac:dyDescent="0.25">
      <c r="A168" s="12"/>
      <c r="B168" s="12"/>
    </row>
    <row r="169" spans="1:2" x14ac:dyDescent="0.25">
      <c r="A169" s="12"/>
      <c r="B169" s="12"/>
    </row>
    <row r="170" spans="1:2" x14ac:dyDescent="0.25">
      <c r="A170" s="12"/>
      <c r="B170" s="12"/>
    </row>
    <row r="171" spans="1:2" x14ac:dyDescent="0.25">
      <c r="A171" s="12"/>
      <c r="B171" s="12"/>
    </row>
    <row r="172" spans="1:2" x14ac:dyDescent="0.25">
      <c r="A172" s="12"/>
      <c r="B172" s="12"/>
    </row>
    <row r="173" spans="1:2" x14ac:dyDescent="0.25">
      <c r="A173" s="12"/>
      <c r="B173" s="12"/>
    </row>
    <row r="174" spans="1:2" x14ac:dyDescent="0.25">
      <c r="A174" s="12"/>
      <c r="B174" s="12"/>
    </row>
    <row r="175" spans="1:2" x14ac:dyDescent="0.25">
      <c r="A175" s="12"/>
      <c r="B175" s="12"/>
    </row>
    <row r="176" spans="1:2" x14ac:dyDescent="0.25">
      <c r="A176" s="12"/>
      <c r="B176" s="12"/>
    </row>
    <row r="177" spans="1:2" x14ac:dyDescent="0.25">
      <c r="A177" s="12"/>
      <c r="B177" s="12"/>
    </row>
    <row r="178" spans="1:2" x14ac:dyDescent="0.25">
      <c r="A178" s="12"/>
      <c r="B178" s="12"/>
    </row>
    <row r="179" spans="1:2" x14ac:dyDescent="0.25">
      <c r="A179" s="12"/>
      <c r="B179" s="12"/>
    </row>
    <row r="180" spans="1:2" x14ac:dyDescent="0.25">
      <c r="A180" s="12"/>
      <c r="B180" s="12"/>
    </row>
    <row r="181" spans="1:2" x14ac:dyDescent="0.25">
      <c r="A181" s="12"/>
      <c r="B181" s="12"/>
    </row>
    <row r="182" spans="1:2" x14ac:dyDescent="0.25">
      <c r="A182" s="12"/>
      <c r="B182" s="12"/>
    </row>
    <row r="183" spans="1:2" x14ac:dyDescent="0.25">
      <c r="A183" s="12"/>
      <c r="B183" s="12"/>
    </row>
    <row r="184" spans="1:2" x14ac:dyDescent="0.25">
      <c r="A184" s="12"/>
      <c r="B184" s="12"/>
    </row>
    <row r="185" spans="1:2" x14ac:dyDescent="0.25">
      <c r="A185" s="12"/>
      <c r="B185" s="12"/>
    </row>
    <row r="186" spans="1:2" x14ac:dyDescent="0.25">
      <c r="A186" s="12"/>
      <c r="B186" s="12"/>
    </row>
    <row r="187" spans="1:2" x14ac:dyDescent="0.25">
      <c r="A187" s="12"/>
      <c r="B187" s="12"/>
    </row>
    <row r="188" spans="1:2" x14ac:dyDescent="0.25">
      <c r="A188" s="12"/>
      <c r="B188" s="12"/>
    </row>
    <row r="189" spans="1:2" x14ac:dyDescent="0.25">
      <c r="A189" s="12"/>
      <c r="B189" s="12"/>
    </row>
    <row r="190" spans="1:2" x14ac:dyDescent="0.25">
      <c r="A190" s="12"/>
      <c r="B190" s="12"/>
    </row>
    <row r="191" spans="1:2" x14ac:dyDescent="0.25">
      <c r="A191" s="12"/>
      <c r="B191" s="12"/>
    </row>
    <row r="192" spans="1:2" x14ac:dyDescent="0.25">
      <c r="A192" s="12"/>
      <c r="B192" s="12"/>
    </row>
    <row r="193" spans="1:2" x14ac:dyDescent="0.25">
      <c r="A193" s="12"/>
      <c r="B193" s="12"/>
    </row>
    <row r="194" spans="1:2" x14ac:dyDescent="0.25">
      <c r="A194" s="12"/>
      <c r="B194" s="12"/>
    </row>
    <row r="195" spans="1:2" x14ac:dyDescent="0.25">
      <c r="A195" s="12"/>
      <c r="B195" s="12"/>
    </row>
    <row r="196" spans="1:2" x14ac:dyDescent="0.25">
      <c r="A196" s="12"/>
      <c r="B196" s="12"/>
    </row>
    <row r="197" spans="1:2" x14ac:dyDescent="0.25">
      <c r="A197" s="12"/>
      <c r="B197" s="12"/>
    </row>
    <row r="198" spans="1:2" x14ac:dyDescent="0.25">
      <c r="A198" s="12"/>
      <c r="B198" s="12"/>
    </row>
    <row r="199" spans="1:2" x14ac:dyDescent="0.25">
      <c r="A199" s="12"/>
      <c r="B199" s="12"/>
    </row>
    <row r="200" spans="1:2" x14ac:dyDescent="0.25">
      <c r="A200" s="12"/>
      <c r="B200" s="12"/>
    </row>
    <row r="201" spans="1:2" x14ac:dyDescent="0.25">
      <c r="A201" s="12"/>
      <c r="B201" s="12"/>
    </row>
    <row r="202" spans="1:2" x14ac:dyDescent="0.25">
      <c r="A202" s="12"/>
      <c r="B202" s="12"/>
    </row>
    <row r="203" spans="1:2" x14ac:dyDescent="0.25">
      <c r="A203" s="12"/>
      <c r="B203" s="12"/>
    </row>
    <row r="204" spans="1:2" x14ac:dyDescent="0.25">
      <c r="A204" s="12"/>
      <c r="B204" s="12"/>
    </row>
    <row r="205" spans="1:2" x14ac:dyDescent="0.25">
      <c r="A205" s="12"/>
      <c r="B205" s="12"/>
    </row>
    <row r="206" spans="1:2" x14ac:dyDescent="0.25">
      <c r="A206" s="12"/>
      <c r="B206" s="12"/>
    </row>
    <row r="207" spans="1:2" x14ac:dyDescent="0.25">
      <c r="A207" s="12"/>
      <c r="B207" s="12"/>
    </row>
    <row r="208" spans="1:2" x14ac:dyDescent="0.25">
      <c r="A208" s="12"/>
      <c r="B208" s="12"/>
    </row>
    <row r="209" spans="1:2" x14ac:dyDescent="0.25">
      <c r="A209" s="12"/>
      <c r="B209" s="12"/>
    </row>
    <row r="210" spans="1:2" x14ac:dyDescent="0.25">
      <c r="A210" s="12"/>
      <c r="B210" s="12"/>
    </row>
    <row r="211" spans="1:2" x14ac:dyDescent="0.25">
      <c r="A211" s="12"/>
      <c r="B211" s="12"/>
    </row>
    <row r="212" spans="1:2" x14ac:dyDescent="0.25">
      <c r="A212" s="12"/>
      <c r="B212" s="12"/>
    </row>
    <row r="213" spans="1:2" x14ac:dyDescent="0.25">
      <c r="A213" s="12"/>
      <c r="B213" s="12"/>
    </row>
    <row r="214" spans="1:2" x14ac:dyDescent="0.25">
      <c r="A214" s="12"/>
      <c r="B214" s="12"/>
    </row>
    <row r="215" spans="1:2" x14ac:dyDescent="0.25">
      <c r="A215" s="12"/>
      <c r="B215" s="12"/>
    </row>
    <row r="216" spans="1:2" x14ac:dyDescent="0.25">
      <c r="A216" s="12"/>
      <c r="B216" s="12"/>
    </row>
    <row r="217" spans="1:2" x14ac:dyDescent="0.25">
      <c r="A217" s="12"/>
      <c r="B217" s="12"/>
    </row>
    <row r="218" spans="1:2" x14ac:dyDescent="0.25">
      <c r="A218" s="12"/>
      <c r="B218" s="12"/>
    </row>
    <row r="219" spans="1:2" x14ac:dyDescent="0.25">
      <c r="A219" s="12"/>
      <c r="B219" s="12"/>
    </row>
    <row r="220" spans="1:2" x14ac:dyDescent="0.25">
      <c r="A220" s="12"/>
      <c r="B220" s="12"/>
    </row>
    <row r="221" spans="1:2" x14ac:dyDescent="0.25">
      <c r="A221" s="12"/>
      <c r="B221" s="12"/>
    </row>
    <row r="222" spans="1:2" x14ac:dyDescent="0.25">
      <c r="A222" s="12"/>
      <c r="B222" s="12"/>
    </row>
    <row r="223" spans="1:2" x14ac:dyDescent="0.25">
      <c r="A223" s="12"/>
      <c r="B223" s="12"/>
    </row>
    <row r="224" spans="1:2" x14ac:dyDescent="0.25">
      <c r="A224" s="12"/>
      <c r="B224" s="12"/>
    </row>
    <row r="225" spans="1:2" x14ac:dyDescent="0.25">
      <c r="A225" s="12"/>
      <c r="B225" s="12"/>
    </row>
    <row r="226" spans="1:2" x14ac:dyDescent="0.25">
      <c r="A226" s="12"/>
      <c r="B226" s="12"/>
    </row>
    <row r="227" spans="1:2" x14ac:dyDescent="0.25">
      <c r="A227" s="12"/>
      <c r="B227" s="12"/>
    </row>
    <row r="228" spans="1:2" x14ac:dyDescent="0.25">
      <c r="A228" s="12"/>
      <c r="B228" s="12"/>
    </row>
    <row r="229" spans="1:2" x14ac:dyDescent="0.25">
      <c r="A229" s="12"/>
      <c r="B229" s="12"/>
    </row>
    <row r="230" spans="1:2" x14ac:dyDescent="0.25">
      <c r="A230" s="12"/>
      <c r="B230" s="12"/>
    </row>
    <row r="231" spans="1:2" x14ac:dyDescent="0.25">
      <c r="A231" s="12"/>
      <c r="B231" s="12"/>
    </row>
    <row r="232" spans="1:2" x14ac:dyDescent="0.25">
      <c r="A232" s="12"/>
      <c r="B232" s="12"/>
    </row>
    <row r="233" spans="1:2" x14ac:dyDescent="0.25">
      <c r="A233" s="12"/>
      <c r="B233" s="12"/>
    </row>
    <row r="234" spans="1:2" x14ac:dyDescent="0.25">
      <c r="A234" s="12"/>
      <c r="B234" s="12"/>
    </row>
    <row r="235" spans="1:2" x14ac:dyDescent="0.25">
      <c r="A235" s="12"/>
      <c r="B235" s="12"/>
    </row>
    <row r="236" spans="1:2" x14ac:dyDescent="0.25">
      <c r="A236" s="12"/>
      <c r="B236" s="12"/>
    </row>
    <row r="237" spans="1:2" x14ac:dyDescent="0.25">
      <c r="A237" s="12"/>
      <c r="B237" s="12"/>
    </row>
    <row r="238" spans="1:2" x14ac:dyDescent="0.25">
      <c r="A238" s="12"/>
      <c r="B238" s="12"/>
    </row>
    <row r="239" spans="1:2" x14ac:dyDescent="0.25">
      <c r="A239" s="12"/>
      <c r="B239" s="12"/>
    </row>
    <row r="240" spans="1:2" x14ac:dyDescent="0.25">
      <c r="A240" s="12"/>
      <c r="B240" s="12"/>
    </row>
    <row r="241" spans="1:2" x14ac:dyDescent="0.25">
      <c r="A241" s="12"/>
      <c r="B241" s="12"/>
    </row>
    <row r="242" spans="1:2" x14ac:dyDescent="0.25">
      <c r="A242" s="12"/>
      <c r="B242" s="12"/>
    </row>
    <row r="243" spans="1:2" x14ac:dyDescent="0.25">
      <c r="A243" s="12"/>
      <c r="B243" s="12"/>
    </row>
    <row r="244" spans="1:2" x14ac:dyDescent="0.25">
      <c r="A244" s="12"/>
      <c r="B244" s="12"/>
    </row>
    <row r="245" spans="1:2" x14ac:dyDescent="0.25">
      <c r="A245" s="12"/>
      <c r="B245" s="12"/>
    </row>
    <row r="246" spans="1:2" x14ac:dyDescent="0.25">
      <c r="A246" s="12"/>
      <c r="B246" s="12"/>
    </row>
    <row r="247" spans="1:2" x14ac:dyDescent="0.25">
      <c r="A247" s="12"/>
      <c r="B247" s="12"/>
    </row>
    <row r="248" spans="1:2" x14ac:dyDescent="0.25">
      <c r="A248" s="12"/>
      <c r="B248" s="12"/>
    </row>
    <row r="249" spans="1:2" x14ac:dyDescent="0.25">
      <c r="A249" s="12"/>
      <c r="B249" s="12"/>
    </row>
    <row r="250" spans="1:2" x14ac:dyDescent="0.25">
      <c r="A250" s="12"/>
      <c r="B250" s="12"/>
    </row>
    <row r="251" spans="1:2" x14ac:dyDescent="0.25">
      <c r="A251" s="12"/>
      <c r="B251" s="12"/>
    </row>
    <row r="252" spans="1:2" x14ac:dyDescent="0.25">
      <c r="A252" s="12"/>
      <c r="B252" s="12"/>
    </row>
    <row r="253" spans="1:2" x14ac:dyDescent="0.25">
      <c r="A253" s="12"/>
      <c r="B253" s="12"/>
    </row>
    <row r="254" spans="1:2" x14ac:dyDescent="0.25">
      <c r="A254" s="12"/>
      <c r="B254" s="12"/>
    </row>
    <row r="255" spans="1:2" x14ac:dyDescent="0.25">
      <c r="A255" s="12"/>
      <c r="B255" s="12"/>
    </row>
    <row r="256" spans="1:2" x14ac:dyDescent="0.25">
      <c r="A256" s="12"/>
      <c r="B256" s="12"/>
    </row>
    <row r="257" spans="1:2" x14ac:dyDescent="0.25">
      <c r="A257" s="12"/>
      <c r="B257" s="12"/>
    </row>
    <row r="258" spans="1:2" x14ac:dyDescent="0.25">
      <c r="A258" s="12"/>
      <c r="B258" s="12"/>
    </row>
    <row r="259" spans="1:2" x14ac:dyDescent="0.25">
      <c r="A259" s="12"/>
      <c r="B259" s="12"/>
    </row>
    <row r="260" spans="1:2" x14ac:dyDescent="0.25">
      <c r="A260" s="12"/>
      <c r="B260" s="12"/>
    </row>
    <row r="261" spans="1:2" x14ac:dyDescent="0.25">
      <c r="A261" s="12"/>
      <c r="B261" s="12"/>
    </row>
    <row r="262" spans="1:2" x14ac:dyDescent="0.25">
      <c r="A262" s="12"/>
      <c r="B262" s="12"/>
    </row>
    <row r="263" spans="1:2" x14ac:dyDescent="0.25">
      <c r="A263" s="12"/>
      <c r="B263" s="12"/>
    </row>
    <row r="264" spans="1:2" x14ac:dyDescent="0.25">
      <c r="A264" s="12"/>
      <c r="B264" s="12"/>
    </row>
    <row r="265" spans="1:2" x14ac:dyDescent="0.25">
      <c r="A265" s="12"/>
      <c r="B265" s="12"/>
    </row>
    <row r="266" spans="1:2" x14ac:dyDescent="0.25">
      <c r="A266" s="12"/>
      <c r="B266" s="12"/>
    </row>
    <row r="267" spans="1:2" x14ac:dyDescent="0.25">
      <c r="A267" s="12"/>
      <c r="B267" s="12"/>
    </row>
    <row r="268" spans="1:2" x14ac:dyDescent="0.25">
      <c r="A268" s="12"/>
      <c r="B268" s="12"/>
    </row>
    <row r="269" spans="1:2" x14ac:dyDescent="0.25">
      <c r="A269" s="12"/>
      <c r="B269" s="12"/>
    </row>
    <row r="270" spans="1:2" x14ac:dyDescent="0.25">
      <c r="A270" s="12"/>
      <c r="B270" s="12"/>
    </row>
    <row r="271" spans="1:2" x14ac:dyDescent="0.25">
      <c r="A271" s="12"/>
      <c r="B271" s="12"/>
    </row>
    <row r="272" spans="1:2" x14ac:dyDescent="0.25">
      <c r="A272" s="12"/>
      <c r="B272" s="12"/>
    </row>
    <row r="273" spans="1:2" x14ac:dyDescent="0.25">
      <c r="A273" s="12"/>
      <c r="B273" s="12"/>
    </row>
    <row r="274" spans="1:2" x14ac:dyDescent="0.25">
      <c r="A274" s="12"/>
      <c r="B274" s="12"/>
    </row>
    <row r="275" spans="1:2" x14ac:dyDescent="0.25">
      <c r="A275" s="12"/>
      <c r="B275" s="12"/>
    </row>
    <row r="276" spans="1:2" x14ac:dyDescent="0.25">
      <c r="A276" s="12"/>
      <c r="B276" s="12"/>
    </row>
    <row r="277" spans="1:2" x14ac:dyDescent="0.25">
      <c r="A277" s="12"/>
      <c r="B277" s="12"/>
    </row>
    <row r="278" spans="1:2" x14ac:dyDescent="0.25">
      <c r="A278" s="12"/>
      <c r="B278" s="12"/>
    </row>
    <row r="279" spans="1:2" x14ac:dyDescent="0.25">
      <c r="A279" s="12"/>
      <c r="B279" s="12"/>
    </row>
    <row r="280" spans="1:2" x14ac:dyDescent="0.25">
      <c r="A280" s="12"/>
      <c r="B280" s="12"/>
    </row>
    <row r="281" spans="1:2" x14ac:dyDescent="0.25">
      <c r="A281" s="12"/>
      <c r="B281" s="12"/>
    </row>
    <row r="282" spans="1:2" x14ac:dyDescent="0.25">
      <c r="A282" s="12"/>
      <c r="B282" s="12"/>
    </row>
    <row r="283" spans="1:2" x14ac:dyDescent="0.25">
      <c r="A283" s="12"/>
      <c r="B283" s="12"/>
    </row>
    <row r="284" spans="1:2" x14ac:dyDescent="0.25">
      <c r="A284" s="12"/>
      <c r="B284" s="12"/>
    </row>
    <row r="285" spans="1:2" x14ac:dyDescent="0.25">
      <c r="A285" s="12"/>
      <c r="B285" s="12"/>
    </row>
    <row r="286" spans="1:2" x14ac:dyDescent="0.25">
      <c r="A286" s="12"/>
      <c r="B286" s="12"/>
    </row>
    <row r="287" spans="1:2" x14ac:dyDescent="0.25">
      <c r="A287" s="12"/>
      <c r="B287" s="12"/>
    </row>
    <row r="288" spans="1:2" x14ac:dyDescent="0.25">
      <c r="A288" s="12"/>
      <c r="B288" s="12"/>
    </row>
    <row r="289" spans="1:2" x14ac:dyDescent="0.25">
      <c r="A289" s="12"/>
      <c r="B289" s="12"/>
    </row>
    <row r="290" spans="1:2" x14ac:dyDescent="0.25">
      <c r="A290" s="12"/>
      <c r="B290" s="12"/>
    </row>
    <row r="291" spans="1:2" x14ac:dyDescent="0.25">
      <c r="A291" s="12"/>
      <c r="B291" s="12"/>
    </row>
    <row r="292" spans="1:2" x14ac:dyDescent="0.25">
      <c r="A292" s="12"/>
      <c r="B292" s="12"/>
    </row>
    <row r="293" spans="1:2" x14ac:dyDescent="0.25">
      <c r="A293" s="12"/>
      <c r="B293" s="12"/>
    </row>
    <row r="294" spans="1:2" x14ac:dyDescent="0.25">
      <c r="A294" s="12"/>
      <c r="B294" s="12"/>
    </row>
    <row r="295" spans="1:2" x14ac:dyDescent="0.25">
      <c r="A295" s="12"/>
      <c r="B295" s="12"/>
    </row>
    <row r="296" spans="1:2" x14ac:dyDescent="0.25">
      <c r="A296" s="12"/>
      <c r="B296" s="12"/>
    </row>
    <row r="297" spans="1:2" x14ac:dyDescent="0.25">
      <c r="A297" s="12"/>
      <c r="B297" s="12"/>
    </row>
    <row r="298" spans="1:2" x14ac:dyDescent="0.25">
      <c r="A298" s="12"/>
      <c r="B298" s="12"/>
    </row>
    <row r="299" spans="1:2" x14ac:dyDescent="0.25">
      <c r="A299" s="12"/>
      <c r="B299" s="12"/>
    </row>
    <row r="300" spans="1:2" x14ac:dyDescent="0.25">
      <c r="A300" s="12"/>
      <c r="B300" s="12"/>
    </row>
    <row r="301" spans="1:2" x14ac:dyDescent="0.25">
      <c r="A301" s="12"/>
      <c r="B301" s="12"/>
    </row>
    <row r="302" spans="1:2" x14ac:dyDescent="0.25">
      <c r="A302" s="12"/>
      <c r="B302" s="12"/>
    </row>
    <row r="303" spans="1:2" x14ac:dyDescent="0.25">
      <c r="A303" s="12"/>
      <c r="B303" s="12"/>
    </row>
    <row r="304" spans="1:2" x14ac:dyDescent="0.25">
      <c r="A304" s="12"/>
      <c r="B304" s="12"/>
    </row>
    <row r="305" spans="1:2" x14ac:dyDescent="0.25">
      <c r="A305" s="12"/>
      <c r="B305" s="12"/>
    </row>
    <row r="306" spans="1:2" x14ac:dyDescent="0.25">
      <c r="A306" s="12"/>
      <c r="B306" s="12"/>
    </row>
    <row r="307" spans="1:2" x14ac:dyDescent="0.25">
      <c r="A307" s="12"/>
      <c r="B307" s="12"/>
    </row>
    <row r="308" spans="1:2" x14ac:dyDescent="0.25">
      <c r="A308" s="12"/>
      <c r="B308" s="12"/>
    </row>
    <row r="309" spans="1:2" x14ac:dyDescent="0.25">
      <c r="A309" s="12"/>
      <c r="B309" s="12"/>
    </row>
    <row r="310" spans="1:2" x14ac:dyDescent="0.25">
      <c r="A310" s="12"/>
      <c r="B310" s="12"/>
    </row>
    <row r="311" spans="1:2" x14ac:dyDescent="0.25">
      <c r="A311" s="12"/>
      <c r="B311" s="12"/>
    </row>
    <row r="312" spans="1:2" x14ac:dyDescent="0.25">
      <c r="A312" s="12"/>
      <c r="B312" s="12"/>
    </row>
    <row r="313" spans="1:2" x14ac:dyDescent="0.25">
      <c r="A313" s="12"/>
      <c r="B313" s="12"/>
    </row>
    <row r="314" spans="1:2" x14ac:dyDescent="0.25">
      <c r="A314" s="12"/>
      <c r="B314" s="12"/>
    </row>
    <row r="315" spans="1:2" x14ac:dyDescent="0.25">
      <c r="A315" s="12"/>
      <c r="B315" s="12"/>
    </row>
    <row r="316" spans="1:2" x14ac:dyDescent="0.25">
      <c r="A316" s="12"/>
      <c r="B316" s="12"/>
    </row>
    <row r="317" spans="1:2" x14ac:dyDescent="0.25">
      <c r="A317" s="12"/>
      <c r="B317" s="12"/>
    </row>
    <row r="318" spans="1:2" x14ac:dyDescent="0.25">
      <c r="A318" s="12"/>
      <c r="B318" s="12"/>
    </row>
    <row r="319" spans="1:2" x14ac:dyDescent="0.25">
      <c r="A319" s="12"/>
      <c r="B319" s="12"/>
    </row>
    <row r="320" spans="1:2" x14ac:dyDescent="0.25">
      <c r="A320" s="12"/>
      <c r="B320" s="12"/>
    </row>
    <row r="321" spans="1:2" x14ac:dyDescent="0.25">
      <c r="A321" s="12"/>
      <c r="B321" s="12"/>
    </row>
    <row r="322" spans="1:2" x14ac:dyDescent="0.25">
      <c r="A322" s="12"/>
      <c r="B322" s="12"/>
    </row>
    <row r="323" spans="1:2" x14ac:dyDescent="0.25">
      <c r="A323" s="12"/>
      <c r="B323" s="12"/>
    </row>
    <row r="324" spans="1:2" x14ac:dyDescent="0.25">
      <c r="A324" s="12"/>
      <c r="B324" s="12"/>
    </row>
    <row r="325" spans="1:2" x14ac:dyDescent="0.25">
      <c r="A325" s="12"/>
      <c r="B325" s="12"/>
    </row>
    <row r="326" spans="1:2" x14ac:dyDescent="0.25">
      <c r="A326" s="12"/>
      <c r="B326" s="12"/>
    </row>
    <row r="327" spans="1:2" x14ac:dyDescent="0.25">
      <c r="A327" s="12"/>
      <c r="B327" s="12"/>
    </row>
    <row r="328" spans="1:2" x14ac:dyDescent="0.25">
      <c r="A328" s="12"/>
      <c r="B328" s="12"/>
    </row>
    <row r="329" spans="1:2" x14ac:dyDescent="0.25">
      <c r="A329" s="12"/>
      <c r="B329" s="12"/>
    </row>
    <row r="330" spans="1:2" x14ac:dyDescent="0.25">
      <c r="A330" s="12"/>
      <c r="B330" s="12"/>
    </row>
    <row r="331" spans="1:2" x14ac:dyDescent="0.25">
      <c r="A331" s="12"/>
      <c r="B331" s="12"/>
    </row>
    <row r="332" spans="1:2" x14ac:dyDescent="0.25">
      <c r="A332" s="12"/>
      <c r="B332" s="12"/>
    </row>
    <row r="333" spans="1:2" x14ac:dyDescent="0.25">
      <c r="A333" s="12"/>
      <c r="B333" s="12"/>
    </row>
    <row r="334" spans="1:2" x14ac:dyDescent="0.25">
      <c r="A334" s="12"/>
      <c r="B334" s="12"/>
    </row>
    <row r="335" spans="1:2" x14ac:dyDescent="0.25">
      <c r="A335" s="12"/>
      <c r="B335" s="12"/>
    </row>
    <row r="336" spans="1:2" x14ac:dyDescent="0.25">
      <c r="A336" s="12"/>
      <c r="B336" s="12"/>
    </row>
    <row r="337" spans="1:2" x14ac:dyDescent="0.25">
      <c r="A337" s="12"/>
      <c r="B337" s="12"/>
    </row>
    <row r="338" spans="1:2" x14ac:dyDescent="0.25">
      <c r="A338" s="12"/>
      <c r="B338" s="12"/>
    </row>
    <row r="339" spans="1:2" x14ac:dyDescent="0.25">
      <c r="A339" s="12"/>
      <c r="B339" s="12"/>
    </row>
    <row r="340" spans="1:2" x14ac:dyDescent="0.25">
      <c r="A340" s="12"/>
      <c r="B340" s="12"/>
    </row>
    <row r="341" spans="1:2" x14ac:dyDescent="0.25">
      <c r="A341" s="12"/>
      <c r="B341" s="12"/>
    </row>
    <row r="342" spans="1:2" x14ac:dyDescent="0.25">
      <c r="A342" s="12"/>
      <c r="B342" s="12"/>
    </row>
    <row r="343" spans="1:2" x14ac:dyDescent="0.25">
      <c r="A343" s="12"/>
      <c r="B343" s="12"/>
    </row>
    <row r="344" spans="1:2" x14ac:dyDescent="0.25">
      <c r="A344" s="12"/>
      <c r="B344" s="12"/>
    </row>
    <row r="345" spans="1:2" x14ac:dyDescent="0.25">
      <c r="A345" s="12"/>
      <c r="B345" s="12"/>
    </row>
    <row r="346" spans="1:2" x14ac:dyDescent="0.25">
      <c r="A346" s="12"/>
      <c r="B346" s="12"/>
    </row>
    <row r="347" spans="1:2" x14ac:dyDescent="0.25">
      <c r="A347" s="12"/>
      <c r="B347" s="12"/>
    </row>
    <row r="348" spans="1:2" x14ac:dyDescent="0.25">
      <c r="A348" s="12"/>
      <c r="B348" s="12"/>
    </row>
    <row r="349" spans="1:2" x14ac:dyDescent="0.25">
      <c r="A349" s="12"/>
      <c r="B349" s="12"/>
    </row>
    <row r="350" spans="1:2" x14ac:dyDescent="0.25">
      <c r="A350" s="12"/>
      <c r="B350" s="12"/>
    </row>
    <row r="351" spans="1:2" x14ac:dyDescent="0.25">
      <c r="A351" s="12"/>
      <c r="B351" s="12"/>
    </row>
    <row r="352" spans="1:2" x14ac:dyDescent="0.25">
      <c r="A352" s="12"/>
      <c r="B352" s="12"/>
    </row>
    <row r="353" spans="1:2" x14ac:dyDescent="0.25">
      <c r="A353" s="12"/>
      <c r="B353" s="12"/>
    </row>
    <row r="354" spans="1:2" x14ac:dyDescent="0.25">
      <c r="A354" s="12"/>
      <c r="B354" s="12"/>
    </row>
    <row r="355" spans="1:2" x14ac:dyDescent="0.25">
      <c r="A355" s="12"/>
      <c r="B355" s="12"/>
    </row>
    <row r="356" spans="1:2" x14ac:dyDescent="0.25">
      <c r="A356" s="12"/>
      <c r="B356" s="12"/>
    </row>
    <row r="357" spans="1:2" x14ac:dyDescent="0.25">
      <c r="A357" s="12"/>
      <c r="B357" s="12"/>
    </row>
    <row r="358" spans="1:2" x14ac:dyDescent="0.25">
      <c r="A358" s="12"/>
      <c r="B358" s="12"/>
    </row>
    <row r="359" spans="1:2" x14ac:dyDescent="0.25">
      <c r="A359" s="12"/>
      <c r="B359" s="12"/>
    </row>
    <row r="360" spans="1:2" x14ac:dyDescent="0.25">
      <c r="A360" s="12"/>
      <c r="B360" s="12"/>
    </row>
    <row r="361" spans="1:2" x14ac:dyDescent="0.25">
      <c r="A361" s="12"/>
      <c r="B361" s="12"/>
    </row>
    <row r="362" spans="1:2" x14ac:dyDescent="0.25">
      <c r="A362" s="12"/>
      <c r="B362" s="12"/>
    </row>
    <row r="363" spans="1:2" x14ac:dyDescent="0.25">
      <c r="A363" s="12"/>
      <c r="B363" s="12"/>
    </row>
    <row r="364" spans="1:2" x14ac:dyDescent="0.25">
      <c r="A364" s="12"/>
      <c r="B364" s="12"/>
    </row>
    <row r="365" spans="1:2" x14ac:dyDescent="0.25">
      <c r="A365" s="12"/>
      <c r="B365" s="12"/>
    </row>
    <row r="366" spans="1:2" x14ac:dyDescent="0.25">
      <c r="A366" s="12"/>
      <c r="B366" s="12"/>
    </row>
    <row r="367" spans="1:2" x14ac:dyDescent="0.25">
      <c r="A367" s="12"/>
      <c r="B367" s="12"/>
    </row>
    <row r="368" spans="1:2" x14ac:dyDescent="0.25">
      <c r="A368" s="12"/>
      <c r="B368" s="12"/>
    </row>
    <row r="369" spans="1:2" x14ac:dyDescent="0.25">
      <c r="A369" s="12"/>
      <c r="B369" s="12"/>
    </row>
    <row r="370" spans="1:2" x14ac:dyDescent="0.25">
      <c r="A370" s="12"/>
      <c r="B370" s="12"/>
    </row>
    <row r="371" spans="1:2" x14ac:dyDescent="0.25">
      <c r="A371" s="12"/>
      <c r="B371" s="12"/>
    </row>
    <row r="372" spans="1:2" x14ac:dyDescent="0.25">
      <c r="A372" s="12"/>
      <c r="B372" s="12"/>
    </row>
    <row r="373" spans="1:2" x14ac:dyDescent="0.25">
      <c r="A373" s="12"/>
      <c r="B373" s="12"/>
    </row>
    <row r="374" spans="1:2" x14ac:dyDescent="0.25">
      <c r="A374" s="12"/>
      <c r="B374" s="12"/>
    </row>
    <row r="375" spans="1:2" x14ac:dyDescent="0.25">
      <c r="A375" s="12"/>
      <c r="B375" s="12"/>
    </row>
    <row r="376" spans="1:2" x14ac:dyDescent="0.25">
      <c r="A376" s="12"/>
      <c r="B376" s="12"/>
    </row>
    <row r="377" spans="1:2" x14ac:dyDescent="0.25">
      <c r="A377" s="12"/>
      <c r="B377" s="12"/>
    </row>
    <row r="378" spans="1:2" x14ac:dyDescent="0.25">
      <c r="A378" s="12"/>
      <c r="B378" s="12"/>
    </row>
    <row r="379" spans="1:2" x14ac:dyDescent="0.25">
      <c r="A379" s="12"/>
      <c r="B379" s="12"/>
    </row>
    <row r="380" spans="1:2" x14ac:dyDescent="0.25">
      <c r="A380" s="12"/>
      <c r="B380" s="12"/>
    </row>
    <row r="381" spans="1:2" x14ac:dyDescent="0.25">
      <c r="A381" s="12"/>
      <c r="B381" s="12"/>
    </row>
    <row r="382" spans="1:2" x14ac:dyDescent="0.25">
      <c r="A382" s="12"/>
      <c r="B382" s="12"/>
    </row>
    <row r="383" spans="1:2" x14ac:dyDescent="0.25">
      <c r="A383" s="12"/>
      <c r="B383" s="12"/>
    </row>
    <row r="384" spans="1:2" x14ac:dyDescent="0.25">
      <c r="A384" s="12"/>
      <c r="B384" s="12"/>
    </row>
    <row r="385" spans="1:2" x14ac:dyDescent="0.25">
      <c r="A385" s="12"/>
      <c r="B385" s="12"/>
    </row>
    <row r="386" spans="1:2" x14ac:dyDescent="0.25">
      <c r="A386" s="12"/>
      <c r="B386" s="12"/>
    </row>
    <row r="387" spans="1:2" x14ac:dyDescent="0.25">
      <c r="A387" s="12"/>
      <c r="B387" s="12"/>
    </row>
    <row r="388" spans="1:2" x14ac:dyDescent="0.25">
      <c r="A388" s="12"/>
      <c r="B388" s="12"/>
    </row>
    <row r="389" spans="1:2" x14ac:dyDescent="0.25">
      <c r="A389" s="12"/>
      <c r="B389" s="12"/>
    </row>
    <row r="390" spans="1:2" x14ac:dyDescent="0.25">
      <c r="A390" s="12"/>
      <c r="B390" s="12"/>
    </row>
    <row r="391" spans="1:2" x14ac:dyDescent="0.25">
      <c r="A391" s="12"/>
      <c r="B391" s="12"/>
    </row>
    <row r="392" spans="1:2" x14ac:dyDescent="0.25">
      <c r="A392" s="12"/>
      <c r="B392" s="12"/>
    </row>
    <row r="393" spans="1:2" x14ac:dyDescent="0.25">
      <c r="A393" s="12"/>
      <c r="B393" s="12"/>
    </row>
    <row r="394" spans="1:2" x14ac:dyDescent="0.25">
      <c r="A394" s="12"/>
      <c r="B394" s="12"/>
    </row>
    <row r="395" spans="1:2" x14ac:dyDescent="0.25">
      <c r="A395" s="12"/>
      <c r="B395" s="12"/>
    </row>
    <row r="396" spans="1:2" x14ac:dyDescent="0.25">
      <c r="A396" s="12"/>
      <c r="B396" s="12"/>
    </row>
    <row r="397" spans="1:2" x14ac:dyDescent="0.25">
      <c r="A397" s="12"/>
      <c r="B397" s="12"/>
    </row>
    <row r="398" spans="1:2" x14ac:dyDescent="0.25">
      <c r="A398" s="12"/>
      <c r="B398" s="12"/>
    </row>
    <row r="399" spans="1:2" x14ac:dyDescent="0.25">
      <c r="A399" s="12"/>
      <c r="B399" s="12"/>
    </row>
    <row r="400" spans="1:2" x14ac:dyDescent="0.25">
      <c r="A400" s="12"/>
      <c r="B400" s="12"/>
    </row>
    <row r="401" spans="1:2" x14ac:dyDescent="0.25">
      <c r="A401" s="12"/>
      <c r="B401" s="12"/>
    </row>
    <row r="402" spans="1:2" x14ac:dyDescent="0.25">
      <c r="A402" s="12"/>
      <c r="B402" s="12"/>
    </row>
    <row r="403" spans="1:2" x14ac:dyDescent="0.25">
      <c r="A403" s="12"/>
      <c r="B403" s="12"/>
    </row>
    <row r="404" spans="1:2" x14ac:dyDescent="0.25">
      <c r="A404" s="12"/>
      <c r="B404" s="12"/>
    </row>
    <row r="405" spans="1:2" x14ac:dyDescent="0.25">
      <c r="A405" s="12"/>
      <c r="B405" s="12"/>
    </row>
    <row r="406" spans="1:2" x14ac:dyDescent="0.25">
      <c r="A406" s="12"/>
      <c r="B406" s="12"/>
    </row>
    <row r="407" spans="1:2" x14ac:dyDescent="0.25">
      <c r="A407" s="12"/>
      <c r="B407" s="12"/>
    </row>
    <row r="408" spans="1:2" x14ac:dyDescent="0.25">
      <c r="A408" s="12"/>
      <c r="B408" s="12"/>
    </row>
    <row r="409" spans="1:2" x14ac:dyDescent="0.25">
      <c r="A409" s="12"/>
      <c r="B409" s="12"/>
    </row>
    <row r="410" spans="1:2" x14ac:dyDescent="0.25">
      <c r="A410" s="12"/>
      <c r="B410" s="12"/>
    </row>
    <row r="411" spans="1:2" x14ac:dyDescent="0.25">
      <c r="A411" s="12"/>
      <c r="B411" s="12"/>
    </row>
    <row r="412" spans="1:2" x14ac:dyDescent="0.25">
      <c r="A412" s="12"/>
      <c r="B412" s="12"/>
    </row>
    <row r="413" spans="1:2" x14ac:dyDescent="0.25">
      <c r="A413" s="12"/>
      <c r="B413" s="12"/>
    </row>
    <row r="414" spans="1:2" x14ac:dyDescent="0.25">
      <c r="A414" s="12"/>
      <c r="B414" s="12"/>
    </row>
    <row r="415" spans="1:2" x14ac:dyDescent="0.25">
      <c r="A415" s="12"/>
      <c r="B415" s="12"/>
    </row>
    <row r="416" spans="1:2" x14ac:dyDescent="0.25">
      <c r="A416" s="12"/>
      <c r="B416" s="12"/>
    </row>
    <row r="417" spans="1:2" x14ac:dyDescent="0.25">
      <c r="A417" s="12"/>
      <c r="B417" s="12"/>
    </row>
    <row r="418" spans="1:2" x14ac:dyDescent="0.25">
      <c r="A418" s="12"/>
      <c r="B418" s="12"/>
    </row>
    <row r="419" spans="1:2" x14ac:dyDescent="0.25">
      <c r="A419" s="12"/>
      <c r="B419" s="12"/>
    </row>
    <row r="420" spans="1:2" x14ac:dyDescent="0.25">
      <c r="A420" s="12"/>
      <c r="B420" s="12"/>
    </row>
    <row r="421" spans="1:2" x14ac:dyDescent="0.25">
      <c r="A421" s="12"/>
      <c r="B421" s="12"/>
    </row>
    <row r="422" spans="1:2" x14ac:dyDescent="0.25">
      <c r="A422" s="12"/>
      <c r="B422" s="12"/>
    </row>
    <row r="423" spans="1:2" x14ac:dyDescent="0.25">
      <c r="A423" s="12"/>
      <c r="B423" s="12"/>
    </row>
    <row r="424" spans="1:2" x14ac:dyDescent="0.25">
      <c r="A424" s="12"/>
      <c r="B424" s="12"/>
    </row>
    <row r="425" spans="1:2" x14ac:dyDescent="0.25">
      <c r="A425" s="12"/>
      <c r="B425" s="12"/>
    </row>
    <row r="426" spans="1:2" x14ac:dyDescent="0.25">
      <c r="A426" s="12"/>
      <c r="B426" s="12"/>
    </row>
    <row r="427" spans="1:2" x14ac:dyDescent="0.25">
      <c r="A427" s="12"/>
      <c r="B427" s="12"/>
    </row>
    <row r="428" spans="1:2" x14ac:dyDescent="0.25">
      <c r="A428" s="12"/>
      <c r="B428" s="12"/>
    </row>
    <row r="429" spans="1:2" x14ac:dyDescent="0.25">
      <c r="A429" s="12"/>
      <c r="B429" s="12"/>
    </row>
    <row r="430" spans="1:2" x14ac:dyDescent="0.25">
      <c r="A430" s="12"/>
      <c r="B430" s="12"/>
    </row>
    <row r="431" spans="1:2" x14ac:dyDescent="0.25">
      <c r="A431" s="12"/>
      <c r="B431" s="12"/>
    </row>
    <row r="432" spans="1:2" x14ac:dyDescent="0.25">
      <c r="A432" s="12"/>
      <c r="B432" s="12"/>
    </row>
    <row r="433" spans="1:2" x14ac:dyDescent="0.25">
      <c r="A433" s="12"/>
      <c r="B433" s="12"/>
    </row>
    <row r="434" spans="1:2" x14ac:dyDescent="0.25">
      <c r="A434" s="12"/>
      <c r="B434" s="12"/>
    </row>
    <row r="435" spans="1:2" x14ac:dyDescent="0.25">
      <c r="A435" s="12"/>
      <c r="B435" s="12"/>
    </row>
    <row r="436" spans="1:2" x14ac:dyDescent="0.25">
      <c r="A436" s="12"/>
      <c r="B436" s="12"/>
    </row>
    <row r="437" spans="1:2" x14ac:dyDescent="0.25">
      <c r="A437" s="12"/>
      <c r="B437" s="12"/>
    </row>
    <row r="438" spans="1:2" x14ac:dyDescent="0.25">
      <c r="A438" s="12"/>
      <c r="B438" s="12"/>
    </row>
    <row r="439" spans="1:2" x14ac:dyDescent="0.25">
      <c r="A439" s="12"/>
      <c r="B439" s="12"/>
    </row>
    <row r="440" spans="1:2" x14ac:dyDescent="0.25">
      <c r="A440" s="12"/>
      <c r="B440" s="12"/>
    </row>
    <row r="441" spans="1:2" x14ac:dyDescent="0.25">
      <c r="A441" s="12"/>
      <c r="B441" s="12"/>
    </row>
    <row r="442" spans="1:2" x14ac:dyDescent="0.25">
      <c r="A442" s="12"/>
      <c r="B442" s="12"/>
    </row>
    <row r="443" spans="1:2" x14ac:dyDescent="0.25">
      <c r="A443" s="12"/>
      <c r="B443" s="12"/>
    </row>
    <row r="444" spans="1:2" x14ac:dyDescent="0.25">
      <c r="A444" s="12"/>
      <c r="B444" s="12"/>
    </row>
    <row r="445" spans="1:2" x14ac:dyDescent="0.25">
      <c r="A445" s="12"/>
      <c r="B445" s="12"/>
    </row>
    <row r="446" spans="1:2" x14ac:dyDescent="0.25">
      <c r="A446" s="12"/>
      <c r="B446" s="12"/>
    </row>
    <row r="447" spans="1:2" x14ac:dyDescent="0.25">
      <c r="A447" s="12"/>
      <c r="B447" s="12"/>
    </row>
    <row r="448" spans="1:2" x14ac:dyDescent="0.25">
      <c r="A448" s="12"/>
      <c r="B448" s="12"/>
    </row>
    <row r="449" spans="1:2" x14ac:dyDescent="0.25">
      <c r="A449" s="12"/>
      <c r="B449" s="12"/>
    </row>
    <row r="450" spans="1:2" x14ac:dyDescent="0.25">
      <c r="A450" s="12"/>
      <c r="B450" s="12"/>
    </row>
    <row r="451" spans="1:2" x14ac:dyDescent="0.25">
      <c r="A451" s="12"/>
      <c r="B451" s="12"/>
    </row>
    <row r="452" spans="1:2" x14ac:dyDescent="0.25">
      <c r="A452" s="12"/>
      <c r="B452" s="12"/>
    </row>
    <row r="453" spans="1:2" x14ac:dyDescent="0.25">
      <c r="A453" s="12"/>
      <c r="B453" s="12"/>
    </row>
    <row r="454" spans="1:2" x14ac:dyDescent="0.25">
      <c r="A454" s="12"/>
      <c r="B454" s="12"/>
    </row>
    <row r="455" spans="1:2" x14ac:dyDescent="0.25">
      <c r="A455" s="12"/>
      <c r="B455" s="12"/>
    </row>
    <row r="456" spans="1:2" x14ac:dyDescent="0.25">
      <c r="A456" s="12"/>
      <c r="B456" s="12"/>
    </row>
    <row r="457" spans="1:2" x14ac:dyDescent="0.25">
      <c r="A457" s="12"/>
      <c r="B457" s="12"/>
    </row>
    <row r="458" spans="1:2" x14ac:dyDescent="0.25">
      <c r="A458" s="12"/>
      <c r="B458" s="12"/>
    </row>
    <row r="459" spans="1:2" x14ac:dyDescent="0.25">
      <c r="A459" s="12"/>
      <c r="B459" s="12"/>
    </row>
    <row r="460" spans="1:2" x14ac:dyDescent="0.25">
      <c r="A460" s="12"/>
      <c r="B460" s="12"/>
    </row>
    <row r="461" spans="1:2" x14ac:dyDescent="0.25">
      <c r="A461" s="12"/>
      <c r="B461" s="12"/>
    </row>
    <row r="462" spans="1:2" x14ac:dyDescent="0.25">
      <c r="A462" s="12"/>
      <c r="B462" s="12"/>
    </row>
    <row r="463" spans="1:2" x14ac:dyDescent="0.25">
      <c r="A463" s="12"/>
      <c r="B463" s="12"/>
    </row>
    <row r="464" spans="1:2" x14ac:dyDescent="0.25">
      <c r="A464" s="12"/>
      <c r="B464" s="12"/>
    </row>
    <row r="465" spans="1:2" x14ac:dyDescent="0.25">
      <c r="A465" s="12"/>
      <c r="B465" s="12"/>
    </row>
    <row r="466" spans="1:2" x14ac:dyDescent="0.25">
      <c r="A466" s="12"/>
      <c r="B466" s="12"/>
    </row>
    <row r="467" spans="1:2" x14ac:dyDescent="0.25">
      <c r="A467" s="12"/>
      <c r="B467" s="12"/>
    </row>
    <row r="468" spans="1:2" x14ac:dyDescent="0.25">
      <c r="A468" s="12"/>
      <c r="B468" s="12"/>
    </row>
    <row r="469" spans="1:2" x14ac:dyDescent="0.25">
      <c r="A469" s="12"/>
      <c r="B469" s="12"/>
    </row>
    <row r="470" spans="1:2" x14ac:dyDescent="0.25">
      <c r="A470" s="12"/>
      <c r="B470" s="12"/>
    </row>
    <row r="471" spans="1:2" x14ac:dyDescent="0.25">
      <c r="A471" s="12"/>
      <c r="B471" s="12"/>
    </row>
    <row r="472" spans="1:2" x14ac:dyDescent="0.25">
      <c r="A472" s="12"/>
      <c r="B472" s="12"/>
    </row>
    <row r="473" spans="1:2" x14ac:dyDescent="0.25">
      <c r="A473" s="12"/>
      <c r="B473" s="12"/>
    </row>
    <row r="474" spans="1:2" x14ac:dyDescent="0.25">
      <c r="A474" s="12"/>
      <c r="B474" s="12"/>
    </row>
    <row r="475" spans="1:2" x14ac:dyDescent="0.25">
      <c r="A475" s="12"/>
      <c r="B475" s="12"/>
    </row>
    <row r="476" spans="1:2" x14ac:dyDescent="0.25">
      <c r="A476" s="12"/>
      <c r="B476" s="12"/>
    </row>
    <row r="477" spans="1:2" x14ac:dyDescent="0.25">
      <c r="A477" s="12"/>
      <c r="B477" s="12"/>
    </row>
    <row r="478" spans="1:2" x14ac:dyDescent="0.25">
      <c r="A478" s="12"/>
      <c r="B478" s="12"/>
    </row>
    <row r="479" spans="1:2" x14ac:dyDescent="0.25">
      <c r="A479" s="12"/>
      <c r="B479" s="12"/>
    </row>
    <row r="480" spans="1:2" x14ac:dyDescent="0.25">
      <c r="A480" s="12"/>
      <c r="B480" s="12"/>
    </row>
    <row r="481" spans="1:2" x14ac:dyDescent="0.25">
      <c r="A481" s="12"/>
      <c r="B481" s="12"/>
    </row>
    <row r="482" spans="1:2" x14ac:dyDescent="0.25">
      <c r="A482" s="12"/>
      <c r="B482" s="12"/>
    </row>
    <row r="483" spans="1:2" x14ac:dyDescent="0.25">
      <c r="A483" s="12"/>
      <c r="B483" s="12"/>
    </row>
    <row r="484" spans="1:2" x14ac:dyDescent="0.25">
      <c r="A484" s="12"/>
      <c r="B484" s="12"/>
    </row>
    <row r="485" spans="1:2" x14ac:dyDescent="0.25">
      <c r="A485" s="12"/>
      <c r="B485" s="12"/>
    </row>
    <row r="486" spans="1:2" x14ac:dyDescent="0.25">
      <c r="A486" s="12"/>
      <c r="B486" s="12"/>
    </row>
    <row r="487" spans="1:2" x14ac:dyDescent="0.25">
      <c r="A487" s="12"/>
      <c r="B487" s="12"/>
    </row>
    <row r="488" spans="1:2" x14ac:dyDescent="0.25">
      <c r="A488" s="12"/>
      <c r="B488" s="12"/>
    </row>
    <row r="489" spans="1:2" x14ac:dyDescent="0.25">
      <c r="A489" s="12"/>
      <c r="B489" s="12"/>
    </row>
    <row r="490" spans="1:2" x14ac:dyDescent="0.25">
      <c r="A490" s="12"/>
      <c r="B490" s="12"/>
    </row>
    <row r="491" spans="1:2" x14ac:dyDescent="0.25">
      <c r="A491" s="12"/>
      <c r="B491" s="12"/>
    </row>
    <row r="492" spans="1:2" x14ac:dyDescent="0.25">
      <c r="A492" s="12"/>
      <c r="B492" s="12"/>
    </row>
    <row r="493" spans="1:2" x14ac:dyDescent="0.25">
      <c r="A493" s="12"/>
      <c r="B493" s="12"/>
    </row>
    <row r="494" spans="1:2" x14ac:dyDescent="0.25">
      <c r="A494" s="12"/>
      <c r="B494" s="12"/>
    </row>
    <row r="495" spans="1:2" x14ac:dyDescent="0.25">
      <c r="A495" s="12"/>
      <c r="B495" s="12"/>
    </row>
    <row r="496" spans="1:2" x14ac:dyDescent="0.25">
      <c r="A496" s="12"/>
      <c r="B496" s="12"/>
    </row>
    <row r="497" spans="1:2" x14ac:dyDescent="0.25">
      <c r="A497" s="12"/>
      <c r="B497" s="12"/>
    </row>
    <row r="498" spans="1:2" x14ac:dyDescent="0.25">
      <c r="A498" s="12"/>
      <c r="B498" s="12"/>
    </row>
    <row r="499" spans="1:2" x14ac:dyDescent="0.25">
      <c r="A499" s="12"/>
      <c r="B499" s="12"/>
    </row>
    <row r="500" spans="1:2" x14ac:dyDescent="0.25">
      <c r="A500" s="12"/>
      <c r="B500" s="12"/>
    </row>
    <row r="501" spans="1:2" x14ac:dyDescent="0.25">
      <c r="A501" s="12"/>
      <c r="B501" s="12"/>
    </row>
    <row r="502" spans="1:2" x14ac:dyDescent="0.25">
      <c r="A502" s="12"/>
      <c r="B502" s="12"/>
    </row>
    <row r="503" spans="1:2" x14ac:dyDescent="0.25">
      <c r="A503" s="12"/>
      <c r="B503" s="12"/>
    </row>
    <row r="504" spans="1:2" x14ac:dyDescent="0.25">
      <c r="A504" s="12"/>
      <c r="B504" s="12"/>
    </row>
    <row r="505" spans="1:2" x14ac:dyDescent="0.25">
      <c r="A505" s="12"/>
      <c r="B505" s="12"/>
    </row>
    <row r="506" spans="1:2" x14ac:dyDescent="0.25">
      <c r="A506" s="12"/>
      <c r="B506" s="12"/>
    </row>
    <row r="507" spans="1:2" x14ac:dyDescent="0.25">
      <c r="A507" s="12"/>
      <c r="B507" s="12"/>
    </row>
    <row r="508" spans="1:2" x14ac:dyDescent="0.25">
      <c r="A508" s="12"/>
      <c r="B508" s="12"/>
    </row>
    <row r="509" spans="1:2" x14ac:dyDescent="0.25">
      <c r="A509" s="12"/>
      <c r="B509" s="12"/>
    </row>
    <row r="510" spans="1:2" x14ac:dyDescent="0.25">
      <c r="A510" s="12"/>
      <c r="B510" s="12"/>
    </row>
    <row r="511" spans="1:2" x14ac:dyDescent="0.25">
      <c r="A511" s="12"/>
      <c r="B511" s="12"/>
    </row>
    <row r="512" spans="1:2" x14ac:dyDescent="0.25">
      <c r="A512" s="12"/>
      <c r="B512" s="12"/>
    </row>
    <row r="513" spans="1:2" x14ac:dyDescent="0.25">
      <c r="A513" s="12"/>
      <c r="B513" s="12"/>
    </row>
    <row r="514" spans="1:2" x14ac:dyDescent="0.25">
      <c r="A514" s="12"/>
      <c r="B514" s="12"/>
    </row>
    <row r="515" spans="1:2" x14ac:dyDescent="0.25">
      <c r="A515" s="12"/>
      <c r="B515" s="12"/>
    </row>
    <row r="516" spans="1:2" x14ac:dyDescent="0.25">
      <c r="A516" s="12"/>
      <c r="B516" s="12"/>
    </row>
    <row r="517" spans="1:2" x14ac:dyDescent="0.25">
      <c r="A517" s="12"/>
      <c r="B517" s="12"/>
    </row>
    <row r="518" spans="1:2" x14ac:dyDescent="0.25">
      <c r="A518" s="12"/>
      <c r="B518" s="12"/>
    </row>
    <row r="519" spans="1:2" x14ac:dyDescent="0.25">
      <c r="A519" s="12"/>
      <c r="B519" s="12"/>
    </row>
    <row r="520" spans="1:2" x14ac:dyDescent="0.25">
      <c r="A520" s="12"/>
      <c r="B520" s="12"/>
    </row>
    <row r="521" spans="1:2" x14ac:dyDescent="0.25">
      <c r="A521" s="12"/>
      <c r="B521" s="12"/>
    </row>
    <row r="522" spans="1:2" x14ac:dyDescent="0.25">
      <c r="A522" s="12"/>
      <c r="B522" s="12"/>
    </row>
    <row r="523" spans="1:2" x14ac:dyDescent="0.25">
      <c r="A523" s="12"/>
      <c r="B523" s="12"/>
    </row>
    <row r="524" spans="1:2" x14ac:dyDescent="0.25">
      <c r="A524" s="12"/>
      <c r="B524" s="12"/>
    </row>
    <row r="525" spans="1:2" x14ac:dyDescent="0.25">
      <c r="A525" s="12"/>
      <c r="B525" s="12"/>
    </row>
    <row r="526" spans="1:2" x14ac:dyDescent="0.25">
      <c r="A526" s="12"/>
      <c r="B526" s="12"/>
    </row>
    <row r="527" spans="1:2" x14ac:dyDescent="0.25">
      <c r="A527" s="12"/>
      <c r="B527" s="12"/>
    </row>
    <row r="528" spans="1:2" x14ac:dyDescent="0.25">
      <c r="A528" s="12"/>
      <c r="B528" s="12"/>
    </row>
    <row r="529" spans="1:2" x14ac:dyDescent="0.25">
      <c r="A529" s="12"/>
      <c r="B529" s="12"/>
    </row>
    <row r="530" spans="1:2" x14ac:dyDescent="0.25">
      <c r="A530" s="12"/>
      <c r="B530" s="12"/>
    </row>
    <row r="531" spans="1:2" x14ac:dyDescent="0.25">
      <c r="A531" s="12"/>
      <c r="B531" s="12"/>
    </row>
    <row r="532" spans="1:2" x14ac:dyDescent="0.25">
      <c r="A532" s="12"/>
      <c r="B532" s="12"/>
    </row>
    <row r="533" spans="1:2" x14ac:dyDescent="0.25">
      <c r="A533" s="12"/>
      <c r="B533" s="12"/>
    </row>
    <row r="534" spans="1:2" x14ac:dyDescent="0.25">
      <c r="A534" s="12"/>
      <c r="B534" s="12"/>
    </row>
    <row r="535" spans="1:2" x14ac:dyDescent="0.25">
      <c r="A535" s="12"/>
      <c r="B535" s="12"/>
    </row>
    <row r="536" spans="1:2" x14ac:dyDescent="0.25">
      <c r="A536" s="12"/>
      <c r="B536" s="12"/>
    </row>
    <row r="537" spans="1:2" x14ac:dyDescent="0.25">
      <c r="A537" s="12"/>
      <c r="B537" s="12"/>
    </row>
    <row r="538" spans="1:2" x14ac:dyDescent="0.25">
      <c r="A538" s="12"/>
      <c r="B538" s="12"/>
    </row>
    <row r="539" spans="1:2" x14ac:dyDescent="0.25">
      <c r="A539" s="12"/>
      <c r="B539" s="12"/>
    </row>
    <row r="540" spans="1:2" x14ac:dyDescent="0.25">
      <c r="A540" s="12"/>
      <c r="B540" s="12"/>
    </row>
    <row r="541" spans="1:2" x14ac:dyDescent="0.25">
      <c r="A541" s="12"/>
      <c r="B541" s="12"/>
    </row>
    <row r="542" spans="1:2" x14ac:dyDescent="0.25">
      <c r="A542" s="12"/>
      <c r="B542" s="12"/>
    </row>
    <row r="543" spans="1:2" x14ac:dyDescent="0.25">
      <c r="A543" s="12"/>
      <c r="B543" s="12"/>
    </row>
    <row r="544" spans="1:2" x14ac:dyDescent="0.25">
      <c r="A544" s="12"/>
      <c r="B544" s="12"/>
    </row>
    <row r="545" spans="1:2" x14ac:dyDescent="0.25">
      <c r="A545" s="12"/>
      <c r="B545" s="12"/>
    </row>
    <row r="546" spans="1:2" x14ac:dyDescent="0.25">
      <c r="A546" s="12"/>
      <c r="B546" s="12"/>
    </row>
    <row r="547" spans="1:2" x14ac:dyDescent="0.25">
      <c r="A547" s="12"/>
      <c r="B547" s="12"/>
    </row>
    <row r="548" spans="1:2" x14ac:dyDescent="0.25">
      <c r="A548" s="12"/>
      <c r="B548" s="12"/>
    </row>
    <row r="549" spans="1:2" x14ac:dyDescent="0.25">
      <c r="A549" s="12"/>
      <c r="B549" s="12"/>
    </row>
    <row r="550" spans="1:2" x14ac:dyDescent="0.25">
      <c r="A550" s="12"/>
      <c r="B550" s="12"/>
    </row>
    <row r="551" spans="1:2" x14ac:dyDescent="0.25">
      <c r="A551" s="12"/>
      <c r="B551" s="12"/>
    </row>
    <row r="552" spans="1:2" x14ac:dyDescent="0.25">
      <c r="A552" s="12"/>
      <c r="B552" s="12"/>
    </row>
    <row r="553" spans="1:2" x14ac:dyDescent="0.25">
      <c r="A553" s="12"/>
      <c r="B553" s="12"/>
    </row>
    <row r="554" spans="1:2" x14ac:dyDescent="0.25">
      <c r="A554" s="12"/>
      <c r="B554" s="12"/>
    </row>
    <row r="555" spans="1:2" x14ac:dyDescent="0.25">
      <c r="A555" s="12"/>
      <c r="B555" s="12"/>
    </row>
    <row r="556" spans="1:2" x14ac:dyDescent="0.25">
      <c r="A556" s="12"/>
      <c r="B556" s="12"/>
    </row>
    <row r="557" spans="1:2" x14ac:dyDescent="0.25">
      <c r="A557" s="12"/>
      <c r="B557" s="12"/>
    </row>
    <row r="558" spans="1:2" x14ac:dyDescent="0.25">
      <c r="A558" s="12"/>
      <c r="B558" s="12"/>
    </row>
    <row r="559" spans="1:2" x14ac:dyDescent="0.25">
      <c r="A559" s="12"/>
      <c r="B559" s="12"/>
    </row>
    <row r="560" spans="1:2" x14ac:dyDescent="0.25">
      <c r="A560" s="12"/>
      <c r="B560" s="12"/>
    </row>
    <row r="561" spans="1:2" x14ac:dyDescent="0.25">
      <c r="A561" s="12"/>
      <c r="B561" s="12"/>
    </row>
    <row r="562" spans="1:2" x14ac:dyDescent="0.25">
      <c r="A562" s="12"/>
      <c r="B562" s="12"/>
    </row>
    <row r="563" spans="1:2" x14ac:dyDescent="0.25">
      <c r="A563" s="12"/>
      <c r="B563" s="12"/>
    </row>
    <row r="564" spans="1:2" x14ac:dyDescent="0.25">
      <c r="A564" s="12"/>
      <c r="B564" s="12"/>
    </row>
    <row r="565" spans="1:2" x14ac:dyDescent="0.25">
      <c r="A565" s="12"/>
      <c r="B565" s="12"/>
    </row>
    <row r="566" spans="1:2" x14ac:dyDescent="0.25">
      <c r="A566" s="12"/>
      <c r="B566" s="12"/>
    </row>
    <row r="567" spans="1:2" x14ac:dyDescent="0.25">
      <c r="A567" s="12"/>
      <c r="B567" s="12"/>
    </row>
    <row r="568" spans="1:2" x14ac:dyDescent="0.25">
      <c r="A568" s="12"/>
      <c r="B568" s="12"/>
    </row>
    <row r="569" spans="1:2" x14ac:dyDescent="0.25">
      <c r="A569" s="12"/>
      <c r="B569" s="12"/>
    </row>
    <row r="570" spans="1:2" x14ac:dyDescent="0.25">
      <c r="A570" s="12"/>
      <c r="B570" s="12"/>
    </row>
    <row r="571" spans="1:2" x14ac:dyDescent="0.25">
      <c r="A571" s="12"/>
      <c r="B571" s="12"/>
    </row>
    <row r="572" spans="1:2" x14ac:dyDescent="0.25">
      <c r="A572" s="12"/>
      <c r="B572" s="12"/>
    </row>
    <row r="573" spans="1:2" x14ac:dyDescent="0.25">
      <c r="A573" s="12"/>
      <c r="B573" s="12"/>
    </row>
    <row r="574" spans="1:2" x14ac:dyDescent="0.25">
      <c r="A574" s="12"/>
      <c r="B574" s="12"/>
    </row>
    <row r="575" spans="1:2" x14ac:dyDescent="0.25">
      <c r="A575" s="12"/>
      <c r="B575" s="12"/>
    </row>
    <row r="576" spans="1:2" x14ac:dyDescent="0.25">
      <c r="A576" s="12"/>
      <c r="B576" s="12"/>
    </row>
    <row r="577" spans="1:2" x14ac:dyDescent="0.25">
      <c r="A577" s="12"/>
      <c r="B577" s="12"/>
    </row>
    <row r="578" spans="1:2" x14ac:dyDescent="0.25">
      <c r="A578" s="12"/>
      <c r="B578" s="12"/>
    </row>
    <row r="579" spans="1:2" x14ac:dyDescent="0.25">
      <c r="A579" s="12"/>
      <c r="B579" s="12"/>
    </row>
    <row r="580" spans="1:2" x14ac:dyDescent="0.25">
      <c r="A580" s="12"/>
      <c r="B580" s="12"/>
    </row>
    <row r="581" spans="1:2" x14ac:dyDescent="0.25">
      <c r="A581" s="12"/>
      <c r="B581" s="12"/>
    </row>
    <row r="582" spans="1:2" x14ac:dyDescent="0.25">
      <c r="A582" s="12"/>
      <c r="B582" s="12"/>
    </row>
    <row r="583" spans="1:2" x14ac:dyDescent="0.25">
      <c r="A583" s="12"/>
      <c r="B583" s="12"/>
    </row>
    <row r="584" spans="1:2" x14ac:dyDescent="0.25">
      <c r="A584" s="12"/>
      <c r="B584" s="12"/>
    </row>
    <row r="585" spans="1:2" x14ac:dyDescent="0.25">
      <c r="A585" s="12"/>
      <c r="B585" s="12"/>
    </row>
    <row r="586" spans="1:2" x14ac:dyDescent="0.25">
      <c r="A586" s="12"/>
      <c r="B586" s="12"/>
    </row>
    <row r="587" spans="1:2" x14ac:dyDescent="0.25">
      <c r="A587" s="12"/>
      <c r="B587" s="12"/>
    </row>
    <row r="588" spans="1:2" x14ac:dyDescent="0.25">
      <c r="A588" s="12"/>
      <c r="B588" s="12"/>
    </row>
    <row r="589" spans="1:2" x14ac:dyDescent="0.25">
      <c r="A589" s="12"/>
      <c r="B589" s="12"/>
    </row>
    <row r="590" spans="1:2" x14ac:dyDescent="0.25">
      <c r="A590" s="12"/>
      <c r="B590" s="12"/>
    </row>
    <row r="591" spans="1:2" x14ac:dyDescent="0.25">
      <c r="A591" s="12"/>
      <c r="B591" s="12"/>
    </row>
    <row r="592" spans="1:2" x14ac:dyDescent="0.25">
      <c r="A592" s="12"/>
      <c r="B592" s="12"/>
    </row>
    <row r="593" spans="1:2" x14ac:dyDescent="0.25">
      <c r="A593" s="12"/>
      <c r="B593" s="12"/>
    </row>
    <row r="594" spans="1:2" x14ac:dyDescent="0.25">
      <c r="A594" s="12"/>
      <c r="B594" s="12"/>
    </row>
    <row r="595" spans="1:2" x14ac:dyDescent="0.25">
      <c r="A595" s="12"/>
      <c r="B595" s="12"/>
    </row>
    <row r="596" spans="1:2" x14ac:dyDescent="0.25">
      <c r="A596" s="12"/>
      <c r="B596" s="12"/>
    </row>
    <row r="597" spans="1:2" x14ac:dyDescent="0.25">
      <c r="A597" s="12"/>
      <c r="B597" s="12"/>
    </row>
    <row r="598" spans="1:2" x14ac:dyDescent="0.25">
      <c r="A598" s="12"/>
      <c r="B598" s="12"/>
    </row>
    <row r="599" spans="1:2" x14ac:dyDescent="0.25">
      <c r="A599" s="12"/>
      <c r="B599" s="12"/>
    </row>
    <row r="600" spans="1:2" x14ac:dyDescent="0.25">
      <c r="A600" s="12"/>
      <c r="B600" s="12"/>
    </row>
    <row r="601" spans="1:2" x14ac:dyDescent="0.25">
      <c r="A601" s="12"/>
      <c r="B601" s="12"/>
    </row>
    <row r="602" spans="1:2" x14ac:dyDescent="0.25">
      <c r="A602" s="12"/>
      <c r="B602" s="12"/>
    </row>
    <row r="603" spans="1:2" x14ac:dyDescent="0.25">
      <c r="A603" s="12"/>
      <c r="B603" s="12"/>
    </row>
    <row r="604" spans="1:2" x14ac:dyDescent="0.25">
      <c r="A604" s="12"/>
      <c r="B604" s="12"/>
    </row>
    <row r="605" spans="1:2" x14ac:dyDescent="0.25">
      <c r="A605" s="12"/>
      <c r="B605" s="12"/>
    </row>
    <row r="606" spans="1:2" x14ac:dyDescent="0.25">
      <c r="A606" s="12"/>
      <c r="B606" s="12"/>
    </row>
    <row r="607" spans="1:2" x14ac:dyDescent="0.25">
      <c r="A607" s="12"/>
      <c r="B607" s="12"/>
    </row>
    <row r="608" spans="1:2" x14ac:dyDescent="0.25">
      <c r="A608" s="12"/>
      <c r="B608" s="12"/>
    </row>
    <row r="609" spans="1:2" x14ac:dyDescent="0.25">
      <c r="A609" s="12"/>
      <c r="B609" s="12"/>
    </row>
    <row r="610" spans="1:2" x14ac:dyDescent="0.25">
      <c r="A610" s="12"/>
      <c r="B610" s="12"/>
    </row>
    <row r="611" spans="1:2" x14ac:dyDescent="0.25">
      <c r="A611" s="12"/>
      <c r="B611" s="12"/>
    </row>
    <row r="612" spans="1:2" x14ac:dyDescent="0.25">
      <c r="A612" s="12"/>
      <c r="B612" s="12"/>
    </row>
    <row r="613" spans="1:2" x14ac:dyDescent="0.25">
      <c r="A613" s="12"/>
      <c r="B613" s="12"/>
    </row>
    <row r="614" spans="1:2" x14ac:dyDescent="0.25">
      <c r="A614" s="12"/>
      <c r="B614" s="12"/>
    </row>
    <row r="615" spans="1:2" x14ac:dyDescent="0.25">
      <c r="A615" s="12"/>
      <c r="B615" s="12"/>
    </row>
    <row r="616" spans="1:2" x14ac:dyDescent="0.25">
      <c r="A616" s="12"/>
      <c r="B616" s="12"/>
    </row>
    <row r="617" spans="1:2" x14ac:dyDescent="0.25">
      <c r="A617" s="12"/>
      <c r="B617" s="12"/>
    </row>
    <row r="618" spans="1:2" x14ac:dyDescent="0.25">
      <c r="A618" s="12"/>
      <c r="B618" s="12"/>
    </row>
    <row r="619" spans="1:2" x14ac:dyDescent="0.25">
      <c r="A619" s="12"/>
      <c r="B619" s="12"/>
    </row>
    <row r="620" spans="1:2" x14ac:dyDescent="0.25">
      <c r="A620" s="12"/>
      <c r="B620" s="12"/>
    </row>
    <row r="621" spans="1:2" x14ac:dyDescent="0.25">
      <c r="A621" s="12"/>
      <c r="B621" s="12"/>
    </row>
    <row r="622" spans="1:2" x14ac:dyDescent="0.25">
      <c r="A622" s="12"/>
      <c r="B622" s="12"/>
    </row>
    <row r="623" spans="1:2" x14ac:dyDescent="0.25">
      <c r="A623" s="12"/>
      <c r="B623" s="12"/>
    </row>
    <row r="624" spans="1:2" x14ac:dyDescent="0.25">
      <c r="A624" s="12"/>
      <c r="B624" s="12"/>
    </row>
    <row r="625" spans="1:2" x14ac:dyDescent="0.25">
      <c r="A625" s="12"/>
      <c r="B625" s="12"/>
    </row>
    <row r="626" spans="1:2" x14ac:dyDescent="0.25">
      <c r="A626" s="12"/>
      <c r="B626" s="12"/>
    </row>
    <row r="627" spans="1:2" x14ac:dyDescent="0.25">
      <c r="A627" s="12"/>
      <c r="B627" s="12"/>
    </row>
    <row r="628" spans="1:2" x14ac:dyDescent="0.25">
      <c r="A628" s="12"/>
      <c r="B628" s="12"/>
    </row>
    <row r="629" spans="1:2" x14ac:dyDescent="0.25">
      <c r="A629" s="12"/>
      <c r="B629" s="12"/>
    </row>
    <row r="630" spans="1:2" x14ac:dyDescent="0.25">
      <c r="A630" s="12"/>
      <c r="B630" s="12"/>
    </row>
    <row r="631" spans="1:2" x14ac:dyDescent="0.25">
      <c r="A631" s="12"/>
      <c r="B631" s="12"/>
    </row>
    <row r="632" spans="1:2" x14ac:dyDescent="0.25">
      <c r="A632" s="12"/>
      <c r="B632" s="12"/>
    </row>
    <row r="633" spans="1:2" x14ac:dyDescent="0.25">
      <c r="A633" s="12"/>
      <c r="B633" s="12"/>
    </row>
    <row r="634" spans="1:2" x14ac:dyDescent="0.25">
      <c r="A634" s="12"/>
      <c r="B634" s="12"/>
    </row>
    <row r="635" spans="1:2" x14ac:dyDescent="0.25">
      <c r="A635" s="12"/>
      <c r="B635" s="12"/>
    </row>
    <row r="636" spans="1:2" x14ac:dyDescent="0.25">
      <c r="A636" s="12"/>
      <c r="B636" s="12"/>
    </row>
    <row r="637" spans="1:2" x14ac:dyDescent="0.25">
      <c r="A637" s="12"/>
      <c r="B637" s="12"/>
    </row>
    <row r="638" spans="1:2" x14ac:dyDescent="0.25">
      <c r="A638" s="12"/>
      <c r="B638" s="12"/>
    </row>
    <row r="639" spans="1:2" x14ac:dyDescent="0.25">
      <c r="A639" s="12"/>
      <c r="B639" s="12"/>
    </row>
    <row r="640" spans="1:2" x14ac:dyDescent="0.25">
      <c r="A640" s="12"/>
      <c r="B640" s="12"/>
    </row>
    <row r="641" spans="1:2" x14ac:dyDescent="0.25">
      <c r="A641" s="12"/>
      <c r="B641" s="12"/>
    </row>
    <row r="642" spans="1:2" x14ac:dyDescent="0.25">
      <c r="A642" s="12"/>
      <c r="B642" s="12"/>
    </row>
    <row r="643" spans="1:2" x14ac:dyDescent="0.25">
      <c r="A643" s="12"/>
      <c r="B643" s="12"/>
    </row>
    <row r="644" spans="1:2" x14ac:dyDescent="0.25">
      <c r="A644" s="12"/>
      <c r="B644" s="12"/>
    </row>
    <row r="645" spans="1:2" x14ac:dyDescent="0.25">
      <c r="A645" s="12"/>
      <c r="B645" s="12"/>
    </row>
    <row r="646" spans="1:2" x14ac:dyDescent="0.25">
      <c r="A646" s="12"/>
      <c r="B646" s="12"/>
    </row>
    <row r="647" spans="1:2" x14ac:dyDescent="0.25">
      <c r="A647" s="12"/>
      <c r="B647" s="12"/>
    </row>
    <row r="648" spans="1:2" x14ac:dyDescent="0.25">
      <c r="A648" s="12"/>
      <c r="B648" s="12"/>
    </row>
    <row r="649" spans="1:2" x14ac:dyDescent="0.25">
      <c r="A649" s="12"/>
      <c r="B649" s="12"/>
    </row>
    <row r="650" spans="1:2" x14ac:dyDescent="0.25">
      <c r="A650" s="12"/>
      <c r="B650" s="12"/>
    </row>
    <row r="651" spans="1:2" x14ac:dyDescent="0.25">
      <c r="A651" s="12"/>
      <c r="B651" s="12"/>
    </row>
    <row r="652" spans="1:2" x14ac:dyDescent="0.25">
      <c r="A652" s="12"/>
      <c r="B652" s="12"/>
    </row>
    <row r="653" spans="1:2" x14ac:dyDescent="0.25">
      <c r="A653" s="12"/>
      <c r="B653" s="12"/>
    </row>
    <row r="654" spans="1:2" x14ac:dyDescent="0.25">
      <c r="A654" s="12"/>
      <c r="B654" s="12"/>
    </row>
    <row r="655" spans="1:2" x14ac:dyDescent="0.25">
      <c r="A655" s="12"/>
      <c r="B655" s="12"/>
    </row>
    <row r="656" spans="1:2" x14ac:dyDescent="0.25">
      <c r="A656" s="12"/>
      <c r="B656" s="12"/>
    </row>
    <row r="657" spans="1:2" x14ac:dyDescent="0.25">
      <c r="A657" s="12"/>
      <c r="B657" s="12"/>
    </row>
    <row r="658" spans="1:2" x14ac:dyDescent="0.25">
      <c r="A658" s="12"/>
      <c r="B658" s="12"/>
    </row>
    <row r="659" spans="1:2" x14ac:dyDescent="0.25">
      <c r="A659" s="12"/>
      <c r="B659" s="12"/>
    </row>
    <row r="660" spans="1:2" x14ac:dyDescent="0.25">
      <c r="A660" s="12"/>
      <c r="B660" s="12"/>
    </row>
    <row r="661" spans="1:2" x14ac:dyDescent="0.25">
      <c r="A661" s="12"/>
      <c r="B661" s="12"/>
    </row>
    <row r="662" spans="1:2" x14ac:dyDescent="0.25">
      <c r="A662" s="12"/>
      <c r="B662" s="12"/>
    </row>
    <row r="663" spans="1:2" x14ac:dyDescent="0.25">
      <c r="A663" s="12"/>
      <c r="B663" s="12"/>
    </row>
    <row r="664" spans="1:2" x14ac:dyDescent="0.25">
      <c r="A664" s="12"/>
      <c r="B664" s="12"/>
    </row>
    <row r="665" spans="1:2" x14ac:dyDescent="0.25">
      <c r="A665" s="12"/>
      <c r="B665" s="12"/>
    </row>
    <row r="666" spans="1:2" x14ac:dyDescent="0.25">
      <c r="A666" s="12"/>
      <c r="B666" s="12"/>
    </row>
    <row r="667" spans="1:2" x14ac:dyDescent="0.25">
      <c r="A667" s="12"/>
      <c r="B667" s="12"/>
    </row>
    <row r="668" spans="1:2" x14ac:dyDescent="0.25">
      <c r="A668" s="12"/>
      <c r="B668" s="12"/>
    </row>
    <row r="669" spans="1:2" x14ac:dyDescent="0.25">
      <c r="A669" s="12"/>
      <c r="B669" s="12"/>
    </row>
    <row r="670" spans="1:2" x14ac:dyDescent="0.25">
      <c r="A670" s="12"/>
      <c r="B670" s="12"/>
    </row>
    <row r="671" spans="1:2" x14ac:dyDescent="0.25">
      <c r="A671" s="12"/>
      <c r="B671" s="12"/>
    </row>
    <row r="672" spans="1:2" x14ac:dyDescent="0.25">
      <c r="A672" s="12"/>
      <c r="B672" s="12"/>
    </row>
    <row r="673" spans="1:2" x14ac:dyDescent="0.25">
      <c r="A673" s="12"/>
      <c r="B673" s="12"/>
    </row>
    <row r="674" spans="1:2" x14ac:dyDescent="0.25">
      <c r="A674" s="12"/>
      <c r="B674" s="12"/>
    </row>
    <row r="675" spans="1:2" x14ac:dyDescent="0.25">
      <c r="A675" s="12"/>
      <c r="B675" s="12"/>
    </row>
    <row r="676" spans="1:2" x14ac:dyDescent="0.25">
      <c r="A676" s="12"/>
      <c r="B676" s="12"/>
    </row>
    <row r="677" spans="1:2" x14ac:dyDescent="0.25">
      <c r="A677" s="12"/>
      <c r="B677" s="12"/>
    </row>
    <row r="678" spans="1:2" x14ac:dyDescent="0.25">
      <c r="A678" s="12"/>
      <c r="B678" s="12"/>
    </row>
    <row r="679" spans="1:2" x14ac:dyDescent="0.25">
      <c r="A679" s="12"/>
      <c r="B679" s="12"/>
    </row>
    <row r="680" spans="1:2" x14ac:dyDescent="0.25">
      <c r="A680" s="12"/>
      <c r="B680" s="12"/>
    </row>
    <row r="681" spans="1:2" x14ac:dyDescent="0.25">
      <c r="A681" s="12"/>
      <c r="B681" s="12"/>
    </row>
    <row r="682" spans="1:2" x14ac:dyDescent="0.25">
      <c r="A682" s="12"/>
      <c r="B682" s="12"/>
    </row>
    <row r="683" spans="1:2" x14ac:dyDescent="0.25">
      <c r="A683" s="12"/>
      <c r="B683" s="12"/>
    </row>
    <row r="684" spans="1:2" x14ac:dyDescent="0.25">
      <c r="A684" s="12"/>
      <c r="B684" s="12"/>
    </row>
    <row r="685" spans="1:2" x14ac:dyDescent="0.25">
      <c r="A685" s="12"/>
      <c r="B685" s="12"/>
    </row>
    <row r="686" spans="1:2" x14ac:dyDescent="0.25">
      <c r="A686" s="12"/>
      <c r="B686" s="12"/>
    </row>
    <row r="687" spans="1:2" x14ac:dyDescent="0.25">
      <c r="A687" s="12"/>
      <c r="B687" s="12"/>
    </row>
    <row r="688" spans="1:2" x14ac:dyDescent="0.25">
      <c r="A688" s="12"/>
      <c r="B688" s="12"/>
    </row>
    <row r="689" spans="1:2" x14ac:dyDescent="0.25">
      <c r="A689" s="12"/>
      <c r="B689" s="12"/>
    </row>
    <row r="690" spans="1:2" x14ac:dyDescent="0.25">
      <c r="A690" s="12"/>
      <c r="B690" s="12"/>
    </row>
    <row r="691" spans="1:2" x14ac:dyDescent="0.25">
      <c r="A691" s="12"/>
      <c r="B691" s="12"/>
    </row>
    <row r="692" spans="1:2" x14ac:dyDescent="0.25">
      <c r="A692" s="12"/>
      <c r="B692" s="12"/>
    </row>
    <row r="693" spans="1:2" x14ac:dyDescent="0.25">
      <c r="A693" s="12"/>
      <c r="B693" s="12"/>
    </row>
    <row r="694" spans="1:2" x14ac:dyDescent="0.25">
      <c r="A694" s="12"/>
      <c r="B694" s="12"/>
    </row>
    <row r="695" spans="1:2" x14ac:dyDescent="0.25">
      <c r="A695" s="12"/>
      <c r="B695" s="12"/>
    </row>
    <row r="696" spans="1:2" x14ac:dyDescent="0.25">
      <c r="A696" s="12"/>
      <c r="B696" s="12"/>
    </row>
    <row r="697" spans="1:2" x14ac:dyDescent="0.25">
      <c r="A697" s="12"/>
      <c r="B697" s="12"/>
    </row>
    <row r="698" spans="1:2" x14ac:dyDescent="0.25">
      <c r="A698" s="12"/>
      <c r="B698" s="12"/>
    </row>
    <row r="699" spans="1:2" x14ac:dyDescent="0.25">
      <c r="A699" s="12"/>
      <c r="B699" s="12"/>
    </row>
    <row r="700" spans="1:2" x14ac:dyDescent="0.25">
      <c r="A700" s="12"/>
      <c r="B700" s="12"/>
    </row>
    <row r="701" spans="1:2" x14ac:dyDescent="0.25">
      <c r="A701" s="12"/>
      <c r="B701" s="12"/>
    </row>
    <row r="702" spans="1:2" x14ac:dyDescent="0.25">
      <c r="A702" s="12"/>
      <c r="B702" s="12"/>
    </row>
    <row r="703" spans="1:2" x14ac:dyDescent="0.25">
      <c r="A703" s="12"/>
      <c r="B703" s="12"/>
    </row>
    <row r="704" spans="1:2" x14ac:dyDescent="0.25">
      <c r="A704" s="12"/>
      <c r="B704" s="12"/>
    </row>
    <row r="705" spans="1:2" x14ac:dyDescent="0.25">
      <c r="A705" s="12"/>
      <c r="B705" s="12"/>
    </row>
    <row r="706" spans="1:2" x14ac:dyDescent="0.25">
      <c r="A706" s="12"/>
      <c r="B706" s="12"/>
    </row>
    <row r="707" spans="1:2" x14ac:dyDescent="0.25">
      <c r="A707" s="12"/>
      <c r="B707" s="12"/>
    </row>
    <row r="708" spans="1:2" x14ac:dyDescent="0.25">
      <c r="A708" s="12"/>
      <c r="B708" s="12"/>
    </row>
    <row r="709" spans="1:2" x14ac:dyDescent="0.25">
      <c r="A709" s="12"/>
      <c r="B709" s="12"/>
    </row>
    <row r="710" spans="1:2" x14ac:dyDescent="0.25">
      <c r="A710" s="12"/>
      <c r="B710" s="12"/>
    </row>
    <row r="711" spans="1:2" x14ac:dyDescent="0.25">
      <c r="A711" s="12"/>
      <c r="B711" s="12"/>
    </row>
    <row r="712" spans="1:2" x14ac:dyDescent="0.25">
      <c r="A712" s="12"/>
      <c r="B712" s="12"/>
    </row>
    <row r="713" spans="1:2" x14ac:dyDescent="0.25">
      <c r="A713" s="12"/>
      <c r="B713" s="12"/>
    </row>
    <row r="714" spans="1:2" x14ac:dyDescent="0.25">
      <c r="A714" s="12"/>
      <c r="B714" s="12"/>
    </row>
    <row r="715" spans="1:2" x14ac:dyDescent="0.25">
      <c r="A715" s="12"/>
      <c r="B715" s="12"/>
    </row>
    <row r="716" spans="1:2" x14ac:dyDescent="0.25">
      <c r="A716" s="12"/>
      <c r="B716" s="12"/>
    </row>
    <row r="717" spans="1:2" x14ac:dyDescent="0.25">
      <c r="A717" s="12"/>
      <c r="B717" s="12"/>
    </row>
    <row r="718" spans="1:2" x14ac:dyDescent="0.25">
      <c r="A718" s="12"/>
      <c r="B718" s="12"/>
    </row>
    <row r="719" spans="1:2" x14ac:dyDescent="0.25">
      <c r="A719" s="12"/>
      <c r="B719" s="12"/>
    </row>
    <row r="720" spans="1:2" x14ac:dyDescent="0.25">
      <c r="A720" s="12"/>
      <c r="B720" s="12"/>
    </row>
    <row r="721" spans="1:2" x14ac:dyDescent="0.25">
      <c r="A721" s="12"/>
      <c r="B721" s="12"/>
    </row>
    <row r="722" spans="1:2" x14ac:dyDescent="0.25">
      <c r="A722" s="12"/>
      <c r="B722" s="12"/>
    </row>
    <row r="723" spans="1:2" x14ac:dyDescent="0.25">
      <c r="A723" s="12"/>
      <c r="B723" s="12"/>
    </row>
    <row r="724" spans="1:2" x14ac:dyDescent="0.25">
      <c r="A724" s="12"/>
      <c r="B724" s="12"/>
    </row>
    <row r="725" spans="1:2" x14ac:dyDescent="0.25">
      <c r="A725" s="12"/>
      <c r="B725" s="12"/>
    </row>
    <row r="726" spans="1:2" x14ac:dyDescent="0.25">
      <c r="A726" s="12"/>
      <c r="B726" s="12"/>
    </row>
    <row r="727" spans="1:2" x14ac:dyDescent="0.25">
      <c r="A727" s="12"/>
      <c r="B727" s="12"/>
    </row>
    <row r="728" spans="1:2" x14ac:dyDescent="0.25">
      <c r="A728" s="12"/>
      <c r="B728" s="12"/>
    </row>
    <row r="729" spans="1:2" x14ac:dyDescent="0.25">
      <c r="A729" s="12"/>
      <c r="B729" s="12"/>
    </row>
    <row r="730" spans="1:2" x14ac:dyDescent="0.25">
      <c r="A730" s="12"/>
      <c r="B730" s="12"/>
    </row>
    <row r="731" spans="1:2" x14ac:dyDescent="0.25">
      <c r="A731" s="12"/>
      <c r="B731" s="12"/>
    </row>
    <row r="732" spans="1:2" x14ac:dyDescent="0.25">
      <c r="A732" s="12"/>
      <c r="B732" s="12"/>
    </row>
    <row r="733" spans="1:2" x14ac:dyDescent="0.25">
      <c r="A733" s="12"/>
      <c r="B733" s="12"/>
    </row>
    <row r="734" spans="1:2" x14ac:dyDescent="0.25">
      <c r="A734" s="12"/>
      <c r="B734" s="12"/>
    </row>
    <row r="735" spans="1:2" x14ac:dyDescent="0.25">
      <c r="A735" s="12"/>
      <c r="B735" s="12"/>
    </row>
    <row r="736" spans="1:2" x14ac:dyDescent="0.25">
      <c r="A736" s="12"/>
      <c r="B736" s="12"/>
    </row>
    <row r="737" spans="1:2" x14ac:dyDescent="0.25">
      <c r="A737" s="12"/>
      <c r="B737" s="12"/>
    </row>
    <row r="738" spans="1:2" x14ac:dyDescent="0.25">
      <c r="A738" s="12"/>
      <c r="B738" s="12"/>
    </row>
    <row r="739" spans="1:2" x14ac:dyDescent="0.25">
      <c r="A739" s="12"/>
      <c r="B739" s="12"/>
    </row>
    <row r="740" spans="1:2" x14ac:dyDescent="0.25">
      <c r="A740" s="12"/>
      <c r="B740" s="12"/>
    </row>
    <row r="741" spans="1:2" x14ac:dyDescent="0.25">
      <c r="A741" s="12"/>
      <c r="B741" s="12"/>
    </row>
    <row r="742" spans="1:2" x14ac:dyDescent="0.25">
      <c r="A742" s="12"/>
      <c r="B742" s="12"/>
    </row>
    <row r="743" spans="1:2" x14ac:dyDescent="0.25">
      <c r="A743" s="12"/>
      <c r="B743" s="12"/>
    </row>
    <row r="744" spans="1:2" x14ac:dyDescent="0.25">
      <c r="A744" s="12"/>
      <c r="B744" s="12"/>
    </row>
    <row r="745" spans="1:2" x14ac:dyDescent="0.25">
      <c r="A745" s="12"/>
      <c r="B745" s="12"/>
    </row>
    <row r="746" spans="1:2" x14ac:dyDescent="0.25">
      <c r="A746" s="12"/>
      <c r="B746" s="12"/>
    </row>
    <row r="747" spans="1:2" x14ac:dyDescent="0.25">
      <c r="A747" s="12"/>
      <c r="B747" s="12"/>
    </row>
    <row r="748" spans="1:2" x14ac:dyDescent="0.25">
      <c r="A748" s="12"/>
      <c r="B748" s="12"/>
    </row>
    <row r="749" spans="1:2" x14ac:dyDescent="0.25">
      <c r="A749" s="12"/>
      <c r="B749" s="12"/>
    </row>
    <row r="750" spans="1:2" x14ac:dyDescent="0.25">
      <c r="A750" s="12"/>
      <c r="B750" s="12"/>
    </row>
    <row r="751" spans="1:2" x14ac:dyDescent="0.25">
      <c r="A751" s="12"/>
      <c r="B751" s="12"/>
    </row>
    <row r="752" spans="1:2" x14ac:dyDescent="0.25">
      <c r="A752" s="12"/>
      <c r="B752" s="12"/>
    </row>
    <row r="753" spans="1:2" x14ac:dyDescent="0.25">
      <c r="A753" s="12"/>
      <c r="B753" s="12"/>
    </row>
    <row r="754" spans="1:2" x14ac:dyDescent="0.25">
      <c r="A754" s="12"/>
      <c r="B754" s="12"/>
    </row>
    <row r="755" spans="1:2" x14ac:dyDescent="0.25">
      <c r="A755" s="12"/>
      <c r="B755" s="12"/>
    </row>
    <row r="756" spans="1:2" x14ac:dyDescent="0.25">
      <c r="A756" s="12"/>
      <c r="B756" s="12"/>
    </row>
    <row r="757" spans="1:2" x14ac:dyDescent="0.25">
      <c r="A757" s="12"/>
      <c r="B757" s="12"/>
    </row>
    <row r="758" spans="1:2" x14ac:dyDescent="0.25">
      <c r="A758" s="12"/>
      <c r="B758" s="12"/>
    </row>
    <row r="759" spans="1:2" x14ac:dyDescent="0.25">
      <c r="A759" s="12"/>
      <c r="B759" s="12"/>
    </row>
    <row r="760" spans="1:2" x14ac:dyDescent="0.25">
      <c r="A760" s="12"/>
      <c r="B760" s="12"/>
    </row>
    <row r="761" spans="1:2" x14ac:dyDescent="0.25">
      <c r="A761" s="12"/>
      <c r="B761" s="12"/>
    </row>
    <row r="762" spans="1:2" x14ac:dyDescent="0.25">
      <c r="A762" s="12"/>
      <c r="B762" s="12"/>
    </row>
    <row r="763" spans="1:2" x14ac:dyDescent="0.25">
      <c r="A763" s="12"/>
      <c r="B763" s="12"/>
    </row>
    <row r="764" spans="1:2" x14ac:dyDescent="0.25">
      <c r="A764" s="12"/>
      <c r="B764" s="12"/>
    </row>
    <row r="765" spans="1:2" x14ac:dyDescent="0.25">
      <c r="A765" s="12"/>
      <c r="B765" s="12"/>
    </row>
    <row r="766" spans="1:2" x14ac:dyDescent="0.25">
      <c r="A766" s="12"/>
      <c r="B766" s="12"/>
    </row>
    <row r="767" spans="1:2" x14ac:dyDescent="0.25">
      <c r="A767" s="12"/>
      <c r="B767" s="12"/>
    </row>
    <row r="768" spans="1:2" x14ac:dyDescent="0.25">
      <c r="A768" s="12"/>
      <c r="B768" s="12"/>
    </row>
    <row r="769" spans="1:2" x14ac:dyDescent="0.25">
      <c r="A769" s="12"/>
      <c r="B769" s="12"/>
    </row>
    <row r="770" spans="1:2" x14ac:dyDescent="0.25">
      <c r="A770" s="12"/>
      <c r="B770" s="12"/>
    </row>
    <row r="771" spans="1:2" x14ac:dyDescent="0.25">
      <c r="A771" s="12"/>
      <c r="B771" s="12"/>
    </row>
    <row r="772" spans="1:2" x14ac:dyDescent="0.25">
      <c r="A772" s="12"/>
      <c r="B772" s="12"/>
    </row>
    <row r="773" spans="1:2" x14ac:dyDescent="0.25">
      <c r="A773" s="12"/>
      <c r="B773" s="12"/>
    </row>
    <row r="774" spans="1:2" x14ac:dyDescent="0.25">
      <c r="A774" s="12"/>
      <c r="B774" s="12"/>
    </row>
    <row r="775" spans="1:2" x14ac:dyDescent="0.25">
      <c r="A775" s="12"/>
      <c r="B775" s="12"/>
    </row>
    <row r="776" spans="1:2" x14ac:dyDescent="0.25">
      <c r="A776" s="12"/>
      <c r="B776" s="12"/>
    </row>
    <row r="777" spans="1:2" x14ac:dyDescent="0.25">
      <c r="A777" s="12"/>
      <c r="B777" s="12"/>
    </row>
    <row r="778" spans="1:2" x14ac:dyDescent="0.25">
      <c r="A778" s="12"/>
      <c r="B778" s="12"/>
    </row>
    <row r="779" spans="1:2" x14ac:dyDescent="0.25">
      <c r="A779" s="12"/>
      <c r="B779" s="12"/>
    </row>
    <row r="780" spans="1:2" x14ac:dyDescent="0.25">
      <c r="A780" s="12"/>
      <c r="B780" s="12"/>
    </row>
    <row r="781" spans="1:2" x14ac:dyDescent="0.25">
      <c r="A781" s="12"/>
      <c r="B781" s="12"/>
    </row>
    <row r="782" spans="1:2" x14ac:dyDescent="0.25">
      <c r="A782" s="12"/>
      <c r="B782" s="12"/>
    </row>
    <row r="783" spans="1:2" x14ac:dyDescent="0.25">
      <c r="A783" s="12"/>
      <c r="B783" s="12"/>
    </row>
    <row r="784" spans="1:2" x14ac:dyDescent="0.25">
      <c r="A784" s="12"/>
      <c r="B784" s="12"/>
    </row>
    <row r="785" spans="1:2" x14ac:dyDescent="0.25">
      <c r="A785" s="12"/>
      <c r="B785" s="12"/>
    </row>
    <row r="786" spans="1:2" x14ac:dyDescent="0.25">
      <c r="A786" s="12"/>
      <c r="B786" s="12"/>
    </row>
    <row r="787" spans="1:2" x14ac:dyDescent="0.25">
      <c r="A787" s="12"/>
      <c r="B787" s="12"/>
    </row>
    <row r="788" spans="1:2" x14ac:dyDescent="0.25">
      <c r="A788" s="12"/>
      <c r="B788" s="12"/>
    </row>
    <row r="789" spans="1:2" x14ac:dyDescent="0.25">
      <c r="A789" s="12"/>
      <c r="B789" s="12"/>
    </row>
    <row r="790" spans="1:2" x14ac:dyDescent="0.25">
      <c r="A790" s="12"/>
      <c r="B790" s="12"/>
    </row>
    <row r="791" spans="1:2" x14ac:dyDescent="0.25">
      <c r="A791" s="12"/>
      <c r="B791" s="12"/>
    </row>
    <row r="792" spans="1:2" x14ac:dyDescent="0.25">
      <c r="A792" s="12"/>
      <c r="B792" s="12"/>
    </row>
    <row r="793" spans="1:2" x14ac:dyDescent="0.25">
      <c r="A793" s="12"/>
      <c r="B793" s="12"/>
    </row>
  </sheetData>
  <sheetProtection algorithmName="SHA-512" hashValue="px2frwAkTMKG26aQ5982A5F59vwo78Xux1Euq/ENCVmrTWy5M3ByxTlet7nA2jObwrKVJGj3GTu43xvBvRnNtA==" saltValue="98n2sLFYnYkYw9mPKNWtyw==" spinCount="100000" sheet="1" objects="1" scenarios="1"/>
  <conditionalFormatting sqref="A6">
    <cfRule type="expression" priority="7" stopIfTrue="1">
      <formula>MOD(ROW(),2)=0</formula>
    </cfRule>
    <cfRule type="expression" priority="8" stopIfTrue="1">
      <formula>MOD(ROW(),2)&lt;&gt;0</formula>
    </cfRule>
  </conditionalFormatting>
  <conditionalFormatting sqref="A8:B55">
    <cfRule type="expression" dxfId="1005" priority="1" stopIfTrue="1">
      <formula>MOD(ROW(),2)=0</formula>
    </cfRule>
    <cfRule type="expression" dxfId="100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H46"/>
  <sheetViews>
    <sheetView showGridLines="0" zoomScale="85" zoomScaleNormal="85" workbookViewId="0">
      <selection activeCell="A4" sqref="A4"/>
    </sheetView>
  </sheetViews>
  <sheetFormatPr defaultColWidth="10" defaultRowHeight="13.2" x14ac:dyDescent="0.25"/>
  <cols>
    <col min="1" max="1" width="31.77734375" style="27" customWidth="1"/>
    <col min="2" max="6" width="22.77734375" style="27" customWidth="1"/>
    <col min="7"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TABLE_FACTOR_TYPE_1&amp;" - x-"&amp;TABLE_SERIES_NUMBER_1</f>
        <v>Scheme pays AA - x-616</v>
      </c>
      <c r="B3" s="43"/>
      <c r="C3" s="43"/>
      <c r="D3" s="43"/>
      <c r="E3" s="43"/>
      <c r="F3" s="43"/>
      <c r="G3" s="43"/>
      <c r="H3" s="43"/>
    </row>
    <row r="4" spans="1:8" x14ac:dyDescent="0.25">
      <c r="A4" s="45"/>
    </row>
    <row r="6" spans="1:8" x14ac:dyDescent="0.25">
      <c r="A6" s="77" t="s">
        <v>558</v>
      </c>
      <c r="B6" s="152" t="s">
        <v>559</v>
      </c>
      <c r="C6" s="152"/>
      <c r="D6" s="152"/>
      <c r="E6" s="152"/>
      <c r="F6" s="152"/>
    </row>
    <row r="7" spans="1:8" x14ac:dyDescent="0.25">
      <c r="A7" s="79" t="s">
        <v>305</v>
      </c>
      <c r="B7" s="152" t="s">
        <v>319</v>
      </c>
      <c r="C7" s="152"/>
      <c r="D7" s="152"/>
      <c r="E7" s="152"/>
      <c r="F7" s="152"/>
    </row>
    <row r="8" spans="1:8" x14ac:dyDescent="0.25">
      <c r="A8" s="79" t="s">
        <v>306</v>
      </c>
      <c r="B8" s="152">
        <v>2007</v>
      </c>
      <c r="C8" s="152"/>
      <c r="D8" s="152"/>
      <c r="E8" s="152"/>
      <c r="F8" s="152"/>
    </row>
    <row r="9" spans="1:8" x14ac:dyDescent="0.25">
      <c r="A9" s="79" t="s">
        <v>307</v>
      </c>
      <c r="B9" s="152" t="s">
        <v>481</v>
      </c>
      <c r="C9" s="152"/>
      <c r="D9" s="152"/>
      <c r="E9" s="152"/>
      <c r="F9" s="152"/>
    </row>
    <row r="10" spans="1:8" x14ac:dyDescent="0.25">
      <c r="A10" s="79" t="s">
        <v>233</v>
      </c>
      <c r="B10" s="152" t="s">
        <v>511</v>
      </c>
      <c r="C10" s="152"/>
      <c r="D10" s="152"/>
      <c r="E10" s="152"/>
      <c r="F10" s="152"/>
    </row>
    <row r="11" spans="1:8" x14ac:dyDescent="0.25">
      <c r="A11" s="79" t="s">
        <v>308</v>
      </c>
      <c r="B11" s="152" t="s">
        <v>404</v>
      </c>
      <c r="C11" s="152"/>
      <c r="D11" s="152"/>
      <c r="E11" s="152"/>
      <c r="F11" s="152"/>
    </row>
    <row r="12" spans="1:8" x14ac:dyDescent="0.25">
      <c r="A12" s="79" t="s">
        <v>309</v>
      </c>
      <c r="B12" s="152" t="s">
        <v>507</v>
      </c>
      <c r="C12" s="152"/>
      <c r="D12" s="152"/>
      <c r="E12" s="152"/>
      <c r="F12" s="152"/>
    </row>
    <row r="13" spans="1:8" x14ac:dyDescent="0.25">
      <c r="A13" s="79" t="s">
        <v>566</v>
      </c>
      <c r="B13" s="152">
        <v>1</v>
      </c>
      <c r="C13" s="152"/>
      <c r="D13" s="152"/>
      <c r="E13" s="152"/>
      <c r="F13" s="152"/>
    </row>
    <row r="14" spans="1:8" x14ac:dyDescent="0.25">
      <c r="A14" s="79" t="s">
        <v>311</v>
      </c>
      <c r="B14" s="152">
        <v>616</v>
      </c>
      <c r="C14" s="152"/>
      <c r="D14" s="152"/>
      <c r="E14" s="152"/>
      <c r="F14" s="152"/>
    </row>
    <row r="15" spans="1:8" x14ac:dyDescent="0.25">
      <c r="A15" s="79" t="s">
        <v>569</v>
      </c>
      <c r="B15" s="152" t="s">
        <v>512</v>
      </c>
      <c r="C15" s="152"/>
      <c r="D15" s="152"/>
      <c r="E15" s="152"/>
      <c r="F15" s="152"/>
    </row>
    <row r="16" spans="1:8" x14ac:dyDescent="0.25">
      <c r="A16" s="79" t="s">
        <v>313</v>
      </c>
      <c r="B16" s="152" t="s">
        <v>513</v>
      </c>
      <c r="C16" s="152"/>
      <c r="D16" s="152"/>
      <c r="E16" s="152"/>
      <c r="F16" s="152"/>
    </row>
    <row r="17" spans="1:6" x14ac:dyDescent="0.25">
      <c r="A17" s="79" t="s">
        <v>639</v>
      </c>
      <c r="B17" s="152"/>
      <c r="C17" s="152"/>
      <c r="D17" s="152"/>
      <c r="E17" s="152"/>
      <c r="F17" s="152"/>
    </row>
    <row r="18" spans="1:6" x14ac:dyDescent="0.25">
      <c r="A18" s="79" t="s">
        <v>315</v>
      </c>
      <c r="B18" s="154">
        <v>45135</v>
      </c>
      <c r="C18" s="152"/>
      <c r="D18" s="152"/>
      <c r="E18" s="152"/>
      <c r="F18" s="152"/>
    </row>
    <row r="19" spans="1:6" x14ac:dyDescent="0.25">
      <c r="A19" s="79" t="s">
        <v>316</v>
      </c>
      <c r="B19" s="154">
        <v>45135</v>
      </c>
      <c r="C19" s="152"/>
      <c r="D19" s="152"/>
      <c r="E19" s="152"/>
      <c r="F19" s="152"/>
    </row>
    <row r="20" spans="1:6" x14ac:dyDescent="0.25">
      <c r="A20" s="79" t="s">
        <v>317</v>
      </c>
      <c r="B20" s="152" t="s">
        <v>326</v>
      </c>
      <c r="C20" s="152"/>
      <c r="D20" s="152"/>
      <c r="E20" s="152"/>
      <c r="F20" s="152"/>
    </row>
    <row r="21" spans="1:6" x14ac:dyDescent="0.25">
      <c r="A21" s="79" t="s">
        <v>318</v>
      </c>
      <c r="B21" s="152" t="s">
        <v>327</v>
      </c>
      <c r="C21" s="152"/>
      <c r="D21" s="152"/>
      <c r="E21" s="152"/>
      <c r="F21" s="152"/>
    </row>
    <row r="23" spans="1:6" x14ac:dyDescent="0.25">
      <c r="B23" s="96" t="str">
        <f>HYPERLINK("#'Factor List'!A1","Back to Factor List")</f>
        <v>Back to Factor List</v>
      </c>
    </row>
    <row r="24" spans="1:6" x14ac:dyDescent="0.25">
      <c r="B24" s="96" t="str">
        <f>HYPERLINK("#'Assumptions'!A1","Assumptions")</f>
        <v>Assumptions</v>
      </c>
    </row>
    <row r="26" spans="1:6" x14ac:dyDescent="0.25">
      <c r="A26" s="92" t="s">
        <v>664</v>
      </c>
      <c r="B26" s="92">
        <v>55</v>
      </c>
      <c r="C26" s="92">
        <v>56</v>
      </c>
      <c r="D26" s="92">
        <v>57</v>
      </c>
      <c r="E26" s="92">
        <v>58</v>
      </c>
      <c r="F26" s="92">
        <v>59</v>
      </c>
    </row>
    <row r="27" spans="1:6" x14ac:dyDescent="0.25">
      <c r="A27" s="93">
        <v>0</v>
      </c>
      <c r="B27" s="95">
        <v>0.8</v>
      </c>
      <c r="C27" s="95">
        <v>0.83399999999999996</v>
      </c>
      <c r="D27" s="95">
        <v>0.871</v>
      </c>
      <c r="E27" s="95">
        <v>0.91100000000000003</v>
      </c>
      <c r="F27" s="95">
        <v>0.95399999999999996</v>
      </c>
    </row>
    <row r="28" spans="1:6" x14ac:dyDescent="0.25">
      <c r="A28" s="93">
        <v>1</v>
      </c>
      <c r="B28" s="95">
        <v>0.80200000000000005</v>
      </c>
      <c r="C28" s="95">
        <v>0.83699999999999997</v>
      </c>
      <c r="D28" s="95">
        <v>0.874</v>
      </c>
      <c r="E28" s="95">
        <v>0.91400000000000003</v>
      </c>
      <c r="F28" s="95">
        <v>0.95799999999999996</v>
      </c>
    </row>
    <row r="29" spans="1:6" x14ac:dyDescent="0.25">
      <c r="A29" s="93">
        <v>2</v>
      </c>
      <c r="B29" s="95">
        <v>0.80500000000000005</v>
      </c>
      <c r="C29" s="95">
        <v>0.84</v>
      </c>
      <c r="D29" s="95">
        <v>0.878</v>
      </c>
      <c r="E29" s="95">
        <v>0.91800000000000004</v>
      </c>
      <c r="F29" s="95">
        <v>0.96099999999999997</v>
      </c>
    </row>
    <row r="30" spans="1:6" x14ac:dyDescent="0.25">
      <c r="A30" s="93">
        <v>3</v>
      </c>
      <c r="B30" s="95">
        <v>0.80800000000000005</v>
      </c>
      <c r="C30" s="95">
        <v>0.84299999999999997</v>
      </c>
      <c r="D30" s="95">
        <v>0.88100000000000001</v>
      </c>
      <c r="E30" s="95">
        <v>0.92200000000000004</v>
      </c>
      <c r="F30" s="95">
        <v>0.96499999999999997</v>
      </c>
    </row>
    <row r="31" spans="1:6" x14ac:dyDescent="0.25">
      <c r="A31" s="93">
        <v>4</v>
      </c>
      <c r="B31" s="95">
        <v>0.81100000000000005</v>
      </c>
      <c r="C31" s="95">
        <v>0.84599999999999997</v>
      </c>
      <c r="D31" s="95">
        <v>0.88400000000000001</v>
      </c>
      <c r="E31" s="95">
        <v>0.92500000000000004</v>
      </c>
      <c r="F31" s="95">
        <v>0.96899999999999997</v>
      </c>
    </row>
    <row r="32" spans="1:6" x14ac:dyDescent="0.25">
      <c r="A32" s="93">
        <v>5</v>
      </c>
      <c r="B32" s="95">
        <v>0.81399999999999995</v>
      </c>
      <c r="C32" s="95">
        <v>0.84899999999999998</v>
      </c>
      <c r="D32" s="95">
        <v>0.88800000000000001</v>
      </c>
      <c r="E32" s="95">
        <v>0.92900000000000005</v>
      </c>
      <c r="F32" s="95">
        <v>0.97299999999999998</v>
      </c>
    </row>
    <row r="33" spans="1:6" x14ac:dyDescent="0.25">
      <c r="A33" s="93">
        <v>6</v>
      </c>
      <c r="B33" s="95">
        <v>0.81699999999999995</v>
      </c>
      <c r="C33" s="95">
        <v>0.85299999999999998</v>
      </c>
      <c r="D33" s="95">
        <v>0.89100000000000001</v>
      </c>
      <c r="E33" s="95">
        <v>0.93200000000000005</v>
      </c>
      <c r="F33" s="95">
        <v>0.97699999999999998</v>
      </c>
    </row>
    <row r="34" spans="1:6" x14ac:dyDescent="0.25">
      <c r="A34" s="93">
        <v>7</v>
      </c>
      <c r="B34" s="95">
        <v>0.82</v>
      </c>
      <c r="C34" s="95">
        <v>0.85599999999999998</v>
      </c>
      <c r="D34" s="95">
        <v>0.89400000000000002</v>
      </c>
      <c r="E34" s="95">
        <v>0.93600000000000005</v>
      </c>
      <c r="F34" s="95">
        <v>0.98099999999999998</v>
      </c>
    </row>
    <row r="35" spans="1:6" x14ac:dyDescent="0.25">
      <c r="A35" s="93">
        <v>8</v>
      </c>
      <c r="B35" s="95">
        <v>0.82299999999999995</v>
      </c>
      <c r="C35" s="95">
        <v>0.85899999999999999</v>
      </c>
      <c r="D35" s="95">
        <v>0.89800000000000002</v>
      </c>
      <c r="E35" s="95">
        <v>0.93899999999999995</v>
      </c>
      <c r="F35" s="95">
        <v>0.98499999999999999</v>
      </c>
    </row>
    <row r="36" spans="1:6" x14ac:dyDescent="0.25">
      <c r="A36" s="93">
        <v>9</v>
      </c>
      <c r="B36" s="95">
        <v>0.82499999999999996</v>
      </c>
      <c r="C36" s="95">
        <v>0.86199999999999999</v>
      </c>
      <c r="D36" s="95">
        <v>0.90100000000000002</v>
      </c>
      <c r="E36" s="95">
        <v>0.94299999999999995</v>
      </c>
      <c r="F36" s="95">
        <v>0.98799999999999999</v>
      </c>
    </row>
    <row r="37" spans="1:6" x14ac:dyDescent="0.25">
      <c r="A37" s="93">
        <v>10</v>
      </c>
      <c r="B37" s="95">
        <v>0.82799999999999996</v>
      </c>
      <c r="C37" s="95">
        <v>0.86499999999999999</v>
      </c>
      <c r="D37" s="95">
        <v>0.90400000000000003</v>
      </c>
      <c r="E37" s="95">
        <v>0.94699999999999995</v>
      </c>
      <c r="F37" s="95">
        <v>0.99199999999999999</v>
      </c>
    </row>
    <row r="38" spans="1:6" x14ac:dyDescent="0.25">
      <c r="A38" s="93">
        <v>11</v>
      </c>
      <c r="B38" s="95">
        <v>0.83099999999999996</v>
      </c>
      <c r="C38" s="95">
        <v>0.86799999999999999</v>
      </c>
      <c r="D38" s="95">
        <v>0.90800000000000003</v>
      </c>
      <c r="E38" s="95">
        <v>0.95</v>
      </c>
      <c r="F38" s="95">
        <v>0.996</v>
      </c>
    </row>
    <row r="44" spans="1:6" ht="39.6" customHeight="1" x14ac:dyDescent="0.25"/>
    <row r="46" spans="1:6" ht="27.6" customHeight="1" x14ac:dyDescent="0.25"/>
  </sheetData>
  <sheetProtection algorithmName="SHA-512" hashValue="A39sw0210GcUtHPysNoPgswUQO9vPYSSIttp4Wkwadp57CHChTxqJOk+XeiRKmTfoXESLKS9FFKlQNGo7Mzwxg==" saltValue="brnzltwvqnBbQmyRpXgQ+A==" spinCount="100000" sheet="1" objects="1" scenarios="1"/>
  <conditionalFormatting sqref="A6:A21">
    <cfRule type="expression" dxfId="167" priority="11" stopIfTrue="1">
      <formula>MOD(ROW(),2)=0</formula>
    </cfRule>
    <cfRule type="expression" dxfId="166" priority="12" stopIfTrue="1">
      <formula>MOD(ROW(),2)&lt;&gt;0</formula>
    </cfRule>
  </conditionalFormatting>
  <conditionalFormatting sqref="A26:A38">
    <cfRule type="expression" dxfId="165" priority="3" stopIfTrue="1">
      <formula>MOD(ROW(),2)=0</formula>
    </cfRule>
    <cfRule type="expression" dxfId="164" priority="4" stopIfTrue="1">
      <formula>MOD(ROW(),2)&lt;&gt;0</formula>
    </cfRule>
  </conditionalFormatting>
  <conditionalFormatting sqref="B17:B21">
    <cfRule type="expression" dxfId="163" priority="1" stopIfTrue="1">
      <formula>MOD(ROW(),2)=0</formula>
    </cfRule>
    <cfRule type="expression" dxfId="162" priority="2" stopIfTrue="1">
      <formula>MOD(ROW(),2)&lt;&gt;0</formula>
    </cfRule>
  </conditionalFormatting>
  <conditionalFormatting sqref="B6:F21">
    <cfRule type="expression" dxfId="161" priority="21" stopIfTrue="1">
      <formula>MOD(ROW(),2)=0</formula>
    </cfRule>
    <cfRule type="expression" dxfId="160" priority="22" stopIfTrue="1">
      <formula>MOD(ROW(),2)&lt;&gt;0</formula>
    </cfRule>
  </conditionalFormatting>
  <conditionalFormatting sqref="B26:F38">
    <cfRule type="expression" dxfId="159" priority="5" stopIfTrue="1">
      <formula>MOD(ROW(),2)=0</formula>
    </cfRule>
    <cfRule type="expression" dxfId="15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K46"/>
  <sheetViews>
    <sheetView showGridLines="0" zoomScale="85" zoomScaleNormal="85" workbookViewId="0">
      <selection activeCell="A4" sqref="A4"/>
    </sheetView>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TABLE_FACTOR_TYPE_1&amp;" - x-"&amp;TABLE_SERIES_NUMBER_1</f>
        <v>Scheme pays AA - x-617</v>
      </c>
      <c r="B3" s="43"/>
      <c r="C3" s="43"/>
      <c r="D3" s="43"/>
      <c r="E3" s="43"/>
      <c r="F3" s="43"/>
      <c r="G3" s="43"/>
      <c r="H3" s="43"/>
      <c r="I3" s="43"/>
    </row>
    <row r="4" spans="1:11" x14ac:dyDescent="0.25">
      <c r="A4" s="45"/>
    </row>
    <row r="6" spans="1:11" x14ac:dyDescent="0.25">
      <c r="A6" s="77" t="s">
        <v>558</v>
      </c>
      <c r="B6" s="152" t="s">
        <v>559</v>
      </c>
      <c r="C6" s="152"/>
      <c r="D6" s="152"/>
      <c r="E6" s="152"/>
      <c r="F6" s="152"/>
      <c r="G6" s="152"/>
      <c r="H6" s="152"/>
      <c r="I6" s="152"/>
      <c r="J6" s="152"/>
      <c r="K6" s="152"/>
    </row>
    <row r="7" spans="1:11" x14ac:dyDescent="0.25">
      <c r="A7" s="79" t="s">
        <v>305</v>
      </c>
      <c r="B7" s="152" t="s">
        <v>319</v>
      </c>
      <c r="C7" s="152"/>
      <c r="D7" s="152"/>
      <c r="E7" s="152"/>
      <c r="F7" s="152"/>
      <c r="G7" s="152"/>
      <c r="H7" s="152"/>
      <c r="I7" s="152"/>
      <c r="J7" s="152"/>
      <c r="K7" s="152"/>
    </row>
    <row r="8" spans="1:11" x14ac:dyDescent="0.25">
      <c r="A8" s="79" t="s">
        <v>306</v>
      </c>
      <c r="B8" s="152">
        <v>2007</v>
      </c>
      <c r="C8" s="152"/>
      <c r="D8" s="152"/>
      <c r="E8" s="152"/>
      <c r="F8" s="152"/>
      <c r="G8" s="152"/>
      <c r="H8" s="152"/>
      <c r="I8" s="152"/>
      <c r="J8" s="152"/>
      <c r="K8" s="152"/>
    </row>
    <row r="9" spans="1:11" x14ac:dyDescent="0.25">
      <c r="A9" s="79" t="s">
        <v>307</v>
      </c>
      <c r="B9" s="152" t="s">
        <v>481</v>
      </c>
      <c r="C9" s="152"/>
      <c r="D9" s="152"/>
      <c r="E9" s="152"/>
      <c r="F9" s="152"/>
      <c r="G9" s="152"/>
      <c r="H9" s="152"/>
      <c r="I9" s="152"/>
      <c r="J9" s="152"/>
      <c r="K9" s="152"/>
    </row>
    <row r="10" spans="1:11" x14ac:dyDescent="0.25">
      <c r="A10" s="79" t="s">
        <v>233</v>
      </c>
      <c r="B10" s="152" t="s">
        <v>514</v>
      </c>
      <c r="C10" s="152"/>
      <c r="D10" s="152"/>
      <c r="E10" s="152"/>
      <c r="F10" s="152"/>
      <c r="G10" s="152"/>
      <c r="H10" s="152"/>
      <c r="I10" s="152"/>
      <c r="J10" s="152"/>
      <c r="K10" s="152"/>
    </row>
    <row r="11" spans="1:11" x14ac:dyDescent="0.25">
      <c r="A11" s="79" t="s">
        <v>308</v>
      </c>
      <c r="B11" s="152" t="s">
        <v>404</v>
      </c>
      <c r="C11" s="152"/>
      <c r="D11" s="152"/>
      <c r="E11" s="152"/>
      <c r="F11" s="152"/>
      <c r="G11" s="152"/>
      <c r="H11" s="152"/>
      <c r="I11" s="152"/>
      <c r="J11" s="152"/>
      <c r="K11" s="152"/>
    </row>
    <row r="12" spans="1:11" x14ac:dyDescent="0.25">
      <c r="A12" s="79" t="s">
        <v>309</v>
      </c>
      <c r="B12" s="152" t="s">
        <v>507</v>
      </c>
      <c r="C12" s="152"/>
      <c r="D12" s="152"/>
      <c r="E12" s="152"/>
      <c r="F12" s="152"/>
      <c r="G12" s="152"/>
      <c r="H12" s="152"/>
      <c r="I12" s="152"/>
      <c r="J12" s="152"/>
      <c r="K12" s="152"/>
    </row>
    <row r="13" spans="1:11" x14ac:dyDescent="0.25">
      <c r="A13" s="79" t="s">
        <v>566</v>
      </c>
      <c r="B13" s="152">
        <v>1</v>
      </c>
      <c r="C13" s="152"/>
      <c r="D13" s="152"/>
      <c r="E13" s="152"/>
      <c r="F13" s="152"/>
      <c r="G13" s="152"/>
      <c r="H13" s="152"/>
      <c r="I13" s="152"/>
      <c r="J13" s="152"/>
      <c r="K13" s="152"/>
    </row>
    <row r="14" spans="1:11" x14ac:dyDescent="0.25">
      <c r="A14" s="79" t="s">
        <v>311</v>
      </c>
      <c r="B14" s="152">
        <v>617</v>
      </c>
      <c r="C14" s="152"/>
      <c r="D14" s="152"/>
      <c r="E14" s="152"/>
      <c r="F14" s="152"/>
      <c r="G14" s="152"/>
      <c r="H14" s="152"/>
      <c r="I14" s="152"/>
      <c r="J14" s="152"/>
      <c r="K14" s="152"/>
    </row>
    <row r="15" spans="1:11" x14ac:dyDescent="0.25">
      <c r="A15" s="79" t="s">
        <v>569</v>
      </c>
      <c r="B15" s="152" t="s">
        <v>515</v>
      </c>
      <c r="C15" s="152"/>
      <c r="D15" s="152"/>
      <c r="E15" s="152"/>
      <c r="F15" s="152"/>
      <c r="G15" s="152"/>
      <c r="H15" s="152"/>
      <c r="I15" s="152"/>
      <c r="J15" s="152"/>
      <c r="K15" s="152"/>
    </row>
    <row r="16" spans="1:11" x14ac:dyDescent="0.25">
      <c r="A16" s="79" t="s">
        <v>313</v>
      </c>
      <c r="B16" s="152" t="s">
        <v>516</v>
      </c>
      <c r="C16" s="152"/>
      <c r="D16" s="152"/>
      <c r="E16" s="152"/>
      <c r="F16" s="152"/>
      <c r="G16" s="152"/>
      <c r="H16" s="152"/>
      <c r="I16" s="152"/>
      <c r="J16" s="152"/>
      <c r="K16" s="152"/>
    </row>
    <row r="17" spans="1:11" x14ac:dyDescent="0.25">
      <c r="A17" s="79" t="s">
        <v>639</v>
      </c>
      <c r="B17" s="152"/>
      <c r="C17" s="152"/>
      <c r="D17" s="152"/>
      <c r="E17" s="152"/>
      <c r="F17" s="152"/>
      <c r="G17" s="152"/>
      <c r="H17" s="152"/>
      <c r="I17" s="152"/>
      <c r="J17" s="152"/>
      <c r="K17" s="152"/>
    </row>
    <row r="18" spans="1:11" x14ac:dyDescent="0.25">
      <c r="A18" s="79" t="s">
        <v>315</v>
      </c>
      <c r="B18" s="154">
        <v>45135</v>
      </c>
      <c r="C18" s="152"/>
      <c r="D18" s="152"/>
      <c r="E18" s="152"/>
      <c r="F18" s="152"/>
      <c r="G18" s="152"/>
      <c r="H18" s="152"/>
      <c r="I18" s="152"/>
      <c r="J18" s="152"/>
      <c r="K18" s="152"/>
    </row>
    <row r="19" spans="1:11" x14ac:dyDescent="0.25">
      <c r="A19" s="79" t="s">
        <v>316</v>
      </c>
      <c r="B19" s="154">
        <v>45135</v>
      </c>
      <c r="C19" s="152"/>
      <c r="D19" s="152"/>
      <c r="E19" s="152"/>
      <c r="F19" s="152"/>
      <c r="G19" s="152"/>
      <c r="H19" s="152"/>
      <c r="I19" s="152"/>
      <c r="J19" s="152"/>
      <c r="K19" s="152"/>
    </row>
    <row r="20" spans="1:11" x14ac:dyDescent="0.25">
      <c r="A20" s="79" t="s">
        <v>317</v>
      </c>
      <c r="B20" s="152" t="s">
        <v>326</v>
      </c>
      <c r="C20" s="152"/>
      <c r="D20" s="152"/>
      <c r="E20" s="152"/>
      <c r="F20" s="152"/>
      <c r="G20" s="152"/>
      <c r="H20" s="152"/>
      <c r="I20" s="152"/>
      <c r="J20" s="152"/>
      <c r="K20" s="152"/>
    </row>
    <row r="21" spans="1:11" x14ac:dyDescent="0.25">
      <c r="A21" s="79" t="s">
        <v>318</v>
      </c>
      <c r="B21" s="152" t="s">
        <v>327</v>
      </c>
      <c r="C21" s="152"/>
      <c r="D21" s="152"/>
      <c r="E21" s="152"/>
      <c r="F21" s="152"/>
      <c r="G21" s="152"/>
      <c r="H21" s="152"/>
      <c r="I21" s="152"/>
      <c r="J21" s="152"/>
      <c r="K21" s="152"/>
    </row>
    <row r="23" spans="1:11" x14ac:dyDescent="0.25">
      <c r="B23" s="96" t="str">
        <f>HYPERLINK("#'Factor List'!A1","Back to Factor List")</f>
        <v>Back to Factor List</v>
      </c>
    </row>
    <row r="24" spans="1:11" x14ac:dyDescent="0.25">
      <c r="B24" s="96" t="str">
        <f>HYPERLINK("#'Assumptions'!A1","Assumptions")</f>
        <v>Assumptions</v>
      </c>
    </row>
    <row r="26" spans="1:11" x14ac:dyDescent="0.25">
      <c r="A26" s="92" t="s">
        <v>664</v>
      </c>
      <c r="B26" s="92">
        <v>60</v>
      </c>
      <c r="C26" s="92">
        <v>61</v>
      </c>
      <c r="D26" s="92">
        <v>62</v>
      </c>
      <c r="E26" s="92">
        <v>63</v>
      </c>
      <c r="F26" s="92">
        <v>64</v>
      </c>
      <c r="G26" s="92">
        <v>65</v>
      </c>
      <c r="H26" s="92">
        <v>66</v>
      </c>
      <c r="I26" s="92">
        <v>67</v>
      </c>
      <c r="J26" s="92">
        <v>68</v>
      </c>
      <c r="K26" s="92">
        <v>69</v>
      </c>
    </row>
    <row r="27" spans="1:11" x14ac:dyDescent="0.25">
      <c r="A27" s="93">
        <v>0</v>
      </c>
      <c r="B27" s="95">
        <v>1</v>
      </c>
      <c r="C27" s="95">
        <v>1.05</v>
      </c>
      <c r="D27" s="95">
        <v>1.105</v>
      </c>
      <c r="E27" s="95">
        <v>1.1639999999999999</v>
      </c>
      <c r="F27" s="95">
        <v>1.228</v>
      </c>
      <c r="G27" s="95">
        <v>1.298</v>
      </c>
      <c r="H27" s="95">
        <v>1.3740000000000001</v>
      </c>
      <c r="I27" s="95">
        <v>1.4570000000000001</v>
      </c>
      <c r="J27" s="95">
        <v>1.548</v>
      </c>
      <c r="K27" s="95">
        <v>1.6479999999999999</v>
      </c>
    </row>
    <row r="28" spans="1:11" x14ac:dyDescent="0.25">
      <c r="A28" s="93">
        <v>1</v>
      </c>
      <c r="B28" s="95">
        <v>1.004</v>
      </c>
      <c r="C28" s="95">
        <v>1.0549999999999999</v>
      </c>
      <c r="D28" s="95">
        <v>1.1100000000000001</v>
      </c>
      <c r="E28" s="95">
        <v>1.169</v>
      </c>
      <c r="F28" s="95">
        <v>1.234</v>
      </c>
      <c r="G28" s="95">
        <v>1.304</v>
      </c>
      <c r="H28" s="95">
        <v>1.381</v>
      </c>
      <c r="I28" s="95">
        <v>1.4650000000000001</v>
      </c>
      <c r="J28" s="95">
        <v>1.5569999999999999</v>
      </c>
      <c r="K28" s="95">
        <v>1.6579999999999999</v>
      </c>
    </row>
    <row r="29" spans="1:11" x14ac:dyDescent="0.25">
      <c r="A29" s="93">
        <v>2</v>
      </c>
      <c r="B29" s="95">
        <v>1.008</v>
      </c>
      <c r="C29" s="95">
        <v>1.0589999999999999</v>
      </c>
      <c r="D29" s="95">
        <v>1.115</v>
      </c>
      <c r="E29" s="95">
        <v>1.175</v>
      </c>
      <c r="F29" s="95">
        <v>1.24</v>
      </c>
      <c r="G29" s="95">
        <v>1.3109999999999999</v>
      </c>
      <c r="H29" s="95">
        <v>1.3879999999999999</v>
      </c>
      <c r="I29" s="95">
        <v>1.472</v>
      </c>
      <c r="J29" s="95">
        <v>1.5649999999999999</v>
      </c>
      <c r="K29" s="95">
        <v>1.667</v>
      </c>
    </row>
    <row r="30" spans="1:11" x14ac:dyDescent="0.25">
      <c r="A30" s="93">
        <v>3</v>
      </c>
      <c r="B30" s="95">
        <v>1.0129999999999999</v>
      </c>
      <c r="C30" s="95">
        <v>1.0640000000000001</v>
      </c>
      <c r="D30" s="95">
        <v>1.1200000000000001</v>
      </c>
      <c r="E30" s="95">
        <v>1.18</v>
      </c>
      <c r="F30" s="95">
        <v>1.2450000000000001</v>
      </c>
      <c r="G30" s="95">
        <v>1.3169999999999999</v>
      </c>
      <c r="H30" s="95">
        <v>1.395</v>
      </c>
      <c r="I30" s="95">
        <v>1.48</v>
      </c>
      <c r="J30" s="95">
        <v>1.573</v>
      </c>
      <c r="K30" s="95">
        <v>1.6759999999999999</v>
      </c>
    </row>
    <row r="31" spans="1:11" x14ac:dyDescent="0.25">
      <c r="A31" s="93">
        <v>4</v>
      </c>
      <c r="B31" s="95">
        <v>1.0169999999999999</v>
      </c>
      <c r="C31" s="95">
        <v>1.0680000000000001</v>
      </c>
      <c r="D31" s="95">
        <v>1.1240000000000001</v>
      </c>
      <c r="E31" s="95">
        <v>1.1850000000000001</v>
      </c>
      <c r="F31" s="95">
        <v>1.2509999999999999</v>
      </c>
      <c r="G31" s="95">
        <v>1.323</v>
      </c>
      <c r="H31" s="95">
        <v>1.4019999999999999</v>
      </c>
      <c r="I31" s="95">
        <v>1.4870000000000001</v>
      </c>
      <c r="J31" s="95">
        <v>1.5820000000000001</v>
      </c>
      <c r="K31" s="95">
        <v>1.6850000000000001</v>
      </c>
    </row>
    <row r="32" spans="1:11" x14ac:dyDescent="0.25">
      <c r="A32" s="93">
        <v>5</v>
      </c>
      <c r="B32" s="95">
        <v>1.0209999999999999</v>
      </c>
      <c r="C32" s="95">
        <v>1.073</v>
      </c>
      <c r="D32" s="95">
        <v>1.129</v>
      </c>
      <c r="E32" s="95">
        <v>1.1910000000000001</v>
      </c>
      <c r="F32" s="95">
        <v>1.2569999999999999</v>
      </c>
      <c r="G32" s="95">
        <v>1.33</v>
      </c>
      <c r="H32" s="95">
        <v>1.409</v>
      </c>
      <c r="I32" s="95">
        <v>1.4950000000000001</v>
      </c>
      <c r="J32" s="95">
        <v>1.59</v>
      </c>
      <c r="K32" s="95">
        <v>1.694</v>
      </c>
    </row>
    <row r="33" spans="1:11" x14ac:dyDescent="0.25">
      <c r="A33" s="93">
        <v>6</v>
      </c>
      <c r="B33" s="95">
        <v>1.0249999999999999</v>
      </c>
      <c r="C33" s="95">
        <v>1.0780000000000001</v>
      </c>
      <c r="D33" s="95">
        <v>1.1339999999999999</v>
      </c>
      <c r="E33" s="95">
        <v>1.196</v>
      </c>
      <c r="F33" s="95">
        <v>1.2629999999999999</v>
      </c>
      <c r="G33" s="95">
        <v>1.3360000000000001</v>
      </c>
      <c r="H33" s="95">
        <v>1.4159999999999999</v>
      </c>
      <c r="I33" s="95">
        <v>1.5029999999999999</v>
      </c>
      <c r="J33" s="95">
        <v>1.5980000000000001</v>
      </c>
      <c r="K33" s="95">
        <v>1.7030000000000001</v>
      </c>
    </row>
    <row r="34" spans="1:11" x14ac:dyDescent="0.25">
      <c r="A34" s="93">
        <v>7</v>
      </c>
      <c r="B34" s="95">
        <v>1.0289999999999999</v>
      </c>
      <c r="C34" s="95">
        <v>1.0820000000000001</v>
      </c>
      <c r="D34" s="95">
        <v>1.139</v>
      </c>
      <c r="E34" s="95">
        <v>1.2010000000000001</v>
      </c>
      <c r="F34" s="95">
        <v>1.2689999999999999</v>
      </c>
      <c r="G34" s="95">
        <v>1.3420000000000001</v>
      </c>
      <c r="H34" s="95">
        <v>1.4219999999999999</v>
      </c>
      <c r="I34" s="95">
        <v>1.51</v>
      </c>
      <c r="J34" s="95">
        <v>1.607</v>
      </c>
      <c r="K34" s="95">
        <v>1.7130000000000001</v>
      </c>
    </row>
    <row r="35" spans="1:11" x14ac:dyDescent="0.25">
      <c r="A35" s="93">
        <v>8</v>
      </c>
      <c r="B35" s="95">
        <v>1.034</v>
      </c>
      <c r="C35" s="95">
        <v>1.087</v>
      </c>
      <c r="D35" s="95">
        <v>1.1439999999999999</v>
      </c>
      <c r="E35" s="95">
        <v>1.2070000000000001</v>
      </c>
      <c r="F35" s="95">
        <v>1.2749999999999999</v>
      </c>
      <c r="G35" s="95">
        <v>1.349</v>
      </c>
      <c r="H35" s="95">
        <v>1.429</v>
      </c>
      <c r="I35" s="95">
        <v>1.518</v>
      </c>
      <c r="J35" s="95">
        <v>1.615</v>
      </c>
      <c r="K35" s="95">
        <v>1.722</v>
      </c>
    </row>
    <row r="36" spans="1:11" x14ac:dyDescent="0.25">
      <c r="A36" s="93">
        <v>9</v>
      </c>
      <c r="B36" s="95">
        <v>1.038</v>
      </c>
      <c r="C36" s="95">
        <v>1.091</v>
      </c>
      <c r="D36" s="95">
        <v>1.149</v>
      </c>
      <c r="E36" s="95">
        <v>1.212</v>
      </c>
      <c r="F36" s="95">
        <v>1.28</v>
      </c>
      <c r="G36" s="95">
        <v>1.355</v>
      </c>
      <c r="H36" s="95">
        <v>1.4359999999999999</v>
      </c>
      <c r="I36" s="95">
        <v>1.5249999999999999</v>
      </c>
      <c r="J36" s="95">
        <v>1.623</v>
      </c>
      <c r="K36" s="95">
        <v>1.7310000000000001</v>
      </c>
    </row>
    <row r="37" spans="1:11" x14ac:dyDescent="0.25">
      <c r="A37" s="93">
        <v>10</v>
      </c>
      <c r="B37" s="95">
        <v>1.042</v>
      </c>
      <c r="C37" s="95">
        <v>1.0960000000000001</v>
      </c>
      <c r="D37" s="95">
        <v>1.1539999999999999</v>
      </c>
      <c r="E37" s="95">
        <v>1.2170000000000001</v>
      </c>
      <c r="F37" s="95">
        <v>1.286</v>
      </c>
      <c r="G37" s="95">
        <v>1.361</v>
      </c>
      <c r="H37" s="95">
        <v>1.4430000000000001</v>
      </c>
      <c r="I37" s="95">
        <v>1.5329999999999999</v>
      </c>
      <c r="J37" s="95">
        <v>1.6319999999999999</v>
      </c>
      <c r="K37" s="95">
        <v>1.74</v>
      </c>
    </row>
    <row r="38" spans="1:11" x14ac:dyDescent="0.25">
      <c r="A38" s="93">
        <v>11</v>
      </c>
      <c r="B38" s="95">
        <v>1.046</v>
      </c>
      <c r="C38" s="95">
        <v>1.1000000000000001</v>
      </c>
      <c r="D38" s="95">
        <v>1.159</v>
      </c>
      <c r="E38" s="95">
        <v>1.2230000000000001</v>
      </c>
      <c r="F38" s="95">
        <v>1.292</v>
      </c>
      <c r="G38" s="95">
        <v>1.3680000000000001</v>
      </c>
      <c r="H38" s="95">
        <v>1.45</v>
      </c>
      <c r="I38" s="95">
        <v>1.5409999999999999</v>
      </c>
      <c r="J38" s="95">
        <v>1.64</v>
      </c>
      <c r="K38" s="95">
        <v>1.7490000000000001</v>
      </c>
    </row>
    <row r="44" spans="1:11" ht="39.6" customHeight="1" x14ac:dyDescent="0.25"/>
    <row r="46" spans="1:11" ht="27.6" customHeight="1" x14ac:dyDescent="0.25"/>
  </sheetData>
  <sheetProtection algorithmName="SHA-512" hashValue="6InwflA9UDl1hXU0kdwR8LMT+aWZvPpUxFGOoH+HOpefRnOf0tnLIf5kZy4leOOZxlR9S+XNANha6Q1Nd7UXgg==" saltValue="8rmD6pqZ/Qsyq2F8P+v1Cg==" spinCount="100000" sheet="1" objects="1" scenarios="1"/>
  <conditionalFormatting sqref="A6:A21">
    <cfRule type="expression" dxfId="157" priority="11" stopIfTrue="1">
      <formula>MOD(ROW(),2)=0</formula>
    </cfRule>
    <cfRule type="expression" dxfId="156" priority="12" stopIfTrue="1">
      <formula>MOD(ROW(),2)&lt;&gt;0</formula>
    </cfRule>
  </conditionalFormatting>
  <conditionalFormatting sqref="A26:A38">
    <cfRule type="expression" dxfId="155" priority="3" stopIfTrue="1">
      <formula>MOD(ROW(),2)=0</formula>
    </cfRule>
    <cfRule type="expression" dxfId="154" priority="4" stopIfTrue="1">
      <formula>MOD(ROW(),2)&lt;&gt;0</formula>
    </cfRule>
  </conditionalFormatting>
  <conditionalFormatting sqref="B18:B21">
    <cfRule type="expression" dxfId="153" priority="1" stopIfTrue="1">
      <formula>MOD(ROW(),2)=0</formula>
    </cfRule>
    <cfRule type="expression" dxfId="152" priority="2" stopIfTrue="1">
      <formula>MOD(ROW(),2)&lt;&gt;0</formula>
    </cfRule>
  </conditionalFormatting>
  <conditionalFormatting sqref="B6:K21">
    <cfRule type="expression" dxfId="151" priority="21" stopIfTrue="1">
      <formula>MOD(ROW(),2)=0</formula>
    </cfRule>
    <cfRule type="expression" dxfId="150" priority="22" stopIfTrue="1">
      <formula>MOD(ROW(),2)&lt;&gt;0</formula>
    </cfRule>
  </conditionalFormatting>
  <conditionalFormatting sqref="B17:K17">
    <cfRule type="expression" dxfId="149" priority="7" stopIfTrue="1">
      <formula>MOD(ROW(),2)=0</formula>
    </cfRule>
    <cfRule type="expression" dxfId="148" priority="8" stopIfTrue="1">
      <formula>MOD(ROW(),2)&lt;&gt;0</formula>
    </cfRule>
  </conditionalFormatting>
  <conditionalFormatting sqref="B26:K38">
    <cfRule type="expression" dxfId="147" priority="5" stopIfTrue="1">
      <formula>MOD(ROW(),2)=0</formula>
    </cfRule>
    <cfRule type="expression" dxfId="14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AV46"/>
  <sheetViews>
    <sheetView showGridLines="0" zoomScale="85" zoomScaleNormal="85" workbookViewId="0">
      <selection activeCell="A3" sqref="A3"/>
    </sheetView>
  </sheetViews>
  <sheetFormatPr defaultColWidth="10" defaultRowHeight="13.2" x14ac:dyDescent="0.25"/>
  <cols>
    <col min="1" max="1" width="31.77734375" style="27" customWidth="1"/>
    <col min="2" max="48" width="22.77734375" style="27" customWidth="1"/>
    <col min="49" max="16384" width="10" style="27"/>
  </cols>
  <sheetData>
    <row r="1" spans="1:48" ht="21" x14ac:dyDescent="0.4">
      <c r="A1" s="40" t="s">
        <v>227</v>
      </c>
      <c r="B1" s="41"/>
      <c r="C1" s="41"/>
      <c r="D1" s="41"/>
      <c r="E1" s="41"/>
      <c r="F1" s="41"/>
      <c r="G1" s="41"/>
      <c r="H1" s="41"/>
      <c r="I1" s="41"/>
    </row>
    <row r="2" spans="1:48" ht="15.6" x14ac:dyDescent="0.3">
      <c r="A2" s="42" t="str">
        <f>IF(title="&gt; Enter workbook title here","Enter workbook title in Cover sheet",title)</f>
        <v>Fire Wales - Consolidated Factor Spreadsheet</v>
      </c>
      <c r="B2" s="43"/>
      <c r="C2" s="43"/>
      <c r="D2" s="43"/>
      <c r="E2" s="43"/>
      <c r="F2" s="43"/>
      <c r="G2" s="43"/>
      <c r="H2" s="43"/>
      <c r="I2" s="43"/>
    </row>
    <row r="3" spans="1:48" ht="15.6" x14ac:dyDescent="0.3">
      <c r="A3" s="44" t="str">
        <f>TABLE_FACTOR_TYPE_1&amp;" - x-"&amp;TABLE_SERIES_NUMBER_1</f>
        <v>Scheme pays AA - x-618</v>
      </c>
      <c r="B3" s="43"/>
      <c r="C3" s="43"/>
      <c r="D3" s="43"/>
      <c r="E3" s="43"/>
      <c r="F3" s="43"/>
      <c r="G3" s="43"/>
      <c r="H3" s="43"/>
      <c r="I3" s="43"/>
    </row>
    <row r="4" spans="1:48" x14ac:dyDescent="0.25">
      <c r="A4" s="45"/>
    </row>
    <row r="6" spans="1:48"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row>
    <row r="7" spans="1:48"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row>
    <row r="8" spans="1:48" x14ac:dyDescent="0.25">
      <c r="A8" s="79" t="s">
        <v>306</v>
      </c>
      <c r="B8" s="152">
        <v>2007</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row>
    <row r="9" spans="1:48" x14ac:dyDescent="0.25">
      <c r="A9" s="79" t="s">
        <v>307</v>
      </c>
      <c r="B9" s="152" t="s">
        <v>481</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row>
    <row r="10" spans="1:48" x14ac:dyDescent="0.25">
      <c r="A10" s="79" t="s">
        <v>233</v>
      </c>
      <c r="B10" s="152" t="s">
        <v>517</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row>
    <row r="11" spans="1:48"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row>
    <row r="12" spans="1:48" x14ac:dyDescent="0.25">
      <c r="A12" s="79" t="s">
        <v>309</v>
      </c>
      <c r="B12" s="152" t="s">
        <v>507</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row>
    <row r="13" spans="1:48" x14ac:dyDescent="0.25">
      <c r="A13" s="79" t="s">
        <v>566</v>
      </c>
      <c r="B13" s="152">
        <v>1</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row>
    <row r="14" spans="1:48" x14ac:dyDescent="0.25">
      <c r="A14" s="79" t="s">
        <v>311</v>
      </c>
      <c r="B14" s="152">
        <v>618</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48" x14ac:dyDescent="0.25">
      <c r="A15" s="79" t="s">
        <v>569</v>
      </c>
      <c r="B15" s="152" t="s">
        <v>518</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row>
    <row r="16" spans="1:48" x14ac:dyDescent="0.25">
      <c r="A16" s="79" t="s">
        <v>313</v>
      </c>
      <c r="B16" s="152" t="s">
        <v>457</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row>
    <row r="17" spans="1:48"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row>
    <row r="18" spans="1:48" x14ac:dyDescent="0.25">
      <c r="A18" s="79" t="s">
        <v>315</v>
      </c>
      <c r="B18" s="154">
        <v>45135</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row>
    <row r="19" spans="1:48" x14ac:dyDescent="0.25">
      <c r="A19" s="79" t="s">
        <v>316</v>
      </c>
      <c r="B19" s="154">
        <v>45135</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row>
    <row r="20" spans="1:48"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row>
    <row r="21" spans="1:48"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row>
    <row r="23" spans="1:48" x14ac:dyDescent="0.25">
      <c r="B23" s="96" t="str">
        <f>HYPERLINK("#'Factor List'!A1","Back to Factor List")</f>
        <v>Back to Factor List</v>
      </c>
    </row>
    <row r="24" spans="1:48" x14ac:dyDescent="0.25">
      <c r="B24" s="96" t="str">
        <f>HYPERLINK("#'Assumptions'!A1","Assumptions")</f>
        <v>Assumptions</v>
      </c>
    </row>
    <row r="26" spans="1:48"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c r="AR26" s="92">
        <v>60</v>
      </c>
      <c r="AS26" s="92">
        <v>61</v>
      </c>
      <c r="AT26" s="92">
        <v>62</v>
      </c>
      <c r="AU26" s="92">
        <v>63</v>
      </c>
      <c r="AV26" s="92">
        <v>64</v>
      </c>
    </row>
    <row r="27" spans="1:48" x14ac:dyDescent="0.25">
      <c r="A27" s="93">
        <v>0</v>
      </c>
      <c r="B27" s="95">
        <v>0.21199999999999999</v>
      </c>
      <c r="C27" s="95">
        <v>0.216</v>
      </c>
      <c r="D27" s="95">
        <v>0.221</v>
      </c>
      <c r="E27" s="95">
        <v>0.22700000000000001</v>
      </c>
      <c r="F27" s="95">
        <v>0.23200000000000001</v>
      </c>
      <c r="G27" s="95">
        <v>0.23699999999999999</v>
      </c>
      <c r="H27" s="95">
        <v>0.24299999999999999</v>
      </c>
      <c r="I27" s="95">
        <v>0.249</v>
      </c>
      <c r="J27" s="95">
        <v>0.255</v>
      </c>
      <c r="K27" s="95">
        <v>0.26100000000000001</v>
      </c>
      <c r="L27" s="95">
        <v>0.26700000000000002</v>
      </c>
      <c r="M27" s="95">
        <v>0.27400000000000002</v>
      </c>
      <c r="N27" s="95">
        <v>0.28100000000000003</v>
      </c>
      <c r="O27" s="95">
        <v>0.28799999999999998</v>
      </c>
      <c r="P27" s="95">
        <v>0.29599999999999999</v>
      </c>
      <c r="Q27" s="95">
        <v>0.30399999999999999</v>
      </c>
      <c r="R27" s="95">
        <v>0.312</v>
      </c>
      <c r="S27" s="95">
        <v>0.32100000000000001</v>
      </c>
      <c r="T27" s="95">
        <v>0.33</v>
      </c>
      <c r="U27" s="95">
        <v>0.33900000000000002</v>
      </c>
      <c r="V27" s="95">
        <v>0.34899999999999998</v>
      </c>
      <c r="W27" s="95">
        <v>0.35899999999999999</v>
      </c>
      <c r="X27" s="95">
        <v>0.36899999999999999</v>
      </c>
      <c r="Y27" s="95">
        <v>0.38100000000000001</v>
      </c>
      <c r="Z27" s="95">
        <v>0.39200000000000002</v>
      </c>
      <c r="AA27" s="95">
        <v>0.40500000000000003</v>
      </c>
      <c r="AB27" s="95">
        <v>0.41799999999999998</v>
      </c>
      <c r="AC27" s="95">
        <v>0.43099999999999999</v>
      </c>
      <c r="AD27" s="95">
        <v>0.44600000000000001</v>
      </c>
      <c r="AE27" s="95">
        <v>0.46100000000000002</v>
      </c>
      <c r="AF27" s="95">
        <v>0.47699999999999998</v>
      </c>
      <c r="AG27" s="95">
        <v>0.49399999999999999</v>
      </c>
      <c r="AH27" s="95">
        <v>0.51200000000000001</v>
      </c>
      <c r="AI27" s="95">
        <v>0.53100000000000003</v>
      </c>
      <c r="AJ27" s="95">
        <v>0.55100000000000005</v>
      </c>
      <c r="AK27" s="95">
        <v>0.57199999999999995</v>
      </c>
      <c r="AL27" s="95">
        <v>0.59499999999999997</v>
      </c>
      <c r="AM27" s="95">
        <v>0.62</v>
      </c>
      <c r="AN27" s="95">
        <v>0.64600000000000002</v>
      </c>
      <c r="AO27" s="95">
        <v>0.67400000000000004</v>
      </c>
      <c r="AP27" s="95">
        <v>0.70499999999999996</v>
      </c>
      <c r="AQ27" s="95">
        <v>0.73699999999999999</v>
      </c>
      <c r="AR27" s="95">
        <v>0.77200000000000002</v>
      </c>
      <c r="AS27" s="95">
        <v>0.81100000000000005</v>
      </c>
      <c r="AT27" s="95">
        <v>0.85199999999999998</v>
      </c>
      <c r="AU27" s="95">
        <v>0.89700000000000002</v>
      </c>
      <c r="AV27" s="95">
        <v>0.94599999999999995</v>
      </c>
    </row>
    <row r="28" spans="1:48" x14ac:dyDescent="0.25">
      <c r="A28" s="93">
        <v>1</v>
      </c>
      <c r="B28" s="95">
        <v>0.21199999999999999</v>
      </c>
      <c r="C28" s="95">
        <v>0.217</v>
      </c>
      <c r="D28" s="95">
        <v>0.222</v>
      </c>
      <c r="E28" s="95">
        <v>0.22700000000000001</v>
      </c>
      <c r="F28" s="95">
        <v>0.23200000000000001</v>
      </c>
      <c r="G28" s="95">
        <v>0.23799999999999999</v>
      </c>
      <c r="H28" s="95">
        <v>0.24299999999999999</v>
      </c>
      <c r="I28" s="95">
        <v>0.249</v>
      </c>
      <c r="J28" s="95">
        <v>0.255</v>
      </c>
      <c r="K28" s="95">
        <v>0.26200000000000001</v>
      </c>
      <c r="L28" s="95">
        <v>0.26800000000000002</v>
      </c>
      <c r="M28" s="95">
        <v>0.27500000000000002</v>
      </c>
      <c r="N28" s="95">
        <v>0.28199999999999997</v>
      </c>
      <c r="O28" s="95">
        <v>0.28899999999999998</v>
      </c>
      <c r="P28" s="95">
        <v>0.29699999999999999</v>
      </c>
      <c r="Q28" s="95">
        <v>0.30499999999999999</v>
      </c>
      <c r="R28" s="95">
        <v>0.313</v>
      </c>
      <c r="S28" s="95">
        <v>0.32100000000000001</v>
      </c>
      <c r="T28" s="95">
        <v>0.33</v>
      </c>
      <c r="U28" s="95">
        <v>0.34</v>
      </c>
      <c r="V28" s="95">
        <v>0.35</v>
      </c>
      <c r="W28" s="95">
        <v>0.36</v>
      </c>
      <c r="X28" s="95">
        <v>0.37</v>
      </c>
      <c r="Y28" s="95">
        <v>0.38200000000000001</v>
      </c>
      <c r="Z28" s="95">
        <v>0.39300000000000002</v>
      </c>
      <c r="AA28" s="95">
        <v>0.40600000000000003</v>
      </c>
      <c r="AB28" s="95">
        <v>0.41899999999999998</v>
      </c>
      <c r="AC28" s="95">
        <v>0.432</v>
      </c>
      <c r="AD28" s="95">
        <v>0.44700000000000001</v>
      </c>
      <c r="AE28" s="95">
        <v>0.46200000000000002</v>
      </c>
      <c r="AF28" s="95">
        <v>0.47799999999999998</v>
      </c>
      <c r="AG28" s="95">
        <v>0.495</v>
      </c>
      <c r="AH28" s="95">
        <v>0.51300000000000001</v>
      </c>
      <c r="AI28" s="95">
        <v>0.53200000000000003</v>
      </c>
      <c r="AJ28" s="95">
        <v>0.55300000000000005</v>
      </c>
      <c r="AK28" s="95">
        <v>0.57399999999999995</v>
      </c>
      <c r="AL28" s="95">
        <v>0.59699999999999998</v>
      </c>
      <c r="AM28" s="95">
        <v>0.622</v>
      </c>
      <c r="AN28" s="95">
        <v>0.64800000000000002</v>
      </c>
      <c r="AO28" s="95">
        <v>0.67700000000000005</v>
      </c>
      <c r="AP28" s="95">
        <v>0.70699999999999996</v>
      </c>
      <c r="AQ28" s="95">
        <v>0.74</v>
      </c>
      <c r="AR28" s="95">
        <v>0.77600000000000002</v>
      </c>
      <c r="AS28" s="95">
        <v>0.81399999999999995</v>
      </c>
      <c r="AT28" s="95">
        <v>0.85599999999999998</v>
      </c>
      <c r="AU28" s="95">
        <v>0.90100000000000002</v>
      </c>
      <c r="AV28" s="95">
        <v>0.95099999999999996</v>
      </c>
    </row>
    <row r="29" spans="1:48" x14ac:dyDescent="0.25">
      <c r="A29" s="93">
        <v>2</v>
      </c>
      <c r="B29" s="95">
        <v>0.21299999999999999</v>
      </c>
      <c r="C29" s="95">
        <v>0.217</v>
      </c>
      <c r="D29" s="95">
        <v>0.222</v>
      </c>
      <c r="E29" s="95">
        <v>0.22700000000000001</v>
      </c>
      <c r="F29" s="95">
        <v>0.23300000000000001</v>
      </c>
      <c r="G29" s="95">
        <v>0.23799999999999999</v>
      </c>
      <c r="H29" s="95">
        <v>0.24399999999999999</v>
      </c>
      <c r="I29" s="95">
        <v>0.25</v>
      </c>
      <c r="J29" s="95">
        <v>0.25600000000000001</v>
      </c>
      <c r="K29" s="95">
        <v>0.26200000000000001</v>
      </c>
      <c r="L29" s="95">
        <v>0.26900000000000002</v>
      </c>
      <c r="M29" s="95">
        <v>0.27500000000000002</v>
      </c>
      <c r="N29" s="95">
        <v>0.28199999999999997</v>
      </c>
      <c r="O29" s="95">
        <v>0.28999999999999998</v>
      </c>
      <c r="P29" s="95">
        <v>0.29699999999999999</v>
      </c>
      <c r="Q29" s="95">
        <v>0.30499999999999999</v>
      </c>
      <c r="R29" s="95">
        <v>0.314</v>
      </c>
      <c r="S29" s="95">
        <v>0.32200000000000001</v>
      </c>
      <c r="T29" s="95">
        <v>0.33100000000000002</v>
      </c>
      <c r="U29" s="95">
        <v>0.34100000000000003</v>
      </c>
      <c r="V29" s="95">
        <v>0.35</v>
      </c>
      <c r="W29" s="95">
        <v>0.36099999999999999</v>
      </c>
      <c r="X29" s="95">
        <v>0.371</v>
      </c>
      <c r="Y29" s="95">
        <v>0.38300000000000001</v>
      </c>
      <c r="Z29" s="95">
        <v>0.39400000000000002</v>
      </c>
      <c r="AA29" s="95">
        <v>0.40699999999999997</v>
      </c>
      <c r="AB29" s="95">
        <v>0.42</v>
      </c>
      <c r="AC29" s="95">
        <v>0.434</v>
      </c>
      <c r="AD29" s="95">
        <v>0.44800000000000001</v>
      </c>
      <c r="AE29" s="95">
        <v>0.46300000000000002</v>
      </c>
      <c r="AF29" s="95">
        <v>0.48</v>
      </c>
      <c r="AG29" s="95">
        <v>0.497</v>
      </c>
      <c r="AH29" s="95">
        <v>0.51500000000000001</v>
      </c>
      <c r="AI29" s="95">
        <v>0.53400000000000003</v>
      </c>
      <c r="AJ29" s="95">
        <v>0.55400000000000005</v>
      </c>
      <c r="AK29" s="95">
        <v>0.57599999999999996</v>
      </c>
      <c r="AL29" s="95">
        <v>0.59899999999999998</v>
      </c>
      <c r="AM29" s="95">
        <v>0.624</v>
      </c>
      <c r="AN29" s="95">
        <v>0.65100000000000002</v>
      </c>
      <c r="AO29" s="95">
        <v>0.67900000000000005</v>
      </c>
      <c r="AP29" s="95">
        <v>0.71</v>
      </c>
      <c r="AQ29" s="95">
        <v>0.74299999999999999</v>
      </c>
      <c r="AR29" s="95">
        <v>0.77900000000000003</v>
      </c>
      <c r="AS29" s="95">
        <v>0.81699999999999995</v>
      </c>
      <c r="AT29" s="95">
        <v>0.85899999999999999</v>
      </c>
      <c r="AU29" s="95">
        <v>0.90500000000000003</v>
      </c>
      <c r="AV29" s="95">
        <v>0.95499999999999996</v>
      </c>
    </row>
    <row r="30" spans="1:48" x14ac:dyDescent="0.25">
      <c r="A30" s="93">
        <v>3</v>
      </c>
      <c r="B30" s="95">
        <v>0.21299999999999999</v>
      </c>
      <c r="C30" s="95">
        <v>0.218</v>
      </c>
      <c r="D30" s="95">
        <v>0.223</v>
      </c>
      <c r="E30" s="95">
        <v>0.22800000000000001</v>
      </c>
      <c r="F30" s="95">
        <v>0.23300000000000001</v>
      </c>
      <c r="G30" s="95">
        <v>0.23899999999999999</v>
      </c>
      <c r="H30" s="95">
        <v>0.24399999999999999</v>
      </c>
      <c r="I30" s="95">
        <v>0.25</v>
      </c>
      <c r="J30" s="95">
        <v>0.25600000000000001</v>
      </c>
      <c r="K30" s="95">
        <v>0.26300000000000001</v>
      </c>
      <c r="L30" s="95">
        <v>0.26900000000000002</v>
      </c>
      <c r="M30" s="95">
        <v>0.27600000000000002</v>
      </c>
      <c r="N30" s="95">
        <v>0.28299999999999997</v>
      </c>
      <c r="O30" s="95">
        <v>0.28999999999999998</v>
      </c>
      <c r="P30" s="95">
        <v>0.29799999999999999</v>
      </c>
      <c r="Q30" s="95">
        <v>0.30599999999999999</v>
      </c>
      <c r="R30" s="95">
        <v>0.314</v>
      </c>
      <c r="S30" s="95">
        <v>0.32300000000000001</v>
      </c>
      <c r="T30" s="95">
        <v>0.33200000000000002</v>
      </c>
      <c r="U30" s="95">
        <v>0.34100000000000003</v>
      </c>
      <c r="V30" s="95">
        <v>0.35099999999999998</v>
      </c>
      <c r="W30" s="95">
        <v>0.36199999999999999</v>
      </c>
      <c r="X30" s="95">
        <v>0.372</v>
      </c>
      <c r="Y30" s="95">
        <v>0.38400000000000001</v>
      </c>
      <c r="Z30" s="95">
        <v>0.39500000000000002</v>
      </c>
      <c r="AA30" s="95">
        <v>0.40799999999999997</v>
      </c>
      <c r="AB30" s="95">
        <v>0.42099999999999999</v>
      </c>
      <c r="AC30" s="95">
        <v>0.435</v>
      </c>
      <c r="AD30" s="95">
        <v>0.44900000000000001</v>
      </c>
      <c r="AE30" s="95">
        <v>0.46500000000000002</v>
      </c>
      <c r="AF30" s="95">
        <v>0.48099999999999998</v>
      </c>
      <c r="AG30" s="95">
        <v>0.498</v>
      </c>
      <c r="AH30" s="95">
        <v>0.51600000000000001</v>
      </c>
      <c r="AI30" s="95">
        <v>0.53600000000000003</v>
      </c>
      <c r="AJ30" s="95">
        <v>0.55600000000000005</v>
      </c>
      <c r="AK30" s="95">
        <v>0.57799999999999996</v>
      </c>
      <c r="AL30" s="95">
        <v>0.60099999999999998</v>
      </c>
      <c r="AM30" s="95">
        <v>0.626</v>
      </c>
      <c r="AN30" s="95">
        <v>0.65300000000000002</v>
      </c>
      <c r="AO30" s="95">
        <v>0.68200000000000005</v>
      </c>
      <c r="AP30" s="95">
        <v>0.71299999999999997</v>
      </c>
      <c r="AQ30" s="95">
        <v>0.746</v>
      </c>
      <c r="AR30" s="95">
        <v>0.78200000000000003</v>
      </c>
      <c r="AS30" s="95">
        <v>0.82099999999999995</v>
      </c>
      <c r="AT30" s="95">
        <v>0.86299999999999999</v>
      </c>
      <c r="AU30" s="95">
        <v>0.90900000000000003</v>
      </c>
      <c r="AV30" s="95">
        <v>0.96</v>
      </c>
    </row>
    <row r="31" spans="1:48" x14ac:dyDescent="0.25">
      <c r="A31" s="93">
        <v>4</v>
      </c>
      <c r="B31" s="95">
        <v>0.21299999999999999</v>
      </c>
      <c r="C31" s="95">
        <v>0.218</v>
      </c>
      <c r="D31" s="95">
        <v>0.223</v>
      </c>
      <c r="E31" s="95">
        <v>0.22800000000000001</v>
      </c>
      <c r="F31" s="95">
        <v>0.23400000000000001</v>
      </c>
      <c r="G31" s="95">
        <v>0.23899999999999999</v>
      </c>
      <c r="H31" s="95">
        <v>0.245</v>
      </c>
      <c r="I31" s="95">
        <v>0.251</v>
      </c>
      <c r="J31" s="95">
        <v>0.25700000000000001</v>
      </c>
      <c r="K31" s="95">
        <v>0.26300000000000001</v>
      </c>
      <c r="L31" s="95">
        <v>0.27</v>
      </c>
      <c r="M31" s="95">
        <v>0.27700000000000002</v>
      </c>
      <c r="N31" s="95">
        <v>0.28399999999999997</v>
      </c>
      <c r="O31" s="95">
        <v>0.29099999999999998</v>
      </c>
      <c r="P31" s="95">
        <v>0.29899999999999999</v>
      </c>
      <c r="Q31" s="95">
        <v>0.307</v>
      </c>
      <c r="R31" s="95">
        <v>0.315</v>
      </c>
      <c r="S31" s="95">
        <v>0.32400000000000001</v>
      </c>
      <c r="T31" s="95">
        <v>0.33300000000000002</v>
      </c>
      <c r="U31" s="95">
        <v>0.34200000000000003</v>
      </c>
      <c r="V31" s="95">
        <v>0.35199999999999998</v>
      </c>
      <c r="W31" s="95">
        <v>0.36199999999999999</v>
      </c>
      <c r="X31" s="95">
        <v>0.373</v>
      </c>
      <c r="Y31" s="95">
        <v>0.38500000000000001</v>
      </c>
      <c r="Z31" s="95">
        <v>0.39600000000000002</v>
      </c>
      <c r="AA31" s="95">
        <v>0.40899999999999997</v>
      </c>
      <c r="AB31" s="95">
        <v>0.42199999999999999</v>
      </c>
      <c r="AC31" s="95">
        <v>0.436</v>
      </c>
      <c r="AD31" s="95">
        <v>0.45100000000000001</v>
      </c>
      <c r="AE31" s="95">
        <v>0.46600000000000003</v>
      </c>
      <c r="AF31" s="95">
        <v>0.48199999999999998</v>
      </c>
      <c r="AG31" s="95">
        <v>0.5</v>
      </c>
      <c r="AH31" s="95">
        <v>0.51800000000000002</v>
      </c>
      <c r="AI31" s="95">
        <v>0.53700000000000003</v>
      </c>
      <c r="AJ31" s="95">
        <v>0.55800000000000005</v>
      </c>
      <c r="AK31" s="95">
        <v>0.57999999999999996</v>
      </c>
      <c r="AL31" s="95">
        <v>0.60299999999999998</v>
      </c>
      <c r="AM31" s="95">
        <v>0.629</v>
      </c>
      <c r="AN31" s="95">
        <v>0.65600000000000003</v>
      </c>
      <c r="AO31" s="95">
        <v>0.68400000000000005</v>
      </c>
      <c r="AP31" s="95">
        <v>0.71499999999999997</v>
      </c>
      <c r="AQ31" s="95">
        <v>0.749</v>
      </c>
      <c r="AR31" s="95">
        <v>0.78500000000000003</v>
      </c>
      <c r="AS31" s="95">
        <v>0.82399999999999995</v>
      </c>
      <c r="AT31" s="95">
        <v>0.86699999999999999</v>
      </c>
      <c r="AU31" s="95">
        <v>0.91300000000000003</v>
      </c>
      <c r="AV31" s="95">
        <v>0.96399999999999997</v>
      </c>
    </row>
    <row r="32" spans="1:48" x14ac:dyDescent="0.25">
      <c r="A32" s="93">
        <v>5</v>
      </c>
      <c r="B32" s="95">
        <v>0.214</v>
      </c>
      <c r="C32" s="95">
        <v>0.219</v>
      </c>
      <c r="D32" s="95">
        <v>0.224</v>
      </c>
      <c r="E32" s="95">
        <v>0.22900000000000001</v>
      </c>
      <c r="F32" s="95">
        <v>0.23400000000000001</v>
      </c>
      <c r="G32" s="95">
        <v>0.24</v>
      </c>
      <c r="H32" s="95">
        <v>0.245</v>
      </c>
      <c r="I32" s="95">
        <v>0.251</v>
      </c>
      <c r="J32" s="95">
        <v>0.25700000000000001</v>
      </c>
      <c r="K32" s="95">
        <v>0.26400000000000001</v>
      </c>
      <c r="L32" s="95">
        <v>0.27</v>
      </c>
      <c r="M32" s="95">
        <v>0.27700000000000002</v>
      </c>
      <c r="N32" s="95">
        <v>0.28399999999999997</v>
      </c>
      <c r="O32" s="95">
        <v>0.29199999999999998</v>
      </c>
      <c r="P32" s="95">
        <v>0.29899999999999999</v>
      </c>
      <c r="Q32" s="95">
        <v>0.307</v>
      </c>
      <c r="R32" s="95">
        <v>0.316</v>
      </c>
      <c r="S32" s="95">
        <v>0.32400000000000001</v>
      </c>
      <c r="T32" s="95">
        <v>0.33300000000000002</v>
      </c>
      <c r="U32" s="95">
        <v>0.34300000000000003</v>
      </c>
      <c r="V32" s="95">
        <v>0.35299999999999998</v>
      </c>
      <c r="W32" s="95">
        <v>0.36299999999999999</v>
      </c>
      <c r="X32" s="95">
        <v>0.374</v>
      </c>
      <c r="Y32" s="95">
        <v>0.38600000000000001</v>
      </c>
      <c r="Z32" s="95">
        <v>0.39800000000000002</v>
      </c>
      <c r="AA32" s="95">
        <v>0.41</v>
      </c>
      <c r="AB32" s="95">
        <v>0.42299999999999999</v>
      </c>
      <c r="AC32" s="95">
        <v>0.437</v>
      </c>
      <c r="AD32" s="95">
        <v>0.45200000000000001</v>
      </c>
      <c r="AE32" s="95">
        <v>0.46700000000000003</v>
      </c>
      <c r="AF32" s="95">
        <v>0.48399999999999999</v>
      </c>
      <c r="AG32" s="95">
        <v>0.501</v>
      </c>
      <c r="AH32" s="95">
        <v>0.52</v>
      </c>
      <c r="AI32" s="95">
        <v>0.53900000000000003</v>
      </c>
      <c r="AJ32" s="95">
        <v>0.56000000000000005</v>
      </c>
      <c r="AK32" s="95">
        <v>0.58199999999999996</v>
      </c>
      <c r="AL32" s="95">
        <v>0.60599999999999998</v>
      </c>
      <c r="AM32" s="95">
        <v>0.63100000000000001</v>
      </c>
      <c r="AN32" s="95">
        <v>0.65800000000000003</v>
      </c>
      <c r="AO32" s="95">
        <v>0.68700000000000006</v>
      </c>
      <c r="AP32" s="95">
        <v>0.71799999999999997</v>
      </c>
      <c r="AQ32" s="95">
        <v>0.752</v>
      </c>
      <c r="AR32" s="95">
        <v>0.78800000000000003</v>
      </c>
      <c r="AS32" s="95">
        <v>0.82799999999999996</v>
      </c>
      <c r="AT32" s="95">
        <v>0.871</v>
      </c>
      <c r="AU32" s="95">
        <v>0.91700000000000004</v>
      </c>
      <c r="AV32" s="95">
        <v>0.96899999999999997</v>
      </c>
    </row>
    <row r="33" spans="1:48" x14ac:dyDescent="0.25">
      <c r="A33" s="93">
        <v>6</v>
      </c>
      <c r="B33" s="95">
        <v>0.214</v>
      </c>
      <c r="C33" s="95">
        <v>0.219</v>
      </c>
      <c r="D33" s="95">
        <v>0.224</v>
      </c>
      <c r="E33" s="95">
        <v>0.22900000000000001</v>
      </c>
      <c r="F33" s="95">
        <v>0.23400000000000001</v>
      </c>
      <c r="G33" s="95">
        <v>0.24</v>
      </c>
      <c r="H33" s="95">
        <v>0.246</v>
      </c>
      <c r="I33" s="95">
        <v>0.252</v>
      </c>
      <c r="J33" s="95">
        <v>0.25800000000000001</v>
      </c>
      <c r="K33" s="95">
        <v>0.26400000000000001</v>
      </c>
      <c r="L33" s="95">
        <v>0.27100000000000002</v>
      </c>
      <c r="M33" s="95">
        <v>0.27800000000000002</v>
      </c>
      <c r="N33" s="95">
        <v>0.28499999999999998</v>
      </c>
      <c r="O33" s="95">
        <v>0.29199999999999998</v>
      </c>
      <c r="P33" s="95">
        <v>0.3</v>
      </c>
      <c r="Q33" s="95">
        <v>0.308</v>
      </c>
      <c r="R33" s="95">
        <v>0.316</v>
      </c>
      <c r="S33" s="95">
        <v>0.32500000000000001</v>
      </c>
      <c r="T33" s="95">
        <v>0.33400000000000002</v>
      </c>
      <c r="U33" s="95">
        <v>0.34399999999999997</v>
      </c>
      <c r="V33" s="95">
        <v>0.35399999999999998</v>
      </c>
      <c r="W33" s="95">
        <v>0.36399999999999999</v>
      </c>
      <c r="X33" s="95">
        <v>0.375</v>
      </c>
      <c r="Y33" s="95">
        <v>0.38700000000000001</v>
      </c>
      <c r="Z33" s="95">
        <v>0.39900000000000002</v>
      </c>
      <c r="AA33" s="95">
        <v>0.41099999999999998</v>
      </c>
      <c r="AB33" s="95">
        <v>0.42399999999999999</v>
      </c>
      <c r="AC33" s="95">
        <v>0.438</v>
      </c>
      <c r="AD33" s="95">
        <v>0.45300000000000001</v>
      </c>
      <c r="AE33" s="95">
        <v>0.46899999999999997</v>
      </c>
      <c r="AF33" s="95">
        <v>0.48499999999999999</v>
      </c>
      <c r="AG33" s="95">
        <v>0.503</v>
      </c>
      <c r="AH33" s="95">
        <v>0.52100000000000002</v>
      </c>
      <c r="AI33" s="95">
        <v>0.54100000000000004</v>
      </c>
      <c r="AJ33" s="95">
        <v>0.56200000000000006</v>
      </c>
      <c r="AK33" s="95">
        <v>0.58399999999999996</v>
      </c>
      <c r="AL33" s="95">
        <v>0.60799999999999998</v>
      </c>
      <c r="AM33" s="95">
        <v>0.63300000000000001</v>
      </c>
      <c r="AN33" s="95">
        <v>0.66</v>
      </c>
      <c r="AO33" s="95">
        <v>0.68899999999999995</v>
      </c>
      <c r="AP33" s="95">
        <v>0.72099999999999997</v>
      </c>
      <c r="AQ33" s="95">
        <v>0.755</v>
      </c>
      <c r="AR33" s="95">
        <v>0.79100000000000004</v>
      </c>
      <c r="AS33" s="95">
        <v>0.83099999999999996</v>
      </c>
      <c r="AT33" s="95">
        <v>0.874</v>
      </c>
      <c r="AU33" s="95">
        <v>0.92200000000000004</v>
      </c>
      <c r="AV33" s="95">
        <v>0.97299999999999998</v>
      </c>
    </row>
    <row r="34" spans="1:48" x14ac:dyDescent="0.25">
      <c r="A34" s="93">
        <v>7</v>
      </c>
      <c r="B34" s="95">
        <v>0.215</v>
      </c>
      <c r="C34" s="95">
        <v>0.219</v>
      </c>
      <c r="D34" s="95">
        <v>0.224</v>
      </c>
      <c r="E34" s="95">
        <v>0.23</v>
      </c>
      <c r="F34" s="95">
        <v>0.23499999999999999</v>
      </c>
      <c r="G34" s="95">
        <v>0.24</v>
      </c>
      <c r="H34" s="95">
        <v>0.246</v>
      </c>
      <c r="I34" s="95">
        <v>0.252</v>
      </c>
      <c r="J34" s="95">
        <v>0.25800000000000001</v>
      </c>
      <c r="K34" s="95">
        <v>0.26500000000000001</v>
      </c>
      <c r="L34" s="95">
        <v>0.27100000000000002</v>
      </c>
      <c r="M34" s="95">
        <v>0.27800000000000002</v>
      </c>
      <c r="N34" s="95">
        <v>0.28499999999999998</v>
      </c>
      <c r="O34" s="95">
        <v>0.29299999999999998</v>
      </c>
      <c r="P34" s="95">
        <v>0.30099999999999999</v>
      </c>
      <c r="Q34" s="95">
        <v>0.309</v>
      </c>
      <c r="R34" s="95">
        <v>0.317</v>
      </c>
      <c r="S34" s="95">
        <v>0.32600000000000001</v>
      </c>
      <c r="T34" s="95">
        <v>0.33500000000000002</v>
      </c>
      <c r="U34" s="95">
        <v>0.34499999999999997</v>
      </c>
      <c r="V34" s="95">
        <v>0.35499999999999998</v>
      </c>
      <c r="W34" s="95">
        <v>0.36499999999999999</v>
      </c>
      <c r="X34" s="95">
        <v>0.376</v>
      </c>
      <c r="Y34" s="95">
        <v>0.38800000000000001</v>
      </c>
      <c r="Z34" s="95">
        <v>0.4</v>
      </c>
      <c r="AA34" s="95">
        <v>0.41199999999999998</v>
      </c>
      <c r="AB34" s="95">
        <v>0.42599999999999999</v>
      </c>
      <c r="AC34" s="95">
        <v>0.44</v>
      </c>
      <c r="AD34" s="95">
        <v>0.45400000000000001</v>
      </c>
      <c r="AE34" s="95">
        <v>0.47</v>
      </c>
      <c r="AF34" s="95">
        <v>0.48699999999999999</v>
      </c>
      <c r="AG34" s="95">
        <v>0.504</v>
      </c>
      <c r="AH34" s="95">
        <v>0.52300000000000002</v>
      </c>
      <c r="AI34" s="95">
        <v>0.54200000000000004</v>
      </c>
      <c r="AJ34" s="95">
        <v>0.56299999999999994</v>
      </c>
      <c r="AK34" s="95">
        <v>0.58599999999999997</v>
      </c>
      <c r="AL34" s="95">
        <v>0.61</v>
      </c>
      <c r="AM34" s="95">
        <v>0.63500000000000001</v>
      </c>
      <c r="AN34" s="95">
        <v>0.66300000000000003</v>
      </c>
      <c r="AO34" s="95">
        <v>0.69199999999999995</v>
      </c>
      <c r="AP34" s="95">
        <v>0.72399999999999998</v>
      </c>
      <c r="AQ34" s="95">
        <v>0.75800000000000001</v>
      </c>
      <c r="AR34" s="95">
        <v>0.79500000000000004</v>
      </c>
      <c r="AS34" s="95">
        <v>0.83499999999999996</v>
      </c>
      <c r="AT34" s="95">
        <v>0.878</v>
      </c>
      <c r="AU34" s="95">
        <v>0.92600000000000005</v>
      </c>
      <c r="AV34" s="95">
        <v>0.97799999999999998</v>
      </c>
    </row>
    <row r="35" spans="1:48" x14ac:dyDescent="0.25">
      <c r="A35" s="93">
        <v>8</v>
      </c>
      <c r="B35" s="95">
        <v>0.215</v>
      </c>
      <c r="C35" s="95">
        <v>0.22</v>
      </c>
      <c r="D35" s="95">
        <v>0.22500000000000001</v>
      </c>
      <c r="E35" s="95">
        <v>0.23</v>
      </c>
      <c r="F35" s="95">
        <v>0.23499999999999999</v>
      </c>
      <c r="G35" s="95">
        <v>0.24099999999999999</v>
      </c>
      <c r="H35" s="95">
        <v>0.247</v>
      </c>
      <c r="I35" s="95">
        <v>0.253</v>
      </c>
      <c r="J35" s="95">
        <v>0.25900000000000001</v>
      </c>
      <c r="K35" s="95">
        <v>0.26500000000000001</v>
      </c>
      <c r="L35" s="95">
        <v>0.27200000000000002</v>
      </c>
      <c r="M35" s="95">
        <v>0.27900000000000003</v>
      </c>
      <c r="N35" s="95">
        <v>0.28599999999999998</v>
      </c>
      <c r="O35" s="95">
        <v>0.29399999999999998</v>
      </c>
      <c r="P35" s="95">
        <v>0.30099999999999999</v>
      </c>
      <c r="Q35" s="95">
        <v>0.309</v>
      </c>
      <c r="R35" s="95">
        <v>0.318</v>
      </c>
      <c r="S35" s="95">
        <v>0.32700000000000001</v>
      </c>
      <c r="T35" s="95">
        <v>0.33600000000000002</v>
      </c>
      <c r="U35" s="95">
        <v>0.34499999999999997</v>
      </c>
      <c r="V35" s="95">
        <v>0.35499999999999998</v>
      </c>
      <c r="W35" s="95">
        <v>0.36599999999999999</v>
      </c>
      <c r="X35" s="95">
        <v>0.377</v>
      </c>
      <c r="Y35" s="95">
        <v>0.38800000000000001</v>
      </c>
      <c r="Z35" s="95">
        <v>0.40100000000000002</v>
      </c>
      <c r="AA35" s="95">
        <v>0.41299999999999998</v>
      </c>
      <c r="AB35" s="95">
        <v>0.42699999999999999</v>
      </c>
      <c r="AC35" s="95">
        <v>0.441</v>
      </c>
      <c r="AD35" s="95">
        <v>0.45600000000000002</v>
      </c>
      <c r="AE35" s="95">
        <v>0.47099999999999997</v>
      </c>
      <c r="AF35" s="95">
        <v>0.48799999999999999</v>
      </c>
      <c r="AG35" s="95">
        <v>0.50600000000000001</v>
      </c>
      <c r="AH35" s="95">
        <v>0.52400000000000002</v>
      </c>
      <c r="AI35" s="95">
        <v>0.54400000000000004</v>
      </c>
      <c r="AJ35" s="95">
        <v>0.56499999999999995</v>
      </c>
      <c r="AK35" s="95">
        <v>0.58799999999999997</v>
      </c>
      <c r="AL35" s="95">
        <v>0.61199999999999999</v>
      </c>
      <c r="AM35" s="95">
        <v>0.63700000000000001</v>
      </c>
      <c r="AN35" s="95">
        <v>0.66500000000000004</v>
      </c>
      <c r="AO35" s="95">
        <v>0.69399999999999995</v>
      </c>
      <c r="AP35" s="95">
        <v>0.72599999999999998</v>
      </c>
      <c r="AQ35" s="95">
        <v>0.76100000000000001</v>
      </c>
      <c r="AR35" s="95">
        <v>0.79800000000000004</v>
      </c>
      <c r="AS35" s="95">
        <v>0.83799999999999997</v>
      </c>
      <c r="AT35" s="95">
        <v>0.88200000000000001</v>
      </c>
      <c r="AU35" s="95">
        <v>0.93</v>
      </c>
      <c r="AV35" s="95">
        <v>0.98199999999999998</v>
      </c>
    </row>
    <row r="36" spans="1:48" x14ac:dyDescent="0.25">
      <c r="A36" s="93">
        <v>9</v>
      </c>
      <c r="B36" s="95">
        <v>0.215</v>
      </c>
      <c r="C36" s="95">
        <v>0.22</v>
      </c>
      <c r="D36" s="95">
        <v>0.22500000000000001</v>
      </c>
      <c r="E36" s="95">
        <v>0.23</v>
      </c>
      <c r="F36" s="95">
        <v>0.23599999999999999</v>
      </c>
      <c r="G36" s="95">
        <v>0.24099999999999999</v>
      </c>
      <c r="H36" s="95">
        <v>0.247</v>
      </c>
      <c r="I36" s="95">
        <v>0.253</v>
      </c>
      <c r="J36" s="95">
        <v>0.25900000000000001</v>
      </c>
      <c r="K36" s="95">
        <v>0.26600000000000001</v>
      </c>
      <c r="L36" s="95">
        <v>0.27300000000000002</v>
      </c>
      <c r="M36" s="95">
        <v>0.27900000000000003</v>
      </c>
      <c r="N36" s="95">
        <v>0.28699999999999998</v>
      </c>
      <c r="O36" s="95">
        <v>0.29399999999999998</v>
      </c>
      <c r="P36" s="95">
        <v>0.30199999999999999</v>
      </c>
      <c r="Q36" s="95">
        <v>0.31</v>
      </c>
      <c r="R36" s="95">
        <v>0.31900000000000001</v>
      </c>
      <c r="S36" s="95">
        <v>0.32700000000000001</v>
      </c>
      <c r="T36" s="95">
        <v>0.33700000000000002</v>
      </c>
      <c r="U36" s="95">
        <v>0.34599999999999997</v>
      </c>
      <c r="V36" s="95">
        <v>0.35599999999999998</v>
      </c>
      <c r="W36" s="95">
        <v>0.36699999999999999</v>
      </c>
      <c r="X36" s="95">
        <v>0.378</v>
      </c>
      <c r="Y36" s="95">
        <v>0.38900000000000001</v>
      </c>
      <c r="Z36" s="95">
        <v>0.40200000000000002</v>
      </c>
      <c r="AA36" s="95">
        <v>0.41399999999999998</v>
      </c>
      <c r="AB36" s="95">
        <v>0.42799999999999999</v>
      </c>
      <c r="AC36" s="95">
        <v>0.442</v>
      </c>
      <c r="AD36" s="95">
        <v>0.45700000000000002</v>
      </c>
      <c r="AE36" s="95">
        <v>0.47299999999999998</v>
      </c>
      <c r="AF36" s="95">
        <v>0.48899999999999999</v>
      </c>
      <c r="AG36" s="95">
        <v>0.50700000000000001</v>
      </c>
      <c r="AH36" s="95">
        <v>0.52600000000000002</v>
      </c>
      <c r="AI36" s="95">
        <v>0.54600000000000004</v>
      </c>
      <c r="AJ36" s="95">
        <v>0.56699999999999995</v>
      </c>
      <c r="AK36" s="95">
        <v>0.59</v>
      </c>
      <c r="AL36" s="95">
        <v>0.61399999999999999</v>
      </c>
      <c r="AM36" s="95">
        <v>0.64</v>
      </c>
      <c r="AN36" s="95">
        <v>0.66700000000000004</v>
      </c>
      <c r="AO36" s="95">
        <v>0.69699999999999995</v>
      </c>
      <c r="AP36" s="95">
        <v>0.72899999999999998</v>
      </c>
      <c r="AQ36" s="95">
        <v>0.76400000000000001</v>
      </c>
      <c r="AR36" s="95">
        <v>0.80100000000000005</v>
      </c>
      <c r="AS36" s="95">
        <v>0.84199999999999997</v>
      </c>
      <c r="AT36" s="95">
        <v>0.88600000000000001</v>
      </c>
      <c r="AU36" s="95">
        <v>0.93400000000000005</v>
      </c>
      <c r="AV36" s="95">
        <v>0.98699999999999999</v>
      </c>
    </row>
    <row r="37" spans="1:48" x14ac:dyDescent="0.25">
      <c r="A37" s="93">
        <v>10</v>
      </c>
      <c r="B37" s="95">
        <v>0.216</v>
      </c>
      <c r="C37" s="95">
        <v>0.221</v>
      </c>
      <c r="D37" s="95">
        <v>0.22600000000000001</v>
      </c>
      <c r="E37" s="95">
        <v>0.23100000000000001</v>
      </c>
      <c r="F37" s="95">
        <v>0.23599999999999999</v>
      </c>
      <c r="G37" s="95">
        <v>0.24199999999999999</v>
      </c>
      <c r="H37" s="95">
        <v>0.248</v>
      </c>
      <c r="I37" s="95">
        <v>0.254</v>
      </c>
      <c r="J37" s="95">
        <v>0.26</v>
      </c>
      <c r="K37" s="95">
        <v>0.26600000000000001</v>
      </c>
      <c r="L37" s="95">
        <v>0.27300000000000002</v>
      </c>
      <c r="M37" s="95">
        <v>0.28000000000000003</v>
      </c>
      <c r="N37" s="95">
        <v>0.28699999999999998</v>
      </c>
      <c r="O37" s="95">
        <v>0.29499999999999998</v>
      </c>
      <c r="P37" s="95">
        <v>0.30299999999999999</v>
      </c>
      <c r="Q37" s="95">
        <v>0.311</v>
      </c>
      <c r="R37" s="95">
        <v>0.31900000000000001</v>
      </c>
      <c r="S37" s="95">
        <v>0.32800000000000001</v>
      </c>
      <c r="T37" s="95">
        <v>0.33700000000000002</v>
      </c>
      <c r="U37" s="95">
        <v>0.34699999999999998</v>
      </c>
      <c r="V37" s="95">
        <v>0.35699999999999998</v>
      </c>
      <c r="W37" s="95">
        <v>0.36799999999999999</v>
      </c>
      <c r="X37" s="95">
        <v>0.379</v>
      </c>
      <c r="Y37" s="95">
        <v>0.39</v>
      </c>
      <c r="Z37" s="95">
        <v>0.40300000000000002</v>
      </c>
      <c r="AA37" s="95">
        <v>0.41499999999999998</v>
      </c>
      <c r="AB37" s="95">
        <v>0.42899999999999999</v>
      </c>
      <c r="AC37" s="95">
        <v>0.443</v>
      </c>
      <c r="AD37" s="95">
        <v>0.45800000000000002</v>
      </c>
      <c r="AE37" s="95">
        <v>0.47399999999999998</v>
      </c>
      <c r="AF37" s="95">
        <v>0.49099999999999999</v>
      </c>
      <c r="AG37" s="95">
        <v>0.50900000000000001</v>
      </c>
      <c r="AH37" s="95">
        <v>0.52700000000000002</v>
      </c>
      <c r="AI37" s="95">
        <v>0.54700000000000004</v>
      </c>
      <c r="AJ37" s="95">
        <v>0.56899999999999995</v>
      </c>
      <c r="AK37" s="95">
        <v>0.59099999999999997</v>
      </c>
      <c r="AL37" s="95">
        <v>0.61599999999999999</v>
      </c>
      <c r="AM37" s="95">
        <v>0.64200000000000002</v>
      </c>
      <c r="AN37" s="95">
        <v>0.67</v>
      </c>
      <c r="AO37" s="95">
        <v>0.7</v>
      </c>
      <c r="AP37" s="95">
        <v>0.73199999999999998</v>
      </c>
      <c r="AQ37" s="95">
        <v>0.76700000000000002</v>
      </c>
      <c r="AR37" s="95">
        <v>0.80400000000000005</v>
      </c>
      <c r="AS37" s="95">
        <v>0.84499999999999997</v>
      </c>
      <c r="AT37" s="95">
        <v>0.88900000000000001</v>
      </c>
      <c r="AU37" s="95">
        <v>0.93799999999999994</v>
      </c>
      <c r="AV37" s="95">
        <v>0.99099999999999999</v>
      </c>
    </row>
    <row r="38" spans="1:48" x14ac:dyDescent="0.25">
      <c r="A38" s="93">
        <v>11</v>
      </c>
      <c r="B38" s="95">
        <v>0.216</v>
      </c>
      <c r="C38" s="95">
        <v>0.221</v>
      </c>
      <c r="D38" s="95">
        <v>0.22600000000000001</v>
      </c>
      <c r="E38" s="95">
        <v>0.23100000000000001</v>
      </c>
      <c r="F38" s="95">
        <v>0.23699999999999999</v>
      </c>
      <c r="G38" s="95">
        <v>0.24199999999999999</v>
      </c>
      <c r="H38" s="95">
        <v>0.248</v>
      </c>
      <c r="I38" s="95">
        <v>0.254</v>
      </c>
      <c r="J38" s="95">
        <v>0.26</v>
      </c>
      <c r="K38" s="95">
        <v>0.26700000000000002</v>
      </c>
      <c r="L38" s="95">
        <v>0.27400000000000002</v>
      </c>
      <c r="M38" s="95">
        <v>0.28100000000000003</v>
      </c>
      <c r="N38" s="95">
        <v>0.28799999999999998</v>
      </c>
      <c r="O38" s="95">
        <v>0.29499999999999998</v>
      </c>
      <c r="P38" s="95">
        <v>0.30299999999999999</v>
      </c>
      <c r="Q38" s="95">
        <v>0.311</v>
      </c>
      <c r="R38" s="95">
        <v>0.32</v>
      </c>
      <c r="S38" s="95">
        <v>0.32900000000000001</v>
      </c>
      <c r="T38" s="95">
        <v>0.33800000000000002</v>
      </c>
      <c r="U38" s="95">
        <v>0.34799999999999998</v>
      </c>
      <c r="V38" s="95">
        <v>0.35799999999999998</v>
      </c>
      <c r="W38" s="95">
        <v>0.36899999999999999</v>
      </c>
      <c r="X38" s="95">
        <v>0.38</v>
      </c>
      <c r="Y38" s="95">
        <v>0.39100000000000001</v>
      </c>
      <c r="Z38" s="95">
        <v>0.40400000000000003</v>
      </c>
      <c r="AA38" s="95">
        <v>0.41699999999999998</v>
      </c>
      <c r="AB38" s="95">
        <v>0.43</v>
      </c>
      <c r="AC38" s="95">
        <v>0.44400000000000001</v>
      </c>
      <c r="AD38" s="95">
        <v>0.45900000000000002</v>
      </c>
      <c r="AE38" s="95">
        <v>0.47499999999999998</v>
      </c>
      <c r="AF38" s="95">
        <v>0.49199999999999999</v>
      </c>
      <c r="AG38" s="95">
        <v>0.51</v>
      </c>
      <c r="AH38" s="95">
        <v>0.52900000000000003</v>
      </c>
      <c r="AI38" s="95">
        <v>0.54900000000000004</v>
      </c>
      <c r="AJ38" s="95">
        <v>0.57099999999999995</v>
      </c>
      <c r="AK38" s="95">
        <v>0.59299999999999997</v>
      </c>
      <c r="AL38" s="95">
        <v>0.61799999999999999</v>
      </c>
      <c r="AM38" s="95">
        <v>0.64400000000000002</v>
      </c>
      <c r="AN38" s="95">
        <v>0.67200000000000004</v>
      </c>
      <c r="AO38" s="95">
        <v>0.70199999999999996</v>
      </c>
      <c r="AP38" s="95">
        <v>0.73399999999999999</v>
      </c>
      <c r="AQ38" s="95">
        <v>0.76900000000000002</v>
      </c>
      <c r="AR38" s="95">
        <v>0.80700000000000005</v>
      </c>
      <c r="AS38" s="95">
        <v>0.84799999999999998</v>
      </c>
      <c r="AT38" s="95">
        <v>0.89300000000000002</v>
      </c>
      <c r="AU38" s="95">
        <v>0.94199999999999995</v>
      </c>
      <c r="AV38" s="95">
        <v>0.996</v>
      </c>
    </row>
    <row r="44" spans="1:48" ht="39.6" customHeight="1" x14ac:dyDescent="0.25"/>
    <row r="46" spans="1:48" ht="27.6" customHeight="1" x14ac:dyDescent="0.25"/>
  </sheetData>
  <sheetProtection algorithmName="SHA-512" hashValue="QLmhKuu1nPPRUjaInrOyYvj200wsn/trS2tYK208Q8kAgoTbv9bKTDw5o+LoDbsKRvrA6rDnH30woaXgya9xNQ==" saltValue="8GdHuuY4C0pDOqDleCv3lQ==" spinCount="100000" sheet="1" objects="1" scenarios="1"/>
  <conditionalFormatting sqref="A6:A21">
    <cfRule type="expression" dxfId="145" priority="15" stopIfTrue="1">
      <formula>MOD(ROW(),2)=0</formula>
    </cfRule>
    <cfRule type="expression" dxfId="144" priority="16" stopIfTrue="1">
      <formula>MOD(ROW(),2)&lt;&gt;0</formula>
    </cfRule>
  </conditionalFormatting>
  <conditionalFormatting sqref="A26:A38">
    <cfRule type="expression" dxfId="143" priority="3" stopIfTrue="1">
      <formula>MOD(ROW(),2)=0</formula>
    </cfRule>
    <cfRule type="expression" dxfId="142" priority="4" stopIfTrue="1">
      <formula>MOD(ROW(),2)&lt;&gt;0</formula>
    </cfRule>
  </conditionalFormatting>
  <conditionalFormatting sqref="B18:B21">
    <cfRule type="expression" dxfId="141" priority="1" stopIfTrue="1">
      <formula>MOD(ROW(),2)=0</formula>
    </cfRule>
    <cfRule type="expression" dxfId="140" priority="2" stopIfTrue="1">
      <formula>MOD(ROW(),2)&lt;&gt;0</formula>
    </cfRule>
  </conditionalFormatting>
  <conditionalFormatting sqref="B6:AV21">
    <cfRule type="expression" dxfId="139" priority="25" stopIfTrue="1">
      <formula>MOD(ROW(),2)=0</formula>
    </cfRule>
    <cfRule type="expression" dxfId="138" priority="26" stopIfTrue="1">
      <formula>MOD(ROW(),2)&lt;&gt;0</formula>
    </cfRule>
  </conditionalFormatting>
  <conditionalFormatting sqref="B17:AV17">
    <cfRule type="expression" dxfId="137" priority="7" stopIfTrue="1">
      <formula>MOD(ROW(),2)=0</formula>
    </cfRule>
    <cfRule type="expression" dxfId="136" priority="8" stopIfTrue="1">
      <formula>MOD(ROW(),2)&lt;&gt;0</formula>
    </cfRule>
  </conditionalFormatting>
  <conditionalFormatting sqref="B26:AV38">
    <cfRule type="expression" dxfId="135" priority="5" stopIfTrue="1">
      <formula>MOD(ROW(),2)=0</formula>
    </cfRule>
    <cfRule type="expression" dxfId="13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AQ46"/>
  <sheetViews>
    <sheetView showGridLines="0" zoomScale="85" zoomScaleNormal="85" workbookViewId="0">
      <selection activeCell="A4" sqref="A4"/>
    </sheetView>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TABLE_FACTOR_TYPE_1&amp;" - x-"&amp;TABLE_SERIES_NUMBER_1</f>
        <v>Scheme pays AA - x-619</v>
      </c>
      <c r="B3" s="43"/>
      <c r="C3" s="43"/>
      <c r="D3" s="43"/>
      <c r="E3" s="43"/>
      <c r="F3" s="43"/>
      <c r="G3" s="43"/>
      <c r="H3" s="43"/>
      <c r="I3" s="43"/>
    </row>
    <row r="4" spans="1:43" x14ac:dyDescent="0.25">
      <c r="A4" s="45"/>
    </row>
    <row r="6" spans="1:43" x14ac:dyDescent="0.25">
      <c r="A6" s="77" t="s">
        <v>558</v>
      </c>
      <c r="B6" s="152" t="s">
        <v>559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row>
    <row r="7" spans="1:43" x14ac:dyDescent="0.25">
      <c r="A7" s="79" t="s">
        <v>305</v>
      </c>
      <c r="B7" s="152" t="s">
        <v>319</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row>
    <row r="8" spans="1:43" x14ac:dyDescent="0.25">
      <c r="A8" s="79" t="s">
        <v>306</v>
      </c>
      <c r="B8" s="152">
        <v>2007</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row>
    <row r="9" spans="1:43" x14ac:dyDescent="0.25">
      <c r="A9" s="79" t="s">
        <v>307</v>
      </c>
      <c r="B9" s="152" t="s">
        <v>481</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row>
    <row r="10" spans="1:43" x14ac:dyDescent="0.25">
      <c r="A10" s="79" t="s">
        <v>233</v>
      </c>
      <c r="B10" s="152" t="s">
        <v>519</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row>
    <row r="11" spans="1:43" x14ac:dyDescent="0.25">
      <c r="A11" s="79" t="s">
        <v>308</v>
      </c>
      <c r="B11" s="152" t="s">
        <v>404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row>
    <row r="12" spans="1:43" x14ac:dyDescent="0.25">
      <c r="A12" s="79" t="s">
        <v>309</v>
      </c>
      <c r="B12" s="152" t="s">
        <v>507</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row>
    <row r="13" spans="1:43" x14ac:dyDescent="0.25">
      <c r="A13" s="79" t="s">
        <v>566</v>
      </c>
      <c r="B13" s="152">
        <v>1</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row>
    <row r="14" spans="1:43" x14ac:dyDescent="0.25">
      <c r="A14" s="79" t="s">
        <v>311</v>
      </c>
      <c r="B14" s="152">
        <v>619</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row>
    <row r="15" spans="1:43" x14ac:dyDescent="0.25">
      <c r="A15" s="79" t="s">
        <v>569</v>
      </c>
      <c r="B15" s="152" t="s">
        <v>520</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row>
    <row r="16" spans="1:43" x14ac:dyDescent="0.25">
      <c r="A16" s="79" t="s">
        <v>313</v>
      </c>
      <c r="B16" s="152" t="s">
        <v>521</v>
      </c>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row>
    <row r="17" spans="1:43" x14ac:dyDescent="0.25">
      <c r="A17" s="79" t="s">
        <v>639</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row>
    <row r="18" spans="1:43" x14ac:dyDescent="0.25">
      <c r="A18" s="79" t="s">
        <v>315</v>
      </c>
      <c r="B18" s="154">
        <v>45135</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row>
    <row r="19" spans="1:43" x14ac:dyDescent="0.25">
      <c r="A19" s="79" t="s">
        <v>316</v>
      </c>
      <c r="B19" s="154">
        <v>45135</v>
      </c>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row>
    <row r="20" spans="1:43" x14ac:dyDescent="0.25">
      <c r="A20" s="79" t="s">
        <v>317</v>
      </c>
      <c r="B20" s="152" t="s">
        <v>326</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row>
    <row r="21" spans="1:43" x14ac:dyDescent="0.25">
      <c r="A21" s="79" t="s">
        <v>318</v>
      </c>
      <c r="B21" s="152" t="s">
        <v>327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row>
    <row r="23" spans="1:43" x14ac:dyDescent="0.25">
      <c r="B23" s="96" t="str">
        <f>HYPERLINK("#'Factor List'!A1","Back to Factor List")</f>
        <v>Back to Factor List</v>
      </c>
    </row>
    <row r="24" spans="1:43" x14ac:dyDescent="0.25">
      <c r="B24" s="96" t="str">
        <f>HYPERLINK("#'Assumptions'!A1","Assumptions")</f>
        <v>Assumptions</v>
      </c>
    </row>
    <row r="26" spans="1:43" x14ac:dyDescent="0.25">
      <c r="A26" s="92" t="s">
        <v>664</v>
      </c>
      <c r="B26" s="92">
        <v>18</v>
      </c>
      <c r="C26" s="92">
        <v>19</v>
      </c>
      <c r="D26" s="92">
        <v>20</v>
      </c>
      <c r="E26" s="92">
        <v>21</v>
      </c>
      <c r="F26" s="92">
        <v>22</v>
      </c>
      <c r="G26" s="92">
        <v>23</v>
      </c>
      <c r="H26" s="92">
        <v>24</v>
      </c>
      <c r="I26" s="92">
        <v>25</v>
      </c>
      <c r="J26" s="92">
        <v>26</v>
      </c>
      <c r="K26" s="92">
        <v>27</v>
      </c>
      <c r="L26" s="92">
        <v>28</v>
      </c>
      <c r="M26" s="92">
        <v>29</v>
      </c>
      <c r="N26" s="92">
        <v>30</v>
      </c>
      <c r="O26" s="92">
        <v>31</v>
      </c>
      <c r="P26" s="92">
        <v>32</v>
      </c>
      <c r="Q26" s="92">
        <v>33</v>
      </c>
      <c r="R26" s="92">
        <v>34</v>
      </c>
      <c r="S26" s="92">
        <v>35</v>
      </c>
      <c r="T26" s="92">
        <v>36</v>
      </c>
      <c r="U26" s="92">
        <v>37</v>
      </c>
      <c r="V26" s="92">
        <v>38</v>
      </c>
      <c r="W26" s="92">
        <v>39</v>
      </c>
      <c r="X26" s="92">
        <v>40</v>
      </c>
      <c r="Y26" s="92">
        <v>41</v>
      </c>
      <c r="Z26" s="92">
        <v>42</v>
      </c>
      <c r="AA26" s="92">
        <v>43</v>
      </c>
      <c r="AB26" s="92">
        <v>44</v>
      </c>
      <c r="AC26" s="92">
        <v>45</v>
      </c>
      <c r="AD26" s="92">
        <v>46</v>
      </c>
      <c r="AE26" s="92">
        <v>47</v>
      </c>
      <c r="AF26" s="92">
        <v>48</v>
      </c>
      <c r="AG26" s="92">
        <v>49</v>
      </c>
      <c r="AH26" s="92">
        <v>50</v>
      </c>
      <c r="AI26" s="92">
        <v>51</v>
      </c>
      <c r="AJ26" s="92">
        <v>52</v>
      </c>
      <c r="AK26" s="92">
        <v>53</v>
      </c>
      <c r="AL26" s="92">
        <v>54</v>
      </c>
      <c r="AM26" s="92">
        <v>55</v>
      </c>
      <c r="AN26" s="92">
        <v>56</v>
      </c>
      <c r="AO26" s="92">
        <v>57</v>
      </c>
      <c r="AP26" s="92">
        <v>58</v>
      </c>
      <c r="AQ26" s="92">
        <v>59</v>
      </c>
    </row>
    <row r="27" spans="1:43" x14ac:dyDescent="0.25">
      <c r="A27" s="93">
        <v>0</v>
      </c>
      <c r="B27" s="95">
        <v>0.26700000000000002</v>
      </c>
      <c r="C27" s="95">
        <v>0.27300000000000002</v>
      </c>
      <c r="D27" s="95">
        <v>0.27900000000000003</v>
      </c>
      <c r="E27" s="95">
        <v>0.28599999999999998</v>
      </c>
      <c r="F27" s="95">
        <v>0.29299999999999998</v>
      </c>
      <c r="G27" s="95">
        <v>0.3</v>
      </c>
      <c r="H27" s="95">
        <v>0.307</v>
      </c>
      <c r="I27" s="95">
        <v>0.315</v>
      </c>
      <c r="J27" s="95">
        <v>0.32200000000000001</v>
      </c>
      <c r="K27" s="95">
        <v>0.33</v>
      </c>
      <c r="L27" s="95">
        <v>0.33900000000000002</v>
      </c>
      <c r="M27" s="95">
        <v>0.34799999999999998</v>
      </c>
      <c r="N27" s="95">
        <v>0.35699999999999998</v>
      </c>
      <c r="O27" s="95">
        <v>0.36599999999999999</v>
      </c>
      <c r="P27" s="95">
        <v>0.376</v>
      </c>
      <c r="Q27" s="95">
        <v>0.38600000000000001</v>
      </c>
      <c r="R27" s="95">
        <v>0.39700000000000002</v>
      </c>
      <c r="S27" s="95">
        <v>0.40799999999999997</v>
      </c>
      <c r="T27" s="95">
        <v>0.42</v>
      </c>
      <c r="U27" s="95">
        <v>0.432</v>
      </c>
      <c r="V27" s="95">
        <v>0.44500000000000001</v>
      </c>
      <c r="W27" s="95">
        <v>0.45800000000000002</v>
      </c>
      <c r="X27" s="95">
        <v>0.47199999999999998</v>
      </c>
      <c r="Y27" s="95">
        <v>0.48599999999999999</v>
      </c>
      <c r="Z27" s="95">
        <v>0.502</v>
      </c>
      <c r="AA27" s="95">
        <v>0.51800000000000002</v>
      </c>
      <c r="AB27" s="95">
        <v>0.53500000000000003</v>
      </c>
      <c r="AC27" s="95">
        <v>0.55200000000000005</v>
      </c>
      <c r="AD27" s="95">
        <v>0.57099999999999995</v>
      </c>
      <c r="AE27" s="95">
        <v>0.59099999999999997</v>
      </c>
      <c r="AF27" s="95">
        <v>0.61199999999999999</v>
      </c>
      <c r="AG27" s="95">
        <v>0.63400000000000001</v>
      </c>
      <c r="AH27" s="95">
        <v>0.65800000000000003</v>
      </c>
      <c r="AI27" s="95">
        <v>0.68300000000000005</v>
      </c>
      <c r="AJ27" s="95">
        <v>0.70899999999999996</v>
      </c>
      <c r="AK27" s="95">
        <v>0.73699999999999999</v>
      </c>
      <c r="AL27" s="95">
        <v>0.76700000000000002</v>
      </c>
      <c r="AM27" s="95">
        <v>0.8</v>
      </c>
      <c r="AN27" s="95">
        <v>0.83399999999999996</v>
      </c>
      <c r="AO27" s="95">
        <v>0.871</v>
      </c>
      <c r="AP27" s="95">
        <v>0.91100000000000003</v>
      </c>
      <c r="AQ27" s="95">
        <v>0.95399999999999996</v>
      </c>
    </row>
    <row r="28" spans="1:43" x14ac:dyDescent="0.25">
      <c r="A28" s="93">
        <v>1</v>
      </c>
      <c r="B28" s="95">
        <v>0.26700000000000002</v>
      </c>
      <c r="C28" s="95">
        <v>0.27300000000000002</v>
      </c>
      <c r="D28" s="95">
        <v>0.28000000000000003</v>
      </c>
      <c r="E28" s="95">
        <v>0.28599999999999998</v>
      </c>
      <c r="F28" s="95">
        <v>0.29299999999999998</v>
      </c>
      <c r="G28" s="95">
        <v>0.3</v>
      </c>
      <c r="H28" s="95">
        <v>0.308</v>
      </c>
      <c r="I28" s="95">
        <v>0.315</v>
      </c>
      <c r="J28" s="95">
        <v>0.32300000000000001</v>
      </c>
      <c r="K28" s="95">
        <v>0.33100000000000002</v>
      </c>
      <c r="L28" s="95">
        <v>0.34</v>
      </c>
      <c r="M28" s="95">
        <v>0.34799999999999998</v>
      </c>
      <c r="N28" s="95">
        <v>0.35799999999999998</v>
      </c>
      <c r="O28" s="95">
        <v>0.36699999999999999</v>
      </c>
      <c r="P28" s="95">
        <v>0.377</v>
      </c>
      <c r="Q28" s="95">
        <v>0.38700000000000001</v>
      </c>
      <c r="R28" s="95">
        <v>0.39800000000000002</v>
      </c>
      <c r="S28" s="95">
        <v>0.40899999999999997</v>
      </c>
      <c r="T28" s="95">
        <v>0.42099999999999999</v>
      </c>
      <c r="U28" s="95">
        <v>0.433</v>
      </c>
      <c r="V28" s="95">
        <v>0.44600000000000001</v>
      </c>
      <c r="W28" s="95">
        <v>0.45900000000000002</v>
      </c>
      <c r="X28" s="95">
        <v>0.47299999999999998</v>
      </c>
      <c r="Y28" s="95">
        <v>0.48799999999999999</v>
      </c>
      <c r="Z28" s="95">
        <v>0.503</v>
      </c>
      <c r="AA28" s="95">
        <v>0.51900000000000002</v>
      </c>
      <c r="AB28" s="95">
        <v>0.53600000000000003</v>
      </c>
      <c r="AC28" s="95">
        <v>0.55400000000000005</v>
      </c>
      <c r="AD28" s="95">
        <v>0.57299999999999995</v>
      </c>
      <c r="AE28" s="95">
        <v>0.59299999999999997</v>
      </c>
      <c r="AF28" s="95">
        <v>0.61399999999999999</v>
      </c>
      <c r="AG28" s="95">
        <v>0.63600000000000001</v>
      </c>
      <c r="AH28" s="95">
        <v>0.66</v>
      </c>
      <c r="AI28" s="95">
        <v>0.68500000000000005</v>
      </c>
      <c r="AJ28" s="95">
        <v>0.71099999999999997</v>
      </c>
      <c r="AK28" s="95">
        <v>0.74</v>
      </c>
      <c r="AL28" s="95">
        <v>0.77</v>
      </c>
      <c r="AM28" s="95">
        <v>0.80200000000000005</v>
      </c>
      <c r="AN28" s="95">
        <v>0.83699999999999997</v>
      </c>
      <c r="AO28" s="95">
        <v>0.874</v>
      </c>
      <c r="AP28" s="95">
        <v>0.91400000000000003</v>
      </c>
      <c r="AQ28" s="95">
        <v>0.95799999999999996</v>
      </c>
    </row>
    <row r="29" spans="1:43" x14ac:dyDescent="0.25">
      <c r="A29" s="93">
        <v>2</v>
      </c>
      <c r="B29" s="95">
        <v>0.26800000000000002</v>
      </c>
      <c r="C29" s="95">
        <v>0.27400000000000002</v>
      </c>
      <c r="D29" s="95">
        <v>0.28000000000000003</v>
      </c>
      <c r="E29" s="95">
        <v>0.28699999999999998</v>
      </c>
      <c r="F29" s="95">
        <v>0.29399999999999998</v>
      </c>
      <c r="G29" s="95">
        <v>0.30099999999999999</v>
      </c>
      <c r="H29" s="95">
        <v>0.308</v>
      </c>
      <c r="I29" s="95">
        <v>0.316</v>
      </c>
      <c r="J29" s="95">
        <v>0.32400000000000001</v>
      </c>
      <c r="K29" s="95">
        <v>0.33200000000000002</v>
      </c>
      <c r="L29" s="95">
        <v>0.34</v>
      </c>
      <c r="M29" s="95">
        <v>0.34899999999999998</v>
      </c>
      <c r="N29" s="95">
        <v>0.35799999999999998</v>
      </c>
      <c r="O29" s="95">
        <v>0.36799999999999999</v>
      </c>
      <c r="P29" s="95">
        <v>0.378</v>
      </c>
      <c r="Q29" s="95">
        <v>0.38800000000000001</v>
      </c>
      <c r="R29" s="95">
        <v>0.39900000000000002</v>
      </c>
      <c r="S29" s="95">
        <v>0.41</v>
      </c>
      <c r="T29" s="95">
        <v>0.42199999999999999</v>
      </c>
      <c r="U29" s="95">
        <v>0.434</v>
      </c>
      <c r="V29" s="95">
        <v>0.44700000000000001</v>
      </c>
      <c r="W29" s="95">
        <v>0.46</v>
      </c>
      <c r="X29" s="95">
        <v>0.47399999999999998</v>
      </c>
      <c r="Y29" s="95">
        <v>0.48899999999999999</v>
      </c>
      <c r="Z29" s="95">
        <v>0.504</v>
      </c>
      <c r="AA29" s="95">
        <v>0.52100000000000002</v>
      </c>
      <c r="AB29" s="95">
        <v>0.53800000000000003</v>
      </c>
      <c r="AC29" s="95">
        <v>0.55600000000000005</v>
      </c>
      <c r="AD29" s="95">
        <v>0.57399999999999995</v>
      </c>
      <c r="AE29" s="95">
        <v>0.59399999999999997</v>
      </c>
      <c r="AF29" s="95">
        <v>0.61599999999999999</v>
      </c>
      <c r="AG29" s="95">
        <v>0.63800000000000001</v>
      </c>
      <c r="AH29" s="95">
        <v>0.66200000000000003</v>
      </c>
      <c r="AI29" s="95">
        <v>0.68700000000000006</v>
      </c>
      <c r="AJ29" s="95">
        <v>0.71399999999999997</v>
      </c>
      <c r="AK29" s="95">
        <v>0.74199999999999999</v>
      </c>
      <c r="AL29" s="95">
        <v>0.77300000000000002</v>
      </c>
      <c r="AM29" s="95">
        <v>0.80500000000000005</v>
      </c>
      <c r="AN29" s="95">
        <v>0.84</v>
      </c>
      <c r="AO29" s="95">
        <v>0.878</v>
      </c>
      <c r="AP29" s="95">
        <v>0.91800000000000004</v>
      </c>
      <c r="AQ29" s="95">
        <v>0.96099999999999997</v>
      </c>
    </row>
    <row r="30" spans="1:43" x14ac:dyDescent="0.25">
      <c r="A30" s="93">
        <v>3</v>
      </c>
      <c r="B30" s="95">
        <v>0.26800000000000002</v>
      </c>
      <c r="C30" s="95">
        <v>0.27500000000000002</v>
      </c>
      <c r="D30" s="95">
        <v>0.28100000000000003</v>
      </c>
      <c r="E30" s="95">
        <v>0.28799999999999998</v>
      </c>
      <c r="F30" s="95">
        <v>0.29399999999999998</v>
      </c>
      <c r="G30" s="95">
        <v>0.30199999999999999</v>
      </c>
      <c r="H30" s="95">
        <v>0.309</v>
      </c>
      <c r="I30" s="95">
        <v>0.316</v>
      </c>
      <c r="J30" s="95">
        <v>0.32400000000000001</v>
      </c>
      <c r="K30" s="95">
        <v>0.33300000000000002</v>
      </c>
      <c r="L30" s="95">
        <v>0.34100000000000003</v>
      </c>
      <c r="M30" s="95">
        <v>0.35</v>
      </c>
      <c r="N30" s="95">
        <v>0.35899999999999999</v>
      </c>
      <c r="O30" s="95">
        <v>0.36899999999999999</v>
      </c>
      <c r="P30" s="95">
        <v>0.379</v>
      </c>
      <c r="Q30" s="95">
        <v>0.38900000000000001</v>
      </c>
      <c r="R30" s="95">
        <v>0.4</v>
      </c>
      <c r="S30" s="95">
        <v>0.41099999999999998</v>
      </c>
      <c r="T30" s="95">
        <v>0.42299999999999999</v>
      </c>
      <c r="U30" s="95">
        <v>0.435</v>
      </c>
      <c r="V30" s="95">
        <v>0.44800000000000001</v>
      </c>
      <c r="W30" s="95">
        <v>0.46100000000000002</v>
      </c>
      <c r="X30" s="95">
        <v>0.47499999999999998</v>
      </c>
      <c r="Y30" s="95">
        <v>0.49</v>
      </c>
      <c r="Z30" s="95">
        <v>0.50600000000000001</v>
      </c>
      <c r="AA30" s="95">
        <v>0.52200000000000002</v>
      </c>
      <c r="AB30" s="95">
        <v>0.53900000000000003</v>
      </c>
      <c r="AC30" s="95">
        <v>0.55700000000000005</v>
      </c>
      <c r="AD30" s="95">
        <v>0.57599999999999996</v>
      </c>
      <c r="AE30" s="95">
        <v>0.59599999999999997</v>
      </c>
      <c r="AF30" s="95">
        <v>0.61699999999999999</v>
      </c>
      <c r="AG30" s="95">
        <v>0.64</v>
      </c>
      <c r="AH30" s="95">
        <v>0.66400000000000003</v>
      </c>
      <c r="AI30" s="95">
        <v>0.68899999999999995</v>
      </c>
      <c r="AJ30" s="95">
        <v>0.71599999999999997</v>
      </c>
      <c r="AK30" s="95">
        <v>0.745</v>
      </c>
      <c r="AL30" s="95">
        <v>0.77500000000000002</v>
      </c>
      <c r="AM30" s="95">
        <v>0.80800000000000005</v>
      </c>
      <c r="AN30" s="95">
        <v>0.84299999999999997</v>
      </c>
      <c r="AO30" s="95">
        <v>0.88100000000000001</v>
      </c>
      <c r="AP30" s="95">
        <v>0.92200000000000004</v>
      </c>
      <c r="AQ30" s="95">
        <v>0.96499999999999997</v>
      </c>
    </row>
    <row r="31" spans="1:43" x14ac:dyDescent="0.25">
      <c r="A31" s="93">
        <v>4</v>
      </c>
      <c r="B31" s="95">
        <v>0.26900000000000002</v>
      </c>
      <c r="C31" s="95">
        <v>0.27500000000000002</v>
      </c>
      <c r="D31" s="95">
        <v>0.28100000000000003</v>
      </c>
      <c r="E31" s="95">
        <v>0.28799999999999998</v>
      </c>
      <c r="F31" s="95">
        <v>0.29499999999999998</v>
      </c>
      <c r="G31" s="95">
        <v>0.30199999999999999</v>
      </c>
      <c r="H31" s="95">
        <v>0.31</v>
      </c>
      <c r="I31" s="95">
        <v>0.317</v>
      </c>
      <c r="J31" s="95">
        <v>0.32500000000000001</v>
      </c>
      <c r="K31" s="95">
        <v>0.33300000000000002</v>
      </c>
      <c r="L31" s="95">
        <v>0.34200000000000003</v>
      </c>
      <c r="M31" s="95">
        <v>0.35099999999999998</v>
      </c>
      <c r="N31" s="95">
        <v>0.36</v>
      </c>
      <c r="O31" s="95">
        <v>0.36899999999999999</v>
      </c>
      <c r="P31" s="95">
        <v>0.379</v>
      </c>
      <c r="Q31" s="95">
        <v>0.39</v>
      </c>
      <c r="R31" s="95">
        <v>0.40100000000000002</v>
      </c>
      <c r="S31" s="95">
        <v>0.41199999999999998</v>
      </c>
      <c r="T31" s="95">
        <v>0.42399999999999999</v>
      </c>
      <c r="U31" s="95">
        <v>0.436</v>
      </c>
      <c r="V31" s="95">
        <v>0.44900000000000001</v>
      </c>
      <c r="W31" s="95">
        <v>0.46200000000000002</v>
      </c>
      <c r="X31" s="95">
        <v>0.47699999999999998</v>
      </c>
      <c r="Y31" s="95">
        <v>0.49099999999999999</v>
      </c>
      <c r="Z31" s="95">
        <v>0.50700000000000001</v>
      </c>
      <c r="AA31" s="95">
        <v>0.52300000000000002</v>
      </c>
      <c r="AB31" s="95">
        <v>0.54100000000000004</v>
      </c>
      <c r="AC31" s="95">
        <v>0.55900000000000005</v>
      </c>
      <c r="AD31" s="95">
        <v>0.57799999999999996</v>
      </c>
      <c r="AE31" s="95">
        <v>0.59799999999999998</v>
      </c>
      <c r="AF31" s="95">
        <v>0.61899999999999999</v>
      </c>
      <c r="AG31" s="95">
        <v>0.64200000000000002</v>
      </c>
      <c r="AH31" s="95">
        <v>0.66600000000000004</v>
      </c>
      <c r="AI31" s="95">
        <v>0.69099999999999995</v>
      </c>
      <c r="AJ31" s="95">
        <v>0.71799999999999997</v>
      </c>
      <c r="AK31" s="95">
        <v>0.747</v>
      </c>
      <c r="AL31" s="95">
        <v>0.77800000000000002</v>
      </c>
      <c r="AM31" s="95">
        <v>0.81100000000000005</v>
      </c>
      <c r="AN31" s="95">
        <v>0.84599999999999997</v>
      </c>
      <c r="AO31" s="95">
        <v>0.88400000000000001</v>
      </c>
      <c r="AP31" s="95">
        <v>0.92500000000000004</v>
      </c>
      <c r="AQ31" s="95">
        <v>0.96899999999999997</v>
      </c>
    </row>
    <row r="32" spans="1:43" x14ac:dyDescent="0.25">
      <c r="A32" s="93">
        <v>5</v>
      </c>
      <c r="B32" s="95">
        <v>0.26900000000000002</v>
      </c>
      <c r="C32" s="95">
        <v>0.27600000000000002</v>
      </c>
      <c r="D32" s="95">
        <v>0.28199999999999997</v>
      </c>
      <c r="E32" s="95">
        <v>0.28899999999999998</v>
      </c>
      <c r="F32" s="95">
        <v>0.29599999999999999</v>
      </c>
      <c r="G32" s="95">
        <v>0.30299999999999999</v>
      </c>
      <c r="H32" s="95">
        <v>0.31</v>
      </c>
      <c r="I32" s="95">
        <v>0.318</v>
      </c>
      <c r="J32" s="95">
        <v>0.32600000000000001</v>
      </c>
      <c r="K32" s="95">
        <v>0.33400000000000002</v>
      </c>
      <c r="L32" s="95">
        <v>0.34300000000000003</v>
      </c>
      <c r="M32" s="95">
        <v>0.35099999999999998</v>
      </c>
      <c r="N32" s="95">
        <v>0.36099999999999999</v>
      </c>
      <c r="O32" s="95">
        <v>0.37</v>
      </c>
      <c r="P32" s="95">
        <v>0.38</v>
      </c>
      <c r="Q32" s="95">
        <v>0.39100000000000001</v>
      </c>
      <c r="R32" s="95">
        <v>0.40200000000000002</v>
      </c>
      <c r="S32" s="95">
        <v>0.41299999999999998</v>
      </c>
      <c r="T32" s="95">
        <v>0.42499999999999999</v>
      </c>
      <c r="U32" s="95">
        <v>0.437</v>
      </c>
      <c r="V32" s="95">
        <v>0.45</v>
      </c>
      <c r="W32" s="95">
        <v>0.46400000000000002</v>
      </c>
      <c r="X32" s="95">
        <v>0.47799999999999998</v>
      </c>
      <c r="Y32" s="95">
        <v>0.49299999999999999</v>
      </c>
      <c r="Z32" s="95">
        <v>0.50800000000000001</v>
      </c>
      <c r="AA32" s="95">
        <v>0.52500000000000002</v>
      </c>
      <c r="AB32" s="95">
        <v>0.54200000000000004</v>
      </c>
      <c r="AC32" s="95">
        <v>0.56000000000000005</v>
      </c>
      <c r="AD32" s="95">
        <v>0.57899999999999996</v>
      </c>
      <c r="AE32" s="95">
        <v>0.6</v>
      </c>
      <c r="AF32" s="95">
        <v>0.621</v>
      </c>
      <c r="AG32" s="95">
        <v>0.64400000000000002</v>
      </c>
      <c r="AH32" s="95">
        <v>0.66800000000000004</v>
      </c>
      <c r="AI32" s="95">
        <v>0.69399999999999995</v>
      </c>
      <c r="AJ32" s="95">
        <v>0.72099999999999997</v>
      </c>
      <c r="AK32" s="95">
        <v>0.75</v>
      </c>
      <c r="AL32" s="95">
        <v>0.78100000000000003</v>
      </c>
      <c r="AM32" s="95">
        <v>0.81399999999999995</v>
      </c>
      <c r="AN32" s="95">
        <v>0.84899999999999998</v>
      </c>
      <c r="AO32" s="95">
        <v>0.88800000000000001</v>
      </c>
      <c r="AP32" s="95">
        <v>0.92900000000000005</v>
      </c>
      <c r="AQ32" s="95">
        <v>0.97299999999999998</v>
      </c>
    </row>
    <row r="33" spans="1:43" x14ac:dyDescent="0.25">
      <c r="A33" s="93">
        <v>6</v>
      </c>
      <c r="B33" s="95">
        <v>0.27</v>
      </c>
      <c r="C33" s="95">
        <v>0.27600000000000002</v>
      </c>
      <c r="D33" s="95">
        <v>0.28299999999999997</v>
      </c>
      <c r="E33" s="95">
        <v>0.28899999999999998</v>
      </c>
      <c r="F33" s="95">
        <v>0.29599999999999999</v>
      </c>
      <c r="G33" s="95">
        <v>0.30299999999999999</v>
      </c>
      <c r="H33" s="95">
        <v>0.311</v>
      </c>
      <c r="I33" s="95">
        <v>0.318</v>
      </c>
      <c r="J33" s="95">
        <v>0.32600000000000001</v>
      </c>
      <c r="K33" s="95">
        <v>0.33500000000000002</v>
      </c>
      <c r="L33" s="95">
        <v>0.34300000000000003</v>
      </c>
      <c r="M33" s="95">
        <v>0.35199999999999998</v>
      </c>
      <c r="N33" s="95">
        <v>0.36099999999999999</v>
      </c>
      <c r="O33" s="95">
        <v>0.371</v>
      </c>
      <c r="P33" s="95">
        <v>0.38100000000000001</v>
      </c>
      <c r="Q33" s="95">
        <v>0.39200000000000002</v>
      </c>
      <c r="R33" s="95">
        <v>0.40300000000000002</v>
      </c>
      <c r="S33" s="95">
        <v>0.41399999999999998</v>
      </c>
      <c r="T33" s="95">
        <v>0.42599999999999999</v>
      </c>
      <c r="U33" s="95">
        <v>0.438</v>
      </c>
      <c r="V33" s="95">
        <v>0.45100000000000001</v>
      </c>
      <c r="W33" s="95">
        <v>0.46500000000000002</v>
      </c>
      <c r="X33" s="95">
        <v>0.47899999999999998</v>
      </c>
      <c r="Y33" s="95">
        <v>0.49399999999999999</v>
      </c>
      <c r="Z33" s="95">
        <v>0.51</v>
      </c>
      <c r="AA33" s="95">
        <v>0.52600000000000002</v>
      </c>
      <c r="AB33" s="95">
        <v>0.54400000000000004</v>
      </c>
      <c r="AC33" s="95">
        <v>0.56200000000000006</v>
      </c>
      <c r="AD33" s="95">
        <v>0.58099999999999996</v>
      </c>
      <c r="AE33" s="95">
        <v>0.60099999999999998</v>
      </c>
      <c r="AF33" s="95">
        <v>0.623</v>
      </c>
      <c r="AG33" s="95">
        <v>0.64600000000000002</v>
      </c>
      <c r="AH33" s="95">
        <v>0.67</v>
      </c>
      <c r="AI33" s="95">
        <v>0.69599999999999995</v>
      </c>
      <c r="AJ33" s="95">
        <v>0.72299999999999998</v>
      </c>
      <c r="AK33" s="95">
        <v>0.752</v>
      </c>
      <c r="AL33" s="95">
        <v>0.78300000000000003</v>
      </c>
      <c r="AM33" s="95">
        <v>0.81699999999999995</v>
      </c>
      <c r="AN33" s="95">
        <v>0.85299999999999998</v>
      </c>
      <c r="AO33" s="95">
        <v>0.89100000000000001</v>
      </c>
      <c r="AP33" s="95">
        <v>0.93200000000000005</v>
      </c>
      <c r="AQ33" s="95">
        <v>0.97699999999999998</v>
      </c>
    </row>
    <row r="34" spans="1:43" x14ac:dyDescent="0.25">
      <c r="A34" s="93">
        <v>7</v>
      </c>
      <c r="B34" s="95">
        <v>0.27</v>
      </c>
      <c r="C34" s="95">
        <v>0.27700000000000002</v>
      </c>
      <c r="D34" s="95">
        <v>0.28299999999999997</v>
      </c>
      <c r="E34" s="95">
        <v>0.28999999999999998</v>
      </c>
      <c r="F34" s="95">
        <v>0.29699999999999999</v>
      </c>
      <c r="G34" s="95">
        <v>0.30399999999999999</v>
      </c>
      <c r="H34" s="95">
        <v>0.311</v>
      </c>
      <c r="I34" s="95">
        <v>0.31900000000000001</v>
      </c>
      <c r="J34" s="95">
        <v>0.32700000000000001</v>
      </c>
      <c r="K34" s="95">
        <v>0.33500000000000002</v>
      </c>
      <c r="L34" s="95">
        <v>0.34399999999999997</v>
      </c>
      <c r="M34" s="95">
        <v>0.35299999999999998</v>
      </c>
      <c r="N34" s="95">
        <v>0.36199999999999999</v>
      </c>
      <c r="O34" s="95">
        <v>0.372</v>
      </c>
      <c r="P34" s="95">
        <v>0.38200000000000001</v>
      </c>
      <c r="Q34" s="95">
        <v>0.39300000000000002</v>
      </c>
      <c r="R34" s="95">
        <v>0.40300000000000002</v>
      </c>
      <c r="S34" s="95">
        <v>0.41499999999999998</v>
      </c>
      <c r="T34" s="95">
        <v>0.42699999999999999</v>
      </c>
      <c r="U34" s="95">
        <v>0.439</v>
      </c>
      <c r="V34" s="95">
        <v>0.45200000000000001</v>
      </c>
      <c r="W34" s="95">
        <v>0.46600000000000003</v>
      </c>
      <c r="X34" s="95">
        <v>0.48</v>
      </c>
      <c r="Y34" s="95">
        <v>0.495</v>
      </c>
      <c r="Z34" s="95">
        <v>0.51100000000000001</v>
      </c>
      <c r="AA34" s="95">
        <v>0.52800000000000002</v>
      </c>
      <c r="AB34" s="95">
        <v>0.54500000000000004</v>
      </c>
      <c r="AC34" s="95">
        <v>0.56299999999999994</v>
      </c>
      <c r="AD34" s="95">
        <v>0.58299999999999996</v>
      </c>
      <c r="AE34" s="95">
        <v>0.60299999999999998</v>
      </c>
      <c r="AF34" s="95">
        <v>0.625</v>
      </c>
      <c r="AG34" s="95">
        <v>0.64800000000000002</v>
      </c>
      <c r="AH34" s="95">
        <v>0.67200000000000004</v>
      </c>
      <c r="AI34" s="95">
        <v>0.69799999999999995</v>
      </c>
      <c r="AJ34" s="95">
        <v>0.72499999999999998</v>
      </c>
      <c r="AK34" s="95">
        <v>0.755</v>
      </c>
      <c r="AL34" s="95">
        <v>0.78600000000000003</v>
      </c>
      <c r="AM34" s="95">
        <v>0.82</v>
      </c>
      <c r="AN34" s="95">
        <v>0.85599999999999998</v>
      </c>
      <c r="AO34" s="95">
        <v>0.89400000000000002</v>
      </c>
      <c r="AP34" s="95">
        <v>0.93600000000000005</v>
      </c>
      <c r="AQ34" s="95">
        <v>0.98099999999999998</v>
      </c>
    </row>
    <row r="35" spans="1:43" x14ac:dyDescent="0.25">
      <c r="A35" s="93">
        <v>8</v>
      </c>
      <c r="B35" s="95">
        <v>0.27100000000000002</v>
      </c>
      <c r="C35" s="95">
        <v>0.27700000000000002</v>
      </c>
      <c r="D35" s="95">
        <v>0.28399999999999997</v>
      </c>
      <c r="E35" s="95">
        <v>0.28999999999999998</v>
      </c>
      <c r="F35" s="95">
        <v>0.29699999999999999</v>
      </c>
      <c r="G35" s="95">
        <v>0.30499999999999999</v>
      </c>
      <c r="H35" s="95">
        <v>0.312</v>
      </c>
      <c r="I35" s="95">
        <v>0.32</v>
      </c>
      <c r="J35" s="95">
        <v>0.32800000000000001</v>
      </c>
      <c r="K35" s="95">
        <v>0.33600000000000002</v>
      </c>
      <c r="L35" s="95">
        <v>0.34499999999999997</v>
      </c>
      <c r="M35" s="95">
        <v>0.35399999999999998</v>
      </c>
      <c r="N35" s="95">
        <v>0.36299999999999999</v>
      </c>
      <c r="O35" s="95">
        <v>0.373</v>
      </c>
      <c r="P35" s="95">
        <v>0.38300000000000001</v>
      </c>
      <c r="Q35" s="95">
        <v>0.39300000000000002</v>
      </c>
      <c r="R35" s="95">
        <v>0.40400000000000003</v>
      </c>
      <c r="S35" s="95">
        <v>0.41599999999999998</v>
      </c>
      <c r="T35" s="95">
        <v>0.42799999999999999</v>
      </c>
      <c r="U35" s="95">
        <v>0.44</v>
      </c>
      <c r="V35" s="95">
        <v>0.45300000000000001</v>
      </c>
      <c r="W35" s="95">
        <v>0.46700000000000003</v>
      </c>
      <c r="X35" s="95">
        <v>0.48099999999999998</v>
      </c>
      <c r="Y35" s="95">
        <v>0.497</v>
      </c>
      <c r="Z35" s="95">
        <v>0.51200000000000001</v>
      </c>
      <c r="AA35" s="95">
        <v>0.52900000000000003</v>
      </c>
      <c r="AB35" s="95">
        <v>0.54600000000000004</v>
      </c>
      <c r="AC35" s="95">
        <v>0.56499999999999995</v>
      </c>
      <c r="AD35" s="95">
        <v>0.58399999999999996</v>
      </c>
      <c r="AE35" s="95">
        <v>0.60499999999999998</v>
      </c>
      <c r="AF35" s="95">
        <v>0.627</v>
      </c>
      <c r="AG35" s="95">
        <v>0.65</v>
      </c>
      <c r="AH35" s="95">
        <v>0.67400000000000004</v>
      </c>
      <c r="AI35" s="95">
        <v>0.7</v>
      </c>
      <c r="AJ35" s="95">
        <v>0.72799999999999998</v>
      </c>
      <c r="AK35" s="95">
        <v>0.75700000000000001</v>
      </c>
      <c r="AL35" s="95">
        <v>0.78900000000000003</v>
      </c>
      <c r="AM35" s="95">
        <v>0.82299999999999995</v>
      </c>
      <c r="AN35" s="95">
        <v>0.85899999999999999</v>
      </c>
      <c r="AO35" s="95">
        <v>0.89800000000000002</v>
      </c>
      <c r="AP35" s="95">
        <v>0.93899999999999995</v>
      </c>
      <c r="AQ35" s="95">
        <v>0.98499999999999999</v>
      </c>
    </row>
    <row r="36" spans="1:43" x14ac:dyDescent="0.25">
      <c r="A36" s="93">
        <v>9</v>
      </c>
      <c r="B36" s="95">
        <v>0.27100000000000002</v>
      </c>
      <c r="C36" s="95">
        <v>0.27800000000000002</v>
      </c>
      <c r="D36" s="95">
        <v>0.28399999999999997</v>
      </c>
      <c r="E36" s="95">
        <v>0.29099999999999998</v>
      </c>
      <c r="F36" s="95">
        <v>0.29799999999999999</v>
      </c>
      <c r="G36" s="95">
        <v>0.30499999999999999</v>
      </c>
      <c r="H36" s="95">
        <v>0.313</v>
      </c>
      <c r="I36" s="95">
        <v>0.32</v>
      </c>
      <c r="J36" s="95">
        <v>0.32800000000000001</v>
      </c>
      <c r="K36" s="95">
        <v>0.33700000000000002</v>
      </c>
      <c r="L36" s="95">
        <v>0.34499999999999997</v>
      </c>
      <c r="M36" s="95">
        <v>0.35399999999999998</v>
      </c>
      <c r="N36" s="95">
        <v>0.36399999999999999</v>
      </c>
      <c r="O36" s="95">
        <v>0.374</v>
      </c>
      <c r="P36" s="95">
        <v>0.38400000000000001</v>
      </c>
      <c r="Q36" s="95">
        <v>0.39400000000000002</v>
      </c>
      <c r="R36" s="95">
        <v>0.40500000000000003</v>
      </c>
      <c r="S36" s="95">
        <v>0.41699999999999998</v>
      </c>
      <c r="T36" s="95">
        <v>0.42899999999999999</v>
      </c>
      <c r="U36" s="95">
        <v>0.441</v>
      </c>
      <c r="V36" s="95">
        <v>0.45500000000000002</v>
      </c>
      <c r="W36" s="95">
        <v>0.46800000000000003</v>
      </c>
      <c r="X36" s="95">
        <v>0.48299999999999998</v>
      </c>
      <c r="Y36" s="95">
        <v>0.498</v>
      </c>
      <c r="Z36" s="95">
        <v>0.51400000000000001</v>
      </c>
      <c r="AA36" s="95">
        <v>0.53</v>
      </c>
      <c r="AB36" s="95">
        <v>0.54800000000000004</v>
      </c>
      <c r="AC36" s="95">
        <v>0.56599999999999995</v>
      </c>
      <c r="AD36" s="95">
        <v>0.58599999999999997</v>
      </c>
      <c r="AE36" s="95">
        <v>0.60699999999999998</v>
      </c>
      <c r="AF36" s="95">
        <v>0.629</v>
      </c>
      <c r="AG36" s="95">
        <v>0.65200000000000002</v>
      </c>
      <c r="AH36" s="95">
        <v>0.67600000000000005</v>
      </c>
      <c r="AI36" s="95">
        <v>0.70199999999999996</v>
      </c>
      <c r="AJ36" s="95">
        <v>0.73</v>
      </c>
      <c r="AK36" s="95">
        <v>0.76</v>
      </c>
      <c r="AL36" s="95">
        <v>0.79200000000000004</v>
      </c>
      <c r="AM36" s="95">
        <v>0.82499999999999996</v>
      </c>
      <c r="AN36" s="95">
        <v>0.86199999999999999</v>
      </c>
      <c r="AO36" s="95">
        <v>0.90100000000000002</v>
      </c>
      <c r="AP36" s="95">
        <v>0.94299999999999995</v>
      </c>
      <c r="AQ36" s="95">
        <v>0.98799999999999999</v>
      </c>
    </row>
    <row r="37" spans="1:43" x14ac:dyDescent="0.25">
      <c r="A37" s="93">
        <v>10</v>
      </c>
      <c r="B37" s="95">
        <v>0.27200000000000002</v>
      </c>
      <c r="C37" s="95">
        <v>0.27800000000000002</v>
      </c>
      <c r="D37" s="95">
        <v>0.28499999999999998</v>
      </c>
      <c r="E37" s="95">
        <v>0.29199999999999998</v>
      </c>
      <c r="F37" s="95">
        <v>0.29899999999999999</v>
      </c>
      <c r="G37" s="95">
        <v>0.30599999999999999</v>
      </c>
      <c r="H37" s="95">
        <v>0.313</v>
      </c>
      <c r="I37" s="95">
        <v>0.32100000000000001</v>
      </c>
      <c r="J37" s="95">
        <v>0.32900000000000001</v>
      </c>
      <c r="K37" s="95">
        <v>0.33800000000000002</v>
      </c>
      <c r="L37" s="95">
        <v>0.34599999999999997</v>
      </c>
      <c r="M37" s="95">
        <v>0.35499999999999998</v>
      </c>
      <c r="N37" s="95">
        <v>0.36499999999999999</v>
      </c>
      <c r="O37" s="95">
        <v>0.374</v>
      </c>
      <c r="P37" s="95">
        <v>0.38500000000000001</v>
      </c>
      <c r="Q37" s="95">
        <v>0.39500000000000002</v>
      </c>
      <c r="R37" s="95">
        <v>0.40600000000000003</v>
      </c>
      <c r="S37" s="95">
        <v>0.41799999999999998</v>
      </c>
      <c r="T37" s="95">
        <v>0.43</v>
      </c>
      <c r="U37" s="95">
        <v>0.442</v>
      </c>
      <c r="V37" s="95">
        <v>0.45600000000000002</v>
      </c>
      <c r="W37" s="95">
        <v>0.46899999999999997</v>
      </c>
      <c r="X37" s="95">
        <v>0.48399999999999999</v>
      </c>
      <c r="Y37" s="95">
        <v>0.499</v>
      </c>
      <c r="Z37" s="95">
        <v>0.51500000000000001</v>
      </c>
      <c r="AA37" s="95">
        <v>0.53200000000000003</v>
      </c>
      <c r="AB37" s="95">
        <v>0.54900000000000004</v>
      </c>
      <c r="AC37" s="95">
        <v>0.56799999999999995</v>
      </c>
      <c r="AD37" s="95">
        <v>0.58799999999999997</v>
      </c>
      <c r="AE37" s="95">
        <v>0.60799999999999998</v>
      </c>
      <c r="AF37" s="95">
        <v>0.63</v>
      </c>
      <c r="AG37" s="95">
        <v>0.65400000000000003</v>
      </c>
      <c r="AH37" s="95">
        <v>0.67800000000000005</v>
      </c>
      <c r="AI37" s="95">
        <v>0.70499999999999996</v>
      </c>
      <c r="AJ37" s="95">
        <v>0.73299999999999998</v>
      </c>
      <c r="AK37" s="95">
        <v>0.76200000000000001</v>
      </c>
      <c r="AL37" s="95">
        <v>0.79400000000000004</v>
      </c>
      <c r="AM37" s="95">
        <v>0.82799999999999996</v>
      </c>
      <c r="AN37" s="95">
        <v>0.86499999999999999</v>
      </c>
      <c r="AO37" s="95">
        <v>0.90400000000000003</v>
      </c>
      <c r="AP37" s="95">
        <v>0.94699999999999995</v>
      </c>
      <c r="AQ37" s="95">
        <v>0.99199999999999999</v>
      </c>
    </row>
    <row r="38" spans="1:43" x14ac:dyDescent="0.25">
      <c r="A38" s="93">
        <v>11</v>
      </c>
      <c r="B38" s="95">
        <v>0.27200000000000002</v>
      </c>
      <c r="C38" s="95">
        <v>0.27900000000000003</v>
      </c>
      <c r="D38" s="95">
        <v>0.28499999999999998</v>
      </c>
      <c r="E38" s="95">
        <v>0.29199999999999998</v>
      </c>
      <c r="F38" s="95">
        <v>0.29899999999999999</v>
      </c>
      <c r="G38" s="95">
        <v>0.30599999999999999</v>
      </c>
      <c r="H38" s="95">
        <v>0.314</v>
      </c>
      <c r="I38" s="95">
        <v>0.32200000000000001</v>
      </c>
      <c r="J38" s="95">
        <v>0.33</v>
      </c>
      <c r="K38" s="95">
        <v>0.33800000000000002</v>
      </c>
      <c r="L38" s="95">
        <v>0.34699999999999998</v>
      </c>
      <c r="M38" s="95">
        <v>0.35599999999999998</v>
      </c>
      <c r="N38" s="95">
        <v>0.36499999999999999</v>
      </c>
      <c r="O38" s="95">
        <v>0.375</v>
      </c>
      <c r="P38" s="95">
        <v>0.38500000000000001</v>
      </c>
      <c r="Q38" s="95">
        <v>0.39600000000000002</v>
      </c>
      <c r="R38" s="95">
        <v>0.40699999999999997</v>
      </c>
      <c r="S38" s="95">
        <v>0.41899999999999998</v>
      </c>
      <c r="T38" s="95">
        <v>0.43099999999999999</v>
      </c>
      <c r="U38" s="95">
        <v>0.443</v>
      </c>
      <c r="V38" s="95">
        <v>0.45700000000000002</v>
      </c>
      <c r="W38" s="95">
        <v>0.47099999999999997</v>
      </c>
      <c r="X38" s="95">
        <v>0.48499999999999999</v>
      </c>
      <c r="Y38" s="95">
        <v>0.5</v>
      </c>
      <c r="Z38" s="95">
        <v>0.51600000000000001</v>
      </c>
      <c r="AA38" s="95">
        <v>0.53300000000000003</v>
      </c>
      <c r="AB38" s="95">
        <v>0.55100000000000005</v>
      </c>
      <c r="AC38" s="95">
        <v>0.56999999999999995</v>
      </c>
      <c r="AD38" s="95">
        <v>0.58899999999999997</v>
      </c>
      <c r="AE38" s="95">
        <v>0.61</v>
      </c>
      <c r="AF38" s="95">
        <v>0.63200000000000001</v>
      </c>
      <c r="AG38" s="95">
        <v>0.65600000000000003</v>
      </c>
      <c r="AH38" s="95">
        <v>0.68</v>
      </c>
      <c r="AI38" s="95">
        <v>0.70699999999999996</v>
      </c>
      <c r="AJ38" s="95">
        <v>0.73499999999999999</v>
      </c>
      <c r="AK38" s="95">
        <v>0.76500000000000001</v>
      </c>
      <c r="AL38" s="95">
        <v>0.79700000000000004</v>
      </c>
      <c r="AM38" s="95">
        <v>0.83099999999999996</v>
      </c>
      <c r="AN38" s="95">
        <v>0.86799999999999999</v>
      </c>
      <c r="AO38" s="95">
        <v>0.90800000000000003</v>
      </c>
      <c r="AP38" s="95">
        <v>0.95</v>
      </c>
      <c r="AQ38" s="95">
        <v>0.996</v>
      </c>
    </row>
    <row r="44" spans="1:43" ht="39.6" customHeight="1" x14ac:dyDescent="0.25"/>
    <row r="46" spans="1:43" ht="27.6" customHeight="1" x14ac:dyDescent="0.25"/>
  </sheetData>
  <sheetProtection algorithmName="SHA-512" hashValue="covon3uE+9rDnp5uYYSLYHM2oe8yhgmz+cIgrPoXK5QxMsZ7ySi+VVsl0C6Qj83bBkDR2g+KqK4cqlddkNTMKw==" saltValue="5sUvKg20LPe36Y/NkSdWSQ==" spinCount="100000" sheet="1" objects="1" scenarios="1"/>
  <conditionalFormatting sqref="A6:A21">
    <cfRule type="expression" dxfId="133" priority="11" stopIfTrue="1">
      <formula>MOD(ROW(),2)=0</formula>
    </cfRule>
    <cfRule type="expression" dxfId="132" priority="12" stopIfTrue="1">
      <formula>MOD(ROW(),2)&lt;&gt;0</formula>
    </cfRule>
  </conditionalFormatting>
  <conditionalFormatting sqref="A26:A38">
    <cfRule type="expression" dxfId="131" priority="3" stopIfTrue="1">
      <formula>MOD(ROW(),2)=0</formula>
    </cfRule>
    <cfRule type="expression" dxfId="130" priority="4" stopIfTrue="1">
      <formula>MOD(ROW(),2)&lt;&gt;0</formula>
    </cfRule>
  </conditionalFormatting>
  <conditionalFormatting sqref="B17:B21">
    <cfRule type="expression" dxfId="129" priority="1" stopIfTrue="1">
      <formula>MOD(ROW(),2)=0</formula>
    </cfRule>
    <cfRule type="expression" dxfId="128" priority="2" stopIfTrue="1">
      <formula>MOD(ROW(),2)&lt;&gt;0</formula>
    </cfRule>
  </conditionalFormatting>
  <conditionalFormatting sqref="B6:AQ21">
    <cfRule type="expression" dxfId="127" priority="21" stopIfTrue="1">
      <formula>MOD(ROW(),2)=0</formula>
    </cfRule>
    <cfRule type="expression" dxfId="126" priority="22" stopIfTrue="1">
      <formula>MOD(ROW(),2)&lt;&gt;0</formula>
    </cfRule>
  </conditionalFormatting>
  <conditionalFormatting sqref="B26:AQ38">
    <cfRule type="expression" dxfId="125" priority="5" stopIfTrue="1">
      <formula>MOD(ROW(),2)=0</formula>
    </cfRule>
    <cfRule type="expression" dxfId="12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77"/>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5.77734375" style="27" customWidth="1"/>
    <col min="3"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x-620</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481</v>
      </c>
    </row>
    <row r="10" spans="1:9" x14ac:dyDescent="0.25">
      <c r="A10" s="79" t="s">
        <v>233</v>
      </c>
      <c r="B10" s="152" t="s">
        <v>522</v>
      </c>
    </row>
    <row r="11" spans="1:9" x14ac:dyDescent="0.25">
      <c r="A11" s="79" t="s">
        <v>308</v>
      </c>
      <c r="B11" s="152" t="s">
        <v>404</v>
      </c>
    </row>
    <row r="12" spans="1:9" x14ac:dyDescent="0.25">
      <c r="A12" s="79" t="s">
        <v>309</v>
      </c>
      <c r="B12" s="152" t="s">
        <v>431</v>
      </c>
    </row>
    <row r="13" spans="1:9" x14ac:dyDescent="0.25">
      <c r="A13" s="79" t="s">
        <v>566</v>
      </c>
      <c r="B13" s="152">
        <v>0</v>
      </c>
    </row>
    <row r="14" spans="1:9" x14ac:dyDescent="0.25">
      <c r="A14" s="79" t="s">
        <v>311</v>
      </c>
      <c r="B14" s="152">
        <v>620</v>
      </c>
    </row>
    <row r="15" spans="1:9" x14ac:dyDescent="0.25">
      <c r="A15" s="79" t="s">
        <v>569</v>
      </c>
      <c r="B15" s="152" t="s">
        <v>523</v>
      </c>
    </row>
    <row r="16" spans="1:9" x14ac:dyDescent="0.25">
      <c r="A16" s="79" t="s">
        <v>313</v>
      </c>
      <c r="B16" s="152" t="s">
        <v>339</v>
      </c>
    </row>
    <row r="17" spans="1:2" x14ac:dyDescent="0.25">
      <c r="A17" s="79" t="s">
        <v>639</v>
      </c>
      <c r="B17" s="152"/>
    </row>
    <row r="18" spans="1:2" x14ac:dyDescent="0.25">
      <c r="A18" s="79" t="s">
        <v>315</v>
      </c>
      <c r="B18" s="154">
        <v>45135</v>
      </c>
    </row>
    <row r="19" spans="1:2" x14ac:dyDescent="0.25">
      <c r="A19" s="79" t="s">
        <v>316</v>
      </c>
      <c r="B19" s="154">
        <v>45135</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2" t="s">
        <v>665</v>
      </c>
      <c r="B26" s="92" t="s">
        <v>693</v>
      </c>
    </row>
    <row r="27" spans="1:2" x14ac:dyDescent="0.25">
      <c r="A27" s="93">
        <v>0</v>
      </c>
      <c r="B27" s="95">
        <v>1</v>
      </c>
    </row>
    <row r="28" spans="1:2" x14ac:dyDescent="0.25">
      <c r="A28" s="93">
        <v>1</v>
      </c>
      <c r="B28" s="95">
        <v>0.94199999999999995</v>
      </c>
    </row>
    <row r="29" spans="1:2" x14ac:dyDescent="0.25">
      <c r="A29" s="93">
        <v>2</v>
      </c>
      <c r="B29" s="95">
        <v>0.89</v>
      </c>
    </row>
    <row r="30" spans="1:2" x14ac:dyDescent="0.25">
      <c r="A30" s="93">
        <v>3</v>
      </c>
      <c r="B30" s="95">
        <v>0.84199999999999997</v>
      </c>
    </row>
    <row r="31" spans="1:2" x14ac:dyDescent="0.25">
      <c r="A31" s="93">
        <v>4</v>
      </c>
      <c r="B31" s="95">
        <v>0.79900000000000004</v>
      </c>
    </row>
    <row r="32" spans="1:2" x14ac:dyDescent="0.25">
      <c r="A32" s="93">
        <v>5</v>
      </c>
      <c r="B32" s="95">
        <v>0.75900000000000001</v>
      </c>
    </row>
    <row r="33" spans="1:2" x14ac:dyDescent="0.25">
      <c r="A33" s="93">
        <v>6</v>
      </c>
      <c r="B33" s="95">
        <v>0.72199999999999998</v>
      </c>
    </row>
    <row r="34" spans="1:2" x14ac:dyDescent="0.25">
      <c r="A34" s="93">
        <v>7</v>
      </c>
      <c r="B34" s="95">
        <v>0.68899999999999995</v>
      </c>
    </row>
    <row r="35" spans="1:2" x14ac:dyDescent="0.25">
      <c r="A35" s="93">
        <v>8</v>
      </c>
      <c r="B35" s="95">
        <v>0.65800000000000003</v>
      </c>
    </row>
    <row r="36" spans="1:2" x14ac:dyDescent="0.25">
      <c r="A36" s="93">
        <v>9</v>
      </c>
      <c r="B36" s="95">
        <v>0.629</v>
      </c>
    </row>
    <row r="37" spans="1:2" x14ac:dyDescent="0.25">
      <c r="A37" s="93">
        <v>10</v>
      </c>
      <c r="B37" s="95">
        <v>0.60199999999999998</v>
      </c>
    </row>
    <row r="38" spans="1:2" x14ac:dyDescent="0.25">
      <c r="A38" s="93">
        <v>11</v>
      </c>
      <c r="B38" s="95">
        <v>0.57699999999999996</v>
      </c>
    </row>
    <row r="39" spans="1:2" x14ac:dyDescent="0.25">
      <c r="A39" s="93">
        <v>12</v>
      </c>
      <c r="B39" s="95">
        <v>0.55400000000000005</v>
      </c>
    </row>
    <row r="40" spans="1:2" x14ac:dyDescent="0.25">
      <c r="A40" s="93">
        <v>13</v>
      </c>
      <c r="B40" s="95">
        <v>0.53200000000000003</v>
      </c>
    </row>
    <row r="41" spans="1:2" x14ac:dyDescent="0.25">
      <c r="A41" s="93">
        <v>14</v>
      </c>
      <c r="B41" s="95">
        <v>0.51200000000000001</v>
      </c>
    </row>
    <row r="42" spans="1:2" x14ac:dyDescent="0.25">
      <c r="A42" s="93">
        <v>15</v>
      </c>
      <c r="B42" s="95">
        <v>0.49299999999999999</v>
      </c>
    </row>
    <row r="43" spans="1:2" x14ac:dyDescent="0.25">
      <c r="A43" s="93">
        <v>16</v>
      </c>
      <c r="B43" s="95">
        <v>0.47499999999999998</v>
      </c>
    </row>
    <row r="44" spans="1:2" x14ac:dyDescent="0.25">
      <c r="A44" s="93">
        <v>17</v>
      </c>
      <c r="B44" s="95">
        <v>0.45800000000000002</v>
      </c>
    </row>
    <row r="45" spans="1:2" x14ac:dyDescent="0.25">
      <c r="A45" s="93">
        <v>18</v>
      </c>
      <c r="B45" s="95">
        <v>0.442</v>
      </c>
    </row>
    <row r="46" spans="1:2" x14ac:dyDescent="0.25">
      <c r="A46" s="93">
        <v>19</v>
      </c>
      <c r="B46" s="95">
        <v>0.42699999999999999</v>
      </c>
    </row>
    <row r="47" spans="1:2" x14ac:dyDescent="0.25">
      <c r="A47" s="93">
        <v>20</v>
      </c>
      <c r="B47" s="95">
        <v>0.41299999999999998</v>
      </c>
    </row>
    <row r="48" spans="1:2" x14ac:dyDescent="0.25">
      <c r="A48" s="93">
        <v>21</v>
      </c>
      <c r="B48" s="95">
        <v>0.39900000000000002</v>
      </c>
    </row>
    <row r="49" spans="1:2" x14ac:dyDescent="0.25">
      <c r="A49" s="93">
        <v>22</v>
      </c>
      <c r="B49" s="95">
        <v>0.38700000000000001</v>
      </c>
    </row>
    <row r="50" spans="1:2" x14ac:dyDescent="0.25">
      <c r="A50" s="93">
        <v>23</v>
      </c>
      <c r="B50" s="95">
        <v>0.374</v>
      </c>
    </row>
    <row r="51" spans="1:2" x14ac:dyDescent="0.25">
      <c r="A51" s="93">
        <v>24</v>
      </c>
      <c r="B51" s="95">
        <v>0.36299999999999999</v>
      </c>
    </row>
    <row r="52" spans="1:2" x14ac:dyDescent="0.25">
      <c r="A52" s="93">
        <v>25</v>
      </c>
      <c r="B52" s="95">
        <v>0.35199999999999998</v>
      </c>
    </row>
    <row r="53" spans="1:2" x14ac:dyDescent="0.25">
      <c r="A53" s="93">
        <v>26</v>
      </c>
      <c r="B53" s="95">
        <v>0.34200000000000003</v>
      </c>
    </row>
    <row r="54" spans="1:2" x14ac:dyDescent="0.25">
      <c r="A54" s="93">
        <v>27</v>
      </c>
      <c r="B54" s="95">
        <v>0.33200000000000002</v>
      </c>
    </row>
    <row r="55" spans="1:2" x14ac:dyDescent="0.25">
      <c r="A55" s="93">
        <v>28</v>
      </c>
      <c r="B55" s="95">
        <v>0.32200000000000001</v>
      </c>
    </row>
    <row r="56" spans="1:2" x14ac:dyDescent="0.25">
      <c r="A56" s="93">
        <v>29</v>
      </c>
      <c r="B56" s="95">
        <v>0.313</v>
      </c>
    </row>
    <row r="57" spans="1:2" x14ac:dyDescent="0.25">
      <c r="A57" s="93">
        <v>30</v>
      </c>
      <c r="B57" s="95">
        <v>0.30499999999999999</v>
      </c>
    </row>
    <row r="58" spans="1:2" x14ac:dyDescent="0.25">
      <c r="A58" s="93">
        <v>31</v>
      </c>
      <c r="B58" s="95">
        <v>0.29599999999999999</v>
      </c>
    </row>
    <row r="59" spans="1:2" x14ac:dyDescent="0.25">
      <c r="A59" s="93">
        <v>32</v>
      </c>
      <c r="B59" s="95">
        <v>0.28799999999999998</v>
      </c>
    </row>
    <row r="60" spans="1:2" x14ac:dyDescent="0.25">
      <c r="A60" s="93">
        <v>33</v>
      </c>
      <c r="B60" s="95">
        <v>0.28100000000000003</v>
      </c>
    </row>
    <row r="61" spans="1:2" x14ac:dyDescent="0.25">
      <c r="A61" s="93">
        <v>34</v>
      </c>
      <c r="B61" s="95">
        <v>0.27300000000000002</v>
      </c>
    </row>
    <row r="62" spans="1:2" x14ac:dyDescent="0.25">
      <c r="A62" s="93">
        <v>35</v>
      </c>
      <c r="B62" s="95">
        <v>0.26600000000000001</v>
      </c>
    </row>
    <row r="63" spans="1:2" x14ac:dyDescent="0.25">
      <c r="A63" s="93">
        <v>36</v>
      </c>
      <c r="B63" s="95">
        <v>0.26</v>
      </c>
    </row>
    <row r="64" spans="1:2" x14ac:dyDescent="0.25">
      <c r="A64" s="93">
        <v>37</v>
      </c>
      <c r="B64" s="95">
        <v>0.253</v>
      </c>
    </row>
    <row r="65" spans="1:2" x14ac:dyDescent="0.25">
      <c r="A65" s="93">
        <v>38</v>
      </c>
      <c r="B65" s="95">
        <v>0.247</v>
      </c>
    </row>
    <row r="66" spans="1:2" x14ac:dyDescent="0.25">
      <c r="A66" s="93">
        <v>39</v>
      </c>
      <c r="B66" s="95">
        <v>0.24099999999999999</v>
      </c>
    </row>
    <row r="67" spans="1:2" x14ac:dyDescent="0.25">
      <c r="A67" s="93">
        <v>40</v>
      </c>
      <c r="B67" s="95">
        <v>0.23499999999999999</v>
      </c>
    </row>
    <row r="68" spans="1:2" x14ac:dyDescent="0.25">
      <c r="A68" s="93">
        <v>41</v>
      </c>
      <c r="B68" s="95">
        <v>0.23</v>
      </c>
    </row>
    <row r="69" spans="1:2" x14ac:dyDescent="0.25">
      <c r="A69" s="93">
        <v>42</v>
      </c>
      <c r="B69" s="95">
        <v>0.224</v>
      </c>
    </row>
    <row r="70" spans="1:2" x14ac:dyDescent="0.25">
      <c r="A70" s="93">
        <v>43</v>
      </c>
      <c r="B70" s="95">
        <v>0.219</v>
      </c>
    </row>
    <row r="71" spans="1:2" x14ac:dyDescent="0.25">
      <c r="A71" s="93">
        <v>44</v>
      </c>
      <c r="B71" s="95">
        <v>0.214</v>
      </c>
    </row>
    <row r="72" spans="1:2" x14ac:dyDescent="0.25">
      <c r="A72" s="93">
        <v>45</v>
      </c>
      <c r="B72" s="95">
        <v>0.20899999999999999</v>
      </c>
    </row>
    <row r="73" spans="1:2" x14ac:dyDescent="0.25">
      <c r="A73" s="93">
        <v>46</v>
      </c>
      <c r="B73" s="95">
        <v>0.20399999999999999</v>
      </c>
    </row>
    <row r="74" spans="1:2" x14ac:dyDescent="0.25">
      <c r="A74" s="93">
        <v>47</v>
      </c>
      <c r="B74" s="95">
        <v>0.2</v>
      </c>
    </row>
    <row r="75" spans="1:2" x14ac:dyDescent="0.25">
      <c r="A75" s="93">
        <v>48</v>
      </c>
      <c r="B75" s="95">
        <v>0.19600000000000001</v>
      </c>
    </row>
    <row r="76" spans="1:2" x14ac:dyDescent="0.25">
      <c r="A76" s="93">
        <v>49</v>
      </c>
      <c r="B76" s="95">
        <v>0.191</v>
      </c>
    </row>
    <row r="77" spans="1:2" x14ac:dyDescent="0.25">
      <c r="A77" s="93">
        <v>50</v>
      </c>
      <c r="B77" s="95">
        <v>0.187</v>
      </c>
    </row>
  </sheetData>
  <sheetProtection algorithmName="SHA-512" hashValue="9gz8UYKt6CtYvwprdS0taehefsWCN9tP2Dq5FKUwNnD9AcaNXlj9GzZ2dddpGAiYcDXc+yZ6hV1Ng0Hes7y/wA==" saltValue="bZke6U//mlQ6FGIZEZhRnQ==" spinCount="100000" sheet="1" objects="1" scenarios="1"/>
  <conditionalFormatting sqref="A6:A21">
    <cfRule type="expression" dxfId="123" priority="15" stopIfTrue="1">
      <formula>MOD(ROW(),2)=0</formula>
    </cfRule>
    <cfRule type="expression" dxfId="122" priority="16" stopIfTrue="1">
      <formula>MOD(ROW(),2)&lt;&gt;0</formula>
    </cfRule>
  </conditionalFormatting>
  <conditionalFormatting sqref="A26:A77">
    <cfRule type="expression" dxfId="121" priority="3" stopIfTrue="1">
      <formula>MOD(ROW(),2)=0</formula>
    </cfRule>
    <cfRule type="expression" dxfId="120" priority="4" stopIfTrue="1">
      <formula>MOD(ROW(),2)&lt;&gt;0</formula>
    </cfRule>
  </conditionalFormatting>
  <conditionalFormatting sqref="B6:B21">
    <cfRule type="expression" dxfId="119" priority="21" stopIfTrue="1">
      <formula>MOD(ROW(),2)=0</formula>
    </cfRule>
    <cfRule type="expression" dxfId="118" priority="22" stopIfTrue="1">
      <formula>MOD(ROW(),2)&lt;&gt;0</formula>
    </cfRule>
  </conditionalFormatting>
  <conditionalFormatting sqref="B12">
    <cfRule type="expression" dxfId="117" priority="13" stopIfTrue="1">
      <formula>MOD(ROW(),2)=0</formula>
    </cfRule>
    <cfRule type="expression" dxfId="116" priority="14" stopIfTrue="1">
      <formula>MOD(ROW(),2)&lt;&gt;0</formula>
    </cfRule>
  </conditionalFormatting>
  <conditionalFormatting sqref="B17:B21">
    <cfRule type="expression" dxfId="115" priority="1" stopIfTrue="1">
      <formula>MOD(ROW(),2)=0</formula>
    </cfRule>
    <cfRule type="expression" dxfId="114" priority="2" stopIfTrue="1">
      <formula>MOD(ROW(),2)&lt;&gt;0</formula>
    </cfRule>
  </conditionalFormatting>
  <conditionalFormatting sqref="B26:B77">
    <cfRule type="expression" dxfId="113" priority="5" stopIfTrue="1">
      <formula>MOD(ROW(),2)=0</formula>
    </cfRule>
    <cfRule type="expression" dxfId="11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46"/>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2.7773437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AA - x-621</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481</v>
      </c>
    </row>
    <row r="10" spans="1:9" ht="64.5" customHeight="1" x14ac:dyDescent="0.25">
      <c r="A10" s="79" t="s">
        <v>233</v>
      </c>
      <c r="B10" s="152" t="s">
        <v>524</v>
      </c>
    </row>
    <row r="11" spans="1:9" x14ac:dyDescent="0.25">
      <c r="A11" s="79" t="s">
        <v>308</v>
      </c>
      <c r="B11" s="152" t="s">
        <v>404</v>
      </c>
    </row>
    <row r="12" spans="1:9" x14ac:dyDescent="0.25">
      <c r="A12" s="79" t="s">
        <v>309</v>
      </c>
      <c r="B12" s="152" t="s">
        <v>431</v>
      </c>
    </row>
    <row r="13" spans="1:9" x14ac:dyDescent="0.25">
      <c r="A13" s="79" t="s">
        <v>566</v>
      </c>
      <c r="B13" s="152">
        <v>0</v>
      </c>
    </row>
    <row r="14" spans="1:9" x14ac:dyDescent="0.25">
      <c r="A14" s="79" t="s">
        <v>311</v>
      </c>
      <c r="B14" s="152">
        <v>621</v>
      </c>
    </row>
    <row r="15" spans="1:9" x14ac:dyDescent="0.25">
      <c r="A15" s="79" t="s">
        <v>569</v>
      </c>
      <c r="B15" s="152" t="s">
        <v>525</v>
      </c>
    </row>
    <row r="16" spans="1:9" x14ac:dyDescent="0.25">
      <c r="A16" s="79" t="s">
        <v>313</v>
      </c>
      <c r="B16" s="152" t="s">
        <v>341</v>
      </c>
    </row>
    <row r="17" spans="1:2" x14ac:dyDescent="0.25">
      <c r="A17" s="79" t="s">
        <v>639</v>
      </c>
      <c r="B17" s="152"/>
    </row>
    <row r="18" spans="1:2" x14ac:dyDescent="0.25">
      <c r="A18" s="79" t="s">
        <v>315</v>
      </c>
      <c r="B18" s="154">
        <v>45135</v>
      </c>
    </row>
    <row r="19" spans="1:2" x14ac:dyDescent="0.25">
      <c r="A19" s="79" t="s">
        <v>316</v>
      </c>
      <c r="B19" s="154">
        <v>45135</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2" t="s">
        <v>665</v>
      </c>
      <c r="B26" s="92" t="s">
        <v>693</v>
      </c>
    </row>
    <row r="27" spans="1:2" x14ac:dyDescent="0.25">
      <c r="A27" s="93">
        <v>0</v>
      </c>
      <c r="B27" s="95">
        <v>1</v>
      </c>
    </row>
    <row r="28" spans="1:2" x14ac:dyDescent="0.25">
      <c r="A28" s="93">
        <v>1</v>
      </c>
      <c r="B28" s="95">
        <v>0.94199999999999995</v>
      </c>
    </row>
    <row r="29" spans="1:2" x14ac:dyDescent="0.25">
      <c r="A29" s="93">
        <v>2</v>
      </c>
      <c r="B29" s="95">
        <v>0.89</v>
      </c>
    </row>
    <row r="30" spans="1:2" x14ac:dyDescent="0.25">
      <c r="A30" s="93">
        <v>3</v>
      </c>
      <c r="B30" s="95">
        <v>0.84199999999999997</v>
      </c>
    </row>
    <row r="31" spans="1:2" x14ac:dyDescent="0.25">
      <c r="A31" s="93">
        <v>4</v>
      </c>
      <c r="B31" s="95">
        <v>0.79900000000000004</v>
      </c>
    </row>
    <row r="32" spans="1:2" x14ac:dyDescent="0.25">
      <c r="A32" s="93">
        <v>5</v>
      </c>
      <c r="B32" s="95">
        <v>0.75900000000000001</v>
      </c>
    </row>
    <row r="33" spans="1:2" x14ac:dyDescent="0.25">
      <c r="A33" s="93">
        <v>6</v>
      </c>
      <c r="B33" s="95">
        <v>0.72199999999999998</v>
      </c>
    </row>
    <row r="34" spans="1:2" x14ac:dyDescent="0.25">
      <c r="A34" s="93">
        <v>7</v>
      </c>
      <c r="B34" s="95">
        <v>0.68899999999999995</v>
      </c>
    </row>
    <row r="35" spans="1:2" x14ac:dyDescent="0.25">
      <c r="A35" s="93">
        <v>8</v>
      </c>
      <c r="B35" s="95">
        <v>0.65800000000000003</v>
      </c>
    </row>
    <row r="36" spans="1:2" x14ac:dyDescent="0.25">
      <c r="A36" s="93">
        <v>9</v>
      </c>
      <c r="B36" s="95">
        <v>0.629</v>
      </c>
    </row>
    <row r="37" spans="1:2" x14ac:dyDescent="0.25">
      <c r="A37" s="93">
        <v>10</v>
      </c>
      <c r="B37" s="95">
        <v>0.60199999999999998</v>
      </c>
    </row>
    <row r="38" spans="1:2" x14ac:dyDescent="0.25">
      <c r="A38" s="93">
        <v>11</v>
      </c>
      <c r="B38" s="95">
        <v>0.57699999999999996</v>
      </c>
    </row>
    <row r="39" spans="1:2" x14ac:dyDescent="0.25">
      <c r="A39" s="93">
        <v>12</v>
      </c>
      <c r="B39" s="95">
        <v>0.55400000000000005</v>
      </c>
    </row>
    <row r="44" spans="1:2" ht="39.6" customHeight="1" x14ac:dyDescent="0.25"/>
    <row r="46" spans="1:2" ht="27.6" customHeight="1" x14ac:dyDescent="0.25"/>
  </sheetData>
  <sheetProtection algorithmName="SHA-512" hashValue="+0tm/AEd9ELLlAuw9GvL6U1hJC25PgI5qJ/ptn4apSUarF4HDKxXy/sPTW2FJC7XkcYlwrgiRMGeB0sSU1WVFw==" saltValue="I2gWDlYHF8OKKFVeOu+6bQ==" spinCount="100000" sheet="1" objects="1" scenarios="1"/>
  <conditionalFormatting sqref="A6:A21">
    <cfRule type="expression" dxfId="111" priority="9" stopIfTrue="1">
      <formula>MOD(ROW(),2)=0</formula>
    </cfRule>
    <cfRule type="expression" dxfId="110" priority="10" stopIfTrue="1">
      <formula>MOD(ROW(),2)&lt;&gt;0</formula>
    </cfRule>
  </conditionalFormatting>
  <conditionalFormatting sqref="A26:A39">
    <cfRule type="expression" dxfId="109" priority="3" stopIfTrue="1">
      <formula>MOD(ROW(),2)=0</formula>
    </cfRule>
    <cfRule type="expression" dxfId="108" priority="4" stopIfTrue="1">
      <formula>MOD(ROW(),2)&lt;&gt;0</formula>
    </cfRule>
  </conditionalFormatting>
  <conditionalFormatting sqref="B6:B21">
    <cfRule type="expression" dxfId="107" priority="19" stopIfTrue="1">
      <formula>MOD(ROW(),2)=0</formula>
    </cfRule>
    <cfRule type="expression" dxfId="106" priority="20" stopIfTrue="1">
      <formula>MOD(ROW(),2)&lt;&gt;0</formula>
    </cfRule>
  </conditionalFormatting>
  <conditionalFormatting sqref="B17:B21">
    <cfRule type="expression" dxfId="105" priority="1" stopIfTrue="1">
      <formula>MOD(ROW(),2)=0</formula>
    </cfRule>
    <cfRule type="expression" dxfId="104" priority="2" stopIfTrue="1">
      <formula>MOD(ROW(),2)&lt;&gt;0</formula>
    </cfRule>
  </conditionalFormatting>
  <conditionalFormatting sqref="B26:B39">
    <cfRule type="expression" dxfId="103" priority="5" stopIfTrue="1">
      <formula>MOD(ROW(),2)=0</formula>
    </cfRule>
    <cfRule type="expression" dxfId="10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x-622</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1992</v>
      </c>
      <c r="C8" s="80"/>
    </row>
    <row r="9" spans="1:9" x14ac:dyDescent="0.25">
      <c r="A9" s="79" t="s">
        <v>307</v>
      </c>
      <c r="B9" s="152" t="s">
        <v>526</v>
      </c>
      <c r="C9" s="80"/>
    </row>
    <row r="10" spans="1:9" x14ac:dyDescent="0.25">
      <c r="A10" s="79" t="s">
        <v>233</v>
      </c>
      <c r="B10" s="152" t="s">
        <v>527</v>
      </c>
      <c r="C10" s="80"/>
    </row>
    <row r="11" spans="1:9" x14ac:dyDescent="0.25">
      <c r="A11" s="79" t="s">
        <v>308</v>
      </c>
      <c r="B11" s="152" t="s">
        <v>483</v>
      </c>
      <c r="C11" s="80"/>
    </row>
    <row r="12" spans="1:9" x14ac:dyDescent="0.25">
      <c r="A12" s="79" t="s">
        <v>309</v>
      </c>
      <c r="B12" s="152" t="s">
        <v>528</v>
      </c>
      <c r="C12" s="80"/>
    </row>
    <row r="13" spans="1:9" x14ac:dyDescent="0.25">
      <c r="A13" s="79" t="s">
        <v>566</v>
      </c>
      <c r="B13" s="152">
        <v>2</v>
      </c>
      <c r="C13" s="80"/>
    </row>
    <row r="14" spans="1:9" x14ac:dyDescent="0.25">
      <c r="A14" s="79" t="s">
        <v>311</v>
      </c>
      <c r="B14" s="152">
        <v>622</v>
      </c>
      <c r="C14" s="80"/>
    </row>
    <row r="15" spans="1:9" x14ac:dyDescent="0.25">
      <c r="A15" s="79" t="s">
        <v>569</v>
      </c>
      <c r="B15" s="152" t="s">
        <v>529</v>
      </c>
      <c r="C15" s="80"/>
    </row>
    <row r="16" spans="1:9" x14ac:dyDescent="0.25">
      <c r="A16" s="79" t="s">
        <v>313</v>
      </c>
      <c r="B16" s="152" t="s">
        <v>433</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nGoNXxPV5WLpT20SqZ1PPF8BGFDlyQr51tbEOLWzlxKFF11FwRcgGw6RMz3wvDrjx4V7RDZ8xfvSNIPjQyncDw==" saltValue="at8fPyPyIYjrSTCmOUITRg==" spinCount="100000" sheet="1" objects="1" scenarios="1"/>
  <conditionalFormatting sqref="A6:A21">
    <cfRule type="expression" dxfId="101" priority="9" stopIfTrue="1">
      <formula>MOD(ROW(),2)=0</formula>
    </cfRule>
    <cfRule type="expression" dxfId="100" priority="10" stopIfTrue="1">
      <formula>MOD(ROW(),2)&lt;&gt;0</formula>
    </cfRule>
  </conditionalFormatting>
  <conditionalFormatting sqref="B6:C21">
    <cfRule type="expression" dxfId="99" priority="1" stopIfTrue="1">
      <formula>MOD(ROW(),2)=0</formula>
    </cfRule>
    <cfRule type="expression" dxfId="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x-623</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1992</v>
      </c>
      <c r="C8" s="80"/>
    </row>
    <row r="9" spans="1:9" x14ac:dyDescent="0.25">
      <c r="A9" s="79" t="s">
        <v>307</v>
      </c>
      <c r="B9" s="152" t="s">
        <v>526</v>
      </c>
      <c r="C9" s="80"/>
    </row>
    <row r="10" spans="1:9" x14ac:dyDescent="0.25">
      <c r="A10" s="79" t="s">
        <v>233</v>
      </c>
      <c r="B10" s="152" t="s">
        <v>531</v>
      </c>
      <c r="C10" s="80"/>
    </row>
    <row r="11" spans="1:9" x14ac:dyDescent="0.25">
      <c r="A11" s="79" t="s">
        <v>308</v>
      </c>
      <c r="B11" s="152" t="s">
        <v>483</v>
      </c>
      <c r="C11" s="80"/>
    </row>
    <row r="12" spans="1:9" x14ac:dyDescent="0.25">
      <c r="A12" s="79" t="s">
        <v>309</v>
      </c>
      <c r="B12" s="152" t="s">
        <v>528</v>
      </c>
      <c r="C12" s="80"/>
    </row>
    <row r="13" spans="1:9" x14ac:dyDescent="0.25">
      <c r="A13" s="79" t="s">
        <v>566</v>
      </c>
      <c r="B13" s="152">
        <v>2</v>
      </c>
      <c r="C13" s="80"/>
    </row>
    <row r="14" spans="1:9" x14ac:dyDescent="0.25">
      <c r="A14" s="79" t="s">
        <v>311</v>
      </c>
      <c r="B14" s="152">
        <v>623</v>
      </c>
      <c r="C14" s="80"/>
    </row>
    <row r="15" spans="1:9" x14ac:dyDescent="0.25">
      <c r="A15" s="79" t="s">
        <v>569</v>
      </c>
      <c r="B15" s="152" t="s">
        <v>532</v>
      </c>
      <c r="C15" s="80"/>
    </row>
    <row r="16" spans="1:9" x14ac:dyDescent="0.25">
      <c r="A16" s="79" t="s">
        <v>313</v>
      </c>
      <c r="B16" s="152" t="s">
        <v>436</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QK0QZhrJwqg8OZhrTwuW5BjBUrwd0D+KQ302wyogYQsB7FG7O8Ti0M9mdAlhcK5Q56tM/A7mvSpBwTAwWHtm6g==" saltValue="Kmstxp1lGu9XxmzlFC75mA==" spinCount="100000" sheet="1" objects="1" scenarios="1"/>
  <conditionalFormatting sqref="A6:A21">
    <cfRule type="expression" dxfId="97" priority="13" stopIfTrue="1">
      <formula>MOD(ROW(),2)=0</formula>
    </cfRule>
    <cfRule type="expression" dxfId="96" priority="14" stopIfTrue="1">
      <formula>MOD(ROW(),2)&lt;&gt;0</formula>
    </cfRule>
  </conditionalFormatting>
  <conditionalFormatting sqref="B6:C21">
    <cfRule type="expression" dxfId="95" priority="1" stopIfTrue="1">
      <formula>MOD(ROW(),2)=0</formula>
    </cfRule>
    <cfRule type="expression" dxfId="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x-624</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2007</v>
      </c>
      <c r="C8" s="80"/>
    </row>
    <row r="9" spans="1:9" x14ac:dyDescent="0.25">
      <c r="A9" s="79" t="s">
        <v>307</v>
      </c>
      <c r="B9" s="152" t="s">
        <v>526</v>
      </c>
      <c r="C9" s="80"/>
    </row>
    <row r="10" spans="1:9" x14ac:dyDescent="0.25">
      <c r="A10" s="79" t="s">
        <v>233</v>
      </c>
      <c r="B10" s="152" t="s">
        <v>533</v>
      </c>
      <c r="C10" s="80"/>
    </row>
    <row r="11" spans="1:9" x14ac:dyDescent="0.25">
      <c r="A11" s="79" t="s">
        <v>308</v>
      </c>
      <c r="B11" s="152" t="s">
        <v>483</v>
      </c>
      <c r="C11" s="80"/>
    </row>
    <row r="12" spans="1:9" x14ac:dyDescent="0.25">
      <c r="A12" s="79" t="s">
        <v>309</v>
      </c>
      <c r="B12" s="152" t="s">
        <v>528</v>
      </c>
      <c r="C12" s="80"/>
    </row>
    <row r="13" spans="1:9" x14ac:dyDescent="0.25">
      <c r="A13" s="79" t="s">
        <v>566</v>
      </c>
      <c r="B13" s="152">
        <v>1</v>
      </c>
      <c r="C13" s="80"/>
    </row>
    <row r="14" spans="1:9" x14ac:dyDescent="0.25">
      <c r="A14" s="79" t="s">
        <v>311</v>
      </c>
      <c r="B14" s="152">
        <v>624</v>
      </c>
      <c r="C14" s="80"/>
    </row>
    <row r="15" spans="1:9" x14ac:dyDescent="0.25">
      <c r="A15" s="79" t="s">
        <v>569</v>
      </c>
      <c r="B15" s="152" t="s">
        <v>534</v>
      </c>
      <c r="C15" s="80"/>
    </row>
    <row r="16" spans="1:9" x14ac:dyDescent="0.25">
      <c r="A16" s="79" t="s">
        <v>313</v>
      </c>
      <c r="B16" s="152" t="s">
        <v>433</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19Z0nqEa0flIdHyxLgl8n0/HBAZNxZflR9k0n7c5g4ES3ca27rG/nn+1HLD0W3HTE/JaqIpKdaLNPFL0AALkdw==" saltValue="LiLW6ugCxv7qNZ+ac92SUA==" spinCount="100000" sheet="1" objects="1" scenarios="1"/>
  <conditionalFormatting sqref="A6:A21">
    <cfRule type="expression" dxfId="93" priority="9" stopIfTrue="1">
      <formula>MOD(ROW(),2)=0</formula>
    </cfRule>
    <cfRule type="expression" dxfId="92" priority="10" stopIfTrue="1">
      <formula>MOD(ROW(),2)&lt;&gt;0</formula>
    </cfRule>
  </conditionalFormatting>
  <conditionalFormatting sqref="B6:C21">
    <cfRule type="expression" dxfId="91" priority="1" stopIfTrue="1">
      <formula>MOD(ROW(),2)=0</formula>
    </cfRule>
    <cfRule type="expression" dxfId="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x-625</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2007</v>
      </c>
      <c r="C8" s="80"/>
    </row>
    <row r="9" spans="1:9" x14ac:dyDescent="0.25">
      <c r="A9" s="79" t="s">
        <v>307</v>
      </c>
      <c r="B9" s="152" t="s">
        <v>526</v>
      </c>
      <c r="C9" s="80"/>
    </row>
    <row r="10" spans="1:9" x14ac:dyDescent="0.25">
      <c r="A10" s="79" t="s">
        <v>233</v>
      </c>
      <c r="B10" s="152" t="s">
        <v>535</v>
      </c>
      <c r="C10" s="80"/>
    </row>
    <row r="11" spans="1:9" x14ac:dyDescent="0.25">
      <c r="A11" s="79" t="s">
        <v>308</v>
      </c>
      <c r="B11" s="152" t="s">
        <v>483</v>
      </c>
      <c r="C11" s="80"/>
    </row>
    <row r="12" spans="1:9" x14ac:dyDescent="0.25">
      <c r="A12" s="79" t="s">
        <v>309</v>
      </c>
      <c r="B12" s="152" t="s">
        <v>528</v>
      </c>
      <c r="C12" s="80"/>
    </row>
    <row r="13" spans="1:9" x14ac:dyDescent="0.25">
      <c r="A13" s="79" t="s">
        <v>566</v>
      </c>
      <c r="B13" s="152">
        <v>1</v>
      </c>
      <c r="C13" s="80"/>
    </row>
    <row r="14" spans="1:9" x14ac:dyDescent="0.25">
      <c r="A14" s="79" t="s">
        <v>311</v>
      </c>
      <c r="B14" s="152">
        <v>625</v>
      </c>
      <c r="C14" s="80"/>
    </row>
    <row r="15" spans="1:9" x14ac:dyDescent="0.25">
      <c r="A15" s="79" t="s">
        <v>569</v>
      </c>
      <c r="B15" s="152" t="s">
        <v>536</v>
      </c>
      <c r="C15" s="80"/>
    </row>
    <row r="16" spans="1:9" x14ac:dyDescent="0.25">
      <c r="A16" s="79" t="s">
        <v>313</v>
      </c>
      <c r="B16" s="152" t="s">
        <v>436</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zvm+BkTQ0SmaGBTmBE6aO7PHJ00obyau9sbNJqZwauP46bt3LWhEi5z3uClZOGzMIxDPdSdQqOjrHleZd7Y24g==" saltValue="Q7ndmeHDNe2KZcF9CrYW1A==" spinCount="100000" sheet="1" objects="1" scenarios="1"/>
  <conditionalFormatting sqref="A6:A21">
    <cfRule type="expression" dxfId="89" priority="9" stopIfTrue="1">
      <formula>MOD(ROW(),2)=0</formula>
    </cfRule>
    <cfRule type="expression" dxfId="88" priority="10" stopIfTrue="1">
      <formula>MOD(ROW(),2)&lt;&gt;0</formula>
    </cfRule>
  </conditionalFormatting>
  <conditionalFormatting sqref="B6:C21">
    <cfRule type="expression" dxfId="87" priority="1" stopIfTrue="1">
      <formula>MOD(ROW(),2)=0</formula>
    </cfRule>
    <cfRule type="expression" dxfId="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election activeCell="A4" sqref="A4"/>
    </sheetView>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TABLE_FACTOR_TYPE_1&amp;" - x-"&amp;TABLE_SERIES_NUMBER_1</f>
        <v>CETV - x-201</v>
      </c>
      <c r="B3" s="43"/>
      <c r="C3" s="43"/>
      <c r="D3" s="43"/>
      <c r="E3" s="43"/>
      <c r="F3" s="43"/>
      <c r="G3" s="43"/>
    </row>
    <row r="4" spans="1:7" x14ac:dyDescent="0.25">
      <c r="A4" s="45"/>
    </row>
    <row r="6" spans="1:7" x14ac:dyDescent="0.25">
      <c r="A6" s="149" t="s">
        <v>558</v>
      </c>
      <c r="B6" s="110" t="s">
        <v>559</v>
      </c>
      <c r="C6" s="110"/>
      <c r="D6" s="110"/>
    </row>
    <row r="7" spans="1:7" x14ac:dyDescent="0.25">
      <c r="A7" s="73" t="s">
        <v>305</v>
      </c>
      <c r="B7" s="110" t="s">
        <v>319</v>
      </c>
      <c r="C7" s="110"/>
      <c r="D7" s="110"/>
    </row>
    <row r="8" spans="1:7" x14ac:dyDescent="0.25">
      <c r="A8" s="73" t="s">
        <v>306</v>
      </c>
      <c r="B8" s="110">
        <v>1992</v>
      </c>
      <c r="C8" s="110"/>
      <c r="D8" s="110"/>
    </row>
    <row r="9" spans="1:7" x14ac:dyDescent="0.25">
      <c r="A9" s="73" t="s">
        <v>307</v>
      </c>
      <c r="B9" s="110" t="s">
        <v>320</v>
      </c>
      <c r="C9" s="110"/>
      <c r="D9" s="110"/>
    </row>
    <row r="10" spans="1:7" ht="12.6" customHeight="1" x14ac:dyDescent="0.25">
      <c r="A10" s="73" t="s">
        <v>233</v>
      </c>
      <c r="B10" s="110" t="s">
        <v>321</v>
      </c>
      <c r="C10" s="110"/>
      <c r="D10" s="110"/>
    </row>
    <row r="11" spans="1:7" x14ac:dyDescent="0.25">
      <c r="A11" s="73" t="s">
        <v>308</v>
      </c>
      <c r="B11" s="110" t="s">
        <v>322</v>
      </c>
      <c r="C11" s="110"/>
      <c r="D11" s="110"/>
    </row>
    <row r="12" spans="1:7" ht="12.6" customHeight="1" x14ac:dyDescent="0.25">
      <c r="A12" s="73" t="s">
        <v>309</v>
      </c>
      <c r="B12" s="110" t="s">
        <v>323</v>
      </c>
      <c r="C12" s="110"/>
      <c r="D12" s="110"/>
    </row>
    <row r="13" spans="1:7" ht="12.6" customHeight="1" x14ac:dyDescent="0.25">
      <c r="A13" s="73" t="s">
        <v>566</v>
      </c>
      <c r="B13" s="110">
        <v>2</v>
      </c>
      <c r="C13" s="110"/>
      <c r="D13" s="110"/>
    </row>
    <row r="14" spans="1:7" ht="12.6" customHeight="1" x14ac:dyDescent="0.25">
      <c r="A14" s="73" t="s">
        <v>311</v>
      </c>
      <c r="B14" s="110">
        <v>201</v>
      </c>
      <c r="C14" s="110"/>
      <c r="D14" s="110"/>
    </row>
    <row r="15" spans="1:7" x14ac:dyDescent="0.25">
      <c r="A15" s="73" t="s">
        <v>569</v>
      </c>
      <c r="B15" s="110" t="s">
        <v>324</v>
      </c>
      <c r="C15" s="110"/>
      <c r="D15" s="110"/>
    </row>
    <row r="16" spans="1:7" x14ac:dyDescent="0.25">
      <c r="A16" s="73" t="s">
        <v>313</v>
      </c>
      <c r="B16" s="110" t="s">
        <v>325</v>
      </c>
      <c r="C16" s="110"/>
      <c r="D16" s="110"/>
    </row>
    <row r="17" spans="1:4" ht="73.349999999999994" customHeight="1" x14ac:dyDescent="0.25">
      <c r="A17" s="73" t="s">
        <v>639</v>
      </c>
      <c r="B17" s="110"/>
      <c r="C17" s="110"/>
      <c r="D17" s="110"/>
    </row>
    <row r="18" spans="1:4" x14ac:dyDescent="0.25">
      <c r="A18" s="73" t="s">
        <v>315</v>
      </c>
      <c r="B18" s="150">
        <v>45070</v>
      </c>
      <c r="C18" s="110"/>
      <c r="D18" s="110"/>
    </row>
    <row r="19" spans="1:4" x14ac:dyDescent="0.25">
      <c r="A19" s="73" t="s">
        <v>316</v>
      </c>
      <c r="B19" s="150">
        <v>45014</v>
      </c>
      <c r="C19" s="110"/>
      <c r="D19" s="110"/>
    </row>
    <row r="20" spans="1:4" x14ac:dyDescent="0.25">
      <c r="A20" s="73" t="s">
        <v>317</v>
      </c>
      <c r="B20" s="110" t="s">
        <v>326</v>
      </c>
      <c r="C20" s="110"/>
      <c r="D20" s="110"/>
    </row>
    <row r="21" spans="1:4" x14ac:dyDescent="0.25">
      <c r="A21" s="73" t="s">
        <v>318</v>
      </c>
      <c r="B21" s="110" t="s">
        <v>327</v>
      </c>
      <c r="C21" s="110"/>
      <c r="D21" s="110"/>
    </row>
    <row r="23" spans="1:4" x14ac:dyDescent="0.25">
      <c r="B23" s="96" t="str">
        <f>HYPERLINK("#'Factor List'!A1","Back to Factor List")</f>
        <v>Back to Factor List</v>
      </c>
    </row>
    <row r="24" spans="1:4" x14ac:dyDescent="0.25">
      <c r="B24" s="96" t="str">
        <f>HYPERLINK("#'Assumptions'!A1","Assumptions")</f>
        <v>Assumptions</v>
      </c>
    </row>
    <row r="26" spans="1:4" ht="37.5" customHeight="1" x14ac:dyDescent="0.25">
      <c r="A26" s="92" t="s">
        <v>640</v>
      </c>
      <c r="B26" s="92" t="s">
        <v>641</v>
      </c>
      <c r="C26" s="92" t="s">
        <v>642</v>
      </c>
      <c r="D26" s="92" t="s">
        <v>643</v>
      </c>
    </row>
    <row r="27" spans="1:4" x14ac:dyDescent="0.25">
      <c r="A27" s="93">
        <v>18</v>
      </c>
      <c r="B27" s="94">
        <v>10.87</v>
      </c>
      <c r="C27" s="94">
        <v>2.37</v>
      </c>
      <c r="D27" s="94">
        <v>0</v>
      </c>
    </row>
    <row r="28" spans="1:4" x14ac:dyDescent="0.25">
      <c r="A28" s="93">
        <v>19</v>
      </c>
      <c r="B28" s="94">
        <v>11.02</v>
      </c>
      <c r="C28" s="94">
        <v>2.4700000000000002</v>
      </c>
      <c r="D28" s="94">
        <v>0</v>
      </c>
    </row>
    <row r="29" spans="1:4" x14ac:dyDescent="0.25">
      <c r="A29" s="93">
        <v>20</v>
      </c>
      <c r="B29" s="94">
        <v>11.18</v>
      </c>
      <c r="C29" s="94">
        <v>2.52</v>
      </c>
      <c r="D29" s="94">
        <v>0</v>
      </c>
    </row>
    <row r="30" spans="1:4" x14ac:dyDescent="0.25">
      <c r="A30" s="93">
        <v>21</v>
      </c>
      <c r="B30" s="94">
        <v>11.34</v>
      </c>
      <c r="C30" s="94">
        <v>2.56</v>
      </c>
      <c r="D30" s="94">
        <v>0</v>
      </c>
    </row>
    <row r="31" spans="1:4" x14ac:dyDescent="0.25">
      <c r="A31" s="93">
        <v>22</v>
      </c>
      <c r="B31" s="94">
        <v>11.51</v>
      </c>
      <c r="C31" s="94">
        <v>2.6</v>
      </c>
      <c r="D31" s="94">
        <v>0</v>
      </c>
    </row>
    <row r="32" spans="1:4" x14ac:dyDescent="0.25">
      <c r="A32" s="93">
        <v>23</v>
      </c>
      <c r="B32" s="94">
        <v>11.67</v>
      </c>
      <c r="C32" s="94">
        <v>2.64</v>
      </c>
      <c r="D32" s="94">
        <v>0</v>
      </c>
    </row>
    <row r="33" spans="1:4" x14ac:dyDescent="0.25">
      <c r="A33" s="93">
        <v>24</v>
      </c>
      <c r="B33" s="94">
        <v>11.84</v>
      </c>
      <c r="C33" s="94">
        <v>2.68</v>
      </c>
      <c r="D33" s="94">
        <v>0</v>
      </c>
    </row>
    <row r="34" spans="1:4" x14ac:dyDescent="0.25">
      <c r="A34" s="93">
        <v>25</v>
      </c>
      <c r="B34" s="94">
        <v>12.01</v>
      </c>
      <c r="C34" s="94">
        <v>2.73</v>
      </c>
      <c r="D34" s="94">
        <v>0</v>
      </c>
    </row>
    <row r="35" spans="1:4" x14ac:dyDescent="0.25">
      <c r="A35" s="93">
        <v>26</v>
      </c>
      <c r="B35" s="94">
        <v>12.19</v>
      </c>
      <c r="C35" s="94">
        <v>2.77</v>
      </c>
      <c r="D35" s="94">
        <v>0</v>
      </c>
    </row>
    <row r="36" spans="1:4" x14ac:dyDescent="0.25">
      <c r="A36" s="93">
        <v>27</v>
      </c>
      <c r="B36" s="94">
        <v>12.36</v>
      </c>
      <c r="C36" s="94">
        <v>2.81</v>
      </c>
      <c r="D36" s="94">
        <v>0</v>
      </c>
    </row>
    <row r="37" spans="1:4" x14ac:dyDescent="0.25">
      <c r="A37" s="93">
        <v>28</v>
      </c>
      <c r="B37" s="94">
        <v>12.54</v>
      </c>
      <c r="C37" s="94">
        <v>2.86</v>
      </c>
      <c r="D37" s="94">
        <v>0</v>
      </c>
    </row>
    <row r="38" spans="1:4" x14ac:dyDescent="0.25">
      <c r="A38" s="93">
        <v>29</v>
      </c>
      <c r="B38" s="94">
        <v>12.73</v>
      </c>
      <c r="C38" s="94">
        <v>2.9</v>
      </c>
      <c r="D38" s="94">
        <v>0</v>
      </c>
    </row>
    <row r="39" spans="1:4" x14ac:dyDescent="0.25">
      <c r="A39" s="93">
        <v>30</v>
      </c>
      <c r="B39" s="94">
        <v>12.91</v>
      </c>
      <c r="C39" s="94">
        <v>2.94</v>
      </c>
      <c r="D39" s="94">
        <v>0</v>
      </c>
    </row>
    <row r="40" spans="1:4" x14ac:dyDescent="0.25">
      <c r="A40" s="93">
        <v>31</v>
      </c>
      <c r="B40" s="94">
        <v>13.1</v>
      </c>
      <c r="C40" s="94">
        <v>2.99</v>
      </c>
      <c r="D40" s="94">
        <v>0</v>
      </c>
    </row>
    <row r="41" spans="1:4" x14ac:dyDescent="0.25">
      <c r="A41" s="93">
        <v>32</v>
      </c>
      <c r="B41" s="94">
        <v>13.3</v>
      </c>
      <c r="C41" s="94">
        <v>3.03</v>
      </c>
      <c r="D41" s="94">
        <v>0</v>
      </c>
    </row>
    <row r="42" spans="1:4" x14ac:dyDescent="0.25">
      <c r="A42" s="93">
        <v>33</v>
      </c>
      <c r="B42" s="94">
        <v>13.49</v>
      </c>
      <c r="C42" s="94">
        <v>3.07</v>
      </c>
      <c r="D42" s="94">
        <v>0</v>
      </c>
    </row>
    <row r="43" spans="1:4" x14ac:dyDescent="0.25">
      <c r="A43" s="93">
        <v>34</v>
      </c>
      <c r="B43" s="94">
        <v>13.69</v>
      </c>
      <c r="C43" s="94">
        <v>3.11</v>
      </c>
      <c r="D43" s="94">
        <v>0</v>
      </c>
    </row>
    <row r="44" spans="1:4" x14ac:dyDescent="0.25">
      <c r="A44" s="93">
        <v>35</v>
      </c>
      <c r="B44" s="94">
        <v>13.89</v>
      </c>
      <c r="C44" s="94">
        <v>3.15</v>
      </c>
      <c r="D44" s="94">
        <v>0</v>
      </c>
    </row>
    <row r="45" spans="1:4" x14ac:dyDescent="0.25">
      <c r="A45" s="93">
        <v>36</v>
      </c>
      <c r="B45" s="94">
        <v>14.1</v>
      </c>
      <c r="C45" s="94">
        <v>3.19</v>
      </c>
      <c r="D45" s="94">
        <v>0</v>
      </c>
    </row>
    <row r="46" spans="1:4" x14ac:dyDescent="0.25">
      <c r="A46" s="93">
        <v>37</v>
      </c>
      <c r="B46" s="94">
        <v>14.31</v>
      </c>
      <c r="C46" s="94">
        <v>3.23</v>
      </c>
      <c r="D46" s="94">
        <v>0</v>
      </c>
    </row>
    <row r="47" spans="1:4" x14ac:dyDescent="0.25">
      <c r="A47" s="93">
        <v>38</v>
      </c>
      <c r="B47" s="94">
        <v>14.53</v>
      </c>
      <c r="C47" s="94">
        <v>3.27</v>
      </c>
      <c r="D47" s="94">
        <v>0</v>
      </c>
    </row>
    <row r="48" spans="1:4" x14ac:dyDescent="0.25">
      <c r="A48" s="93">
        <v>39</v>
      </c>
      <c r="B48" s="94">
        <v>14.75</v>
      </c>
      <c r="C48" s="94">
        <v>3.31</v>
      </c>
      <c r="D48" s="94">
        <v>0</v>
      </c>
    </row>
    <row r="49" spans="1:4" x14ac:dyDescent="0.25">
      <c r="A49" s="93">
        <v>40</v>
      </c>
      <c r="B49" s="94">
        <v>14.97</v>
      </c>
      <c r="C49" s="94">
        <v>3.35</v>
      </c>
      <c r="D49" s="94">
        <v>0</v>
      </c>
    </row>
    <row r="50" spans="1:4" x14ac:dyDescent="0.25">
      <c r="A50" s="93">
        <v>41</v>
      </c>
      <c r="B50" s="94">
        <v>15.2</v>
      </c>
      <c r="C50" s="94">
        <v>3.39</v>
      </c>
      <c r="D50" s="94">
        <v>0</v>
      </c>
    </row>
    <row r="51" spans="1:4" x14ac:dyDescent="0.25">
      <c r="A51" s="93">
        <v>42</v>
      </c>
      <c r="B51" s="94">
        <v>15.43</v>
      </c>
      <c r="C51" s="94">
        <v>3.43</v>
      </c>
      <c r="D51" s="94">
        <v>0</v>
      </c>
    </row>
    <row r="52" spans="1:4" x14ac:dyDescent="0.25">
      <c r="A52" s="93">
        <v>43</v>
      </c>
      <c r="B52" s="94">
        <v>15.67</v>
      </c>
      <c r="C52" s="94">
        <v>3.46</v>
      </c>
      <c r="D52" s="94">
        <v>0</v>
      </c>
    </row>
    <row r="53" spans="1:4" x14ac:dyDescent="0.25">
      <c r="A53" s="93">
        <v>44</v>
      </c>
      <c r="B53" s="94">
        <v>15.91</v>
      </c>
      <c r="C53" s="94">
        <v>3.49</v>
      </c>
      <c r="D53" s="94">
        <v>0</v>
      </c>
    </row>
    <row r="54" spans="1:4" x14ac:dyDescent="0.25">
      <c r="A54" s="93">
        <v>45</v>
      </c>
      <c r="B54" s="94">
        <v>16.16</v>
      </c>
      <c r="C54" s="94">
        <v>3.53</v>
      </c>
      <c r="D54" s="94">
        <v>0</v>
      </c>
    </row>
    <row r="55" spans="1:4" x14ac:dyDescent="0.25">
      <c r="A55" s="93">
        <v>46</v>
      </c>
      <c r="B55" s="94">
        <v>16.420000000000002</v>
      </c>
      <c r="C55" s="94">
        <v>3.56</v>
      </c>
      <c r="D55" s="94">
        <v>0</v>
      </c>
    </row>
    <row r="56" spans="1:4" x14ac:dyDescent="0.25">
      <c r="A56" s="93">
        <v>47</v>
      </c>
      <c r="B56" s="94">
        <v>16.68</v>
      </c>
      <c r="C56" s="94">
        <v>3.59</v>
      </c>
      <c r="D56" s="94">
        <v>0</v>
      </c>
    </row>
    <row r="57" spans="1:4" x14ac:dyDescent="0.25">
      <c r="A57" s="93">
        <v>48</v>
      </c>
      <c r="B57" s="94">
        <v>16.940000000000001</v>
      </c>
      <c r="C57" s="94">
        <v>3.62</v>
      </c>
      <c r="D57" s="94">
        <v>0</v>
      </c>
    </row>
    <row r="58" spans="1:4" x14ac:dyDescent="0.25">
      <c r="A58" s="93">
        <v>49</v>
      </c>
      <c r="B58" s="94">
        <v>17.22</v>
      </c>
      <c r="C58" s="94">
        <v>3.64</v>
      </c>
      <c r="D58" s="94">
        <v>0</v>
      </c>
    </row>
    <row r="59" spans="1:4" x14ac:dyDescent="0.25">
      <c r="A59" s="93">
        <v>50</v>
      </c>
      <c r="B59" s="94">
        <v>17.5</v>
      </c>
      <c r="C59" s="94">
        <v>3.67</v>
      </c>
      <c r="D59" s="94">
        <v>0</v>
      </c>
    </row>
    <row r="60" spans="1:4" x14ac:dyDescent="0.25">
      <c r="A60" s="93">
        <v>51</v>
      </c>
      <c r="B60" s="94">
        <v>17.79</v>
      </c>
      <c r="C60" s="94">
        <v>3.69</v>
      </c>
      <c r="D60" s="94">
        <v>0</v>
      </c>
    </row>
    <row r="61" spans="1:4" x14ac:dyDescent="0.25">
      <c r="A61" s="93">
        <v>52</v>
      </c>
      <c r="B61" s="94">
        <v>18.09</v>
      </c>
      <c r="C61" s="94">
        <v>3.72</v>
      </c>
      <c r="D61" s="94">
        <v>0</v>
      </c>
    </row>
    <row r="62" spans="1:4" x14ac:dyDescent="0.25">
      <c r="A62" s="93">
        <v>53</v>
      </c>
      <c r="B62" s="94">
        <v>18.39</v>
      </c>
      <c r="C62" s="94">
        <v>3.74</v>
      </c>
      <c r="D62" s="94">
        <v>0</v>
      </c>
    </row>
    <row r="63" spans="1:4" x14ac:dyDescent="0.25">
      <c r="A63" s="93">
        <v>54</v>
      </c>
      <c r="B63" s="94">
        <v>18.71</v>
      </c>
      <c r="C63" s="94">
        <v>3.76</v>
      </c>
      <c r="D63" s="94">
        <v>0</v>
      </c>
    </row>
    <row r="64" spans="1:4" x14ac:dyDescent="0.25">
      <c r="A64" s="93">
        <v>55</v>
      </c>
      <c r="B64" s="94">
        <v>19.03</v>
      </c>
      <c r="C64" s="94">
        <v>3.78</v>
      </c>
      <c r="D64" s="94">
        <v>0</v>
      </c>
    </row>
    <row r="65" spans="1:4" x14ac:dyDescent="0.25">
      <c r="A65" s="93">
        <v>56</v>
      </c>
      <c r="B65" s="94">
        <v>19.36</v>
      </c>
      <c r="C65" s="94">
        <v>3.79</v>
      </c>
      <c r="D65" s="94">
        <v>0</v>
      </c>
    </row>
    <row r="66" spans="1:4" x14ac:dyDescent="0.25">
      <c r="A66" s="93">
        <v>57</v>
      </c>
      <c r="B66" s="94">
        <v>19.71</v>
      </c>
      <c r="C66" s="94">
        <v>3.81</v>
      </c>
      <c r="D66" s="94">
        <v>0</v>
      </c>
    </row>
    <row r="67" spans="1:4" x14ac:dyDescent="0.25">
      <c r="A67" s="93">
        <v>58</v>
      </c>
      <c r="B67" s="94">
        <v>20.07</v>
      </c>
      <c r="C67" s="94">
        <v>3.82</v>
      </c>
      <c r="D67" s="94">
        <v>0</v>
      </c>
    </row>
    <row r="68" spans="1:4" x14ac:dyDescent="0.25">
      <c r="A68" s="93">
        <v>59</v>
      </c>
      <c r="B68" s="94">
        <v>20.440000000000001</v>
      </c>
      <c r="C68" s="94">
        <v>3.83</v>
      </c>
      <c r="D68" s="94">
        <v>0</v>
      </c>
    </row>
  </sheetData>
  <sheetProtection algorithmName="SHA-512" hashValue="PjzONcpcXGPDOm8xH/GiDS0XNpTPviyigZ0TEoJhDF0FdFP2pDeuNoMJqngBeFornqQpHVeVoeH28FEEFqsJXg==" saltValue="nBSWomXc9GOrpYDwUYZObA==" spinCount="100000" sheet="1" objects="1" scenarios="1"/>
  <conditionalFormatting sqref="A6:A21">
    <cfRule type="expression" dxfId="1003" priority="15" stopIfTrue="1">
      <formula>MOD(ROW(),2)=0</formula>
    </cfRule>
    <cfRule type="expression" dxfId="1002" priority="16" stopIfTrue="1">
      <formula>MOD(ROW(),2)&lt;&gt;0</formula>
    </cfRule>
  </conditionalFormatting>
  <conditionalFormatting sqref="A26:A68">
    <cfRule type="expression" dxfId="1001" priority="5" stopIfTrue="1">
      <formula>MOD(ROW(),2)=0</formula>
    </cfRule>
    <cfRule type="expression" dxfId="1000" priority="6" stopIfTrue="1">
      <formula>MOD(ROW(),2)&lt;&gt;0</formula>
    </cfRule>
  </conditionalFormatting>
  <conditionalFormatting sqref="B6:D21 B26:D68">
    <cfRule type="expression" dxfId="999" priority="17" stopIfTrue="1">
      <formula>MOD(ROW(),2)=0</formula>
    </cfRule>
    <cfRule type="expression" dxfId="998" priority="18" stopIfTrue="1">
      <formula>MOD(ROW(),2)&lt;&gt;0</formula>
    </cfRule>
  </conditionalFormatting>
  <conditionalFormatting sqref="B17:D21">
    <cfRule type="expression" dxfId="997" priority="1" stopIfTrue="1">
      <formula>MOD(ROW(),2)=0</formula>
    </cfRule>
    <cfRule type="expression" dxfId="9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x-626</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2015</v>
      </c>
      <c r="C8" s="80"/>
    </row>
    <row r="9" spans="1:9" x14ac:dyDescent="0.25">
      <c r="A9" s="79" t="s">
        <v>307</v>
      </c>
      <c r="B9" s="152" t="s">
        <v>526</v>
      </c>
      <c r="C9" s="80"/>
    </row>
    <row r="10" spans="1:9" x14ac:dyDescent="0.25">
      <c r="A10" s="79" t="s">
        <v>233</v>
      </c>
      <c r="B10" s="152" t="s">
        <v>533</v>
      </c>
      <c r="C10" s="80"/>
    </row>
    <row r="11" spans="1:9" x14ac:dyDescent="0.25">
      <c r="A11" s="79" t="s">
        <v>308</v>
      </c>
      <c r="B11" s="152" t="s">
        <v>483</v>
      </c>
      <c r="C11" s="80"/>
    </row>
    <row r="12" spans="1:9" x14ac:dyDescent="0.25">
      <c r="A12" s="79" t="s">
        <v>309</v>
      </c>
      <c r="B12" s="152" t="s">
        <v>528</v>
      </c>
      <c r="C12" s="80"/>
    </row>
    <row r="13" spans="1:9" x14ac:dyDescent="0.25">
      <c r="A13" s="79" t="s">
        <v>566</v>
      </c>
      <c r="B13" s="152">
        <v>0</v>
      </c>
      <c r="C13" s="80"/>
    </row>
    <row r="14" spans="1:9" x14ac:dyDescent="0.25">
      <c r="A14" s="79" t="s">
        <v>311</v>
      </c>
      <c r="B14" s="152">
        <v>626</v>
      </c>
      <c r="C14" s="80"/>
    </row>
    <row r="15" spans="1:9" x14ac:dyDescent="0.25">
      <c r="A15" s="79" t="s">
        <v>569</v>
      </c>
      <c r="B15" s="152" t="s">
        <v>537</v>
      </c>
      <c r="C15" s="80"/>
    </row>
    <row r="16" spans="1:9" x14ac:dyDescent="0.25">
      <c r="A16" s="79" t="s">
        <v>313</v>
      </c>
      <c r="B16" s="152" t="s">
        <v>440</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Z+5DmKo61io13mBwIL6V5XGb2AlMk6clda7jIbDyi8irRw7kIZ7dnU90L7uxjMNHwdPL5kQX9hHL0XcEyqoF4Q==" saltValue="/92bfDqCc7DOpI0VEwIvEw==" spinCount="100000" sheet="1" objects="1" scenarios="1"/>
  <conditionalFormatting sqref="A6:A21">
    <cfRule type="expression" dxfId="85" priority="9" stopIfTrue="1">
      <formula>MOD(ROW(),2)=0</formula>
    </cfRule>
    <cfRule type="expression" dxfId="84" priority="10" stopIfTrue="1">
      <formula>MOD(ROW(),2)&lt;&gt;0</formula>
    </cfRule>
  </conditionalFormatting>
  <conditionalFormatting sqref="B6:C21">
    <cfRule type="expression" dxfId="83" priority="1" stopIfTrue="1">
      <formula>MOD(ROW(),2)=0</formula>
    </cfRule>
    <cfRule type="expression" dxfId="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24"/>
  <sheetViews>
    <sheetView showGridLines="0" zoomScale="85" zoomScaleNormal="85" workbookViewId="0">
      <selection activeCell="A4" sqref="A4"/>
    </sheetView>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Scheme pays LTA - x-627</v>
      </c>
      <c r="B3" s="43"/>
      <c r="C3" s="43"/>
      <c r="D3" s="43"/>
      <c r="E3" s="43"/>
      <c r="F3" s="43"/>
      <c r="G3" s="43"/>
      <c r="H3" s="43"/>
      <c r="I3" s="43"/>
    </row>
    <row r="4" spans="1:9" x14ac:dyDescent="0.25">
      <c r="A4" s="45"/>
    </row>
    <row r="6" spans="1:9" x14ac:dyDescent="0.25">
      <c r="A6" s="77" t="s">
        <v>558</v>
      </c>
      <c r="B6" s="151" t="s">
        <v>559</v>
      </c>
      <c r="C6" s="78"/>
    </row>
    <row r="7" spans="1:9" x14ac:dyDescent="0.25">
      <c r="A7" s="79" t="s">
        <v>305</v>
      </c>
      <c r="B7" s="152" t="s">
        <v>319</v>
      </c>
      <c r="C7" s="80"/>
    </row>
    <row r="8" spans="1:9" x14ac:dyDescent="0.25">
      <c r="A8" s="79" t="s">
        <v>306</v>
      </c>
      <c r="B8" s="152">
        <v>2015</v>
      </c>
      <c r="C8" s="80"/>
    </row>
    <row r="9" spans="1:9" x14ac:dyDescent="0.25">
      <c r="A9" s="79" t="s">
        <v>307</v>
      </c>
      <c r="B9" s="152" t="s">
        <v>526</v>
      </c>
      <c r="C9" s="80"/>
    </row>
    <row r="10" spans="1:9" x14ac:dyDescent="0.25">
      <c r="A10" s="79" t="s">
        <v>233</v>
      </c>
      <c r="B10" s="152" t="s">
        <v>538</v>
      </c>
      <c r="C10" s="80"/>
    </row>
    <row r="11" spans="1:9" x14ac:dyDescent="0.25">
      <c r="A11" s="79" t="s">
        <v>308</v>
      </c>
      <c r="B11" s="152" t="s">
        <v>483</v>
      </c>
      <c r="C11" s="80"/>
    </row>
    <row r="12" spans="1:9" x14ac:dyDescent="0.25">
      <c r="A12" s="79" t="s">
        <v>309</v>
      </c>
      <c r="B12" s="152" t="s">
        <v>528</v>
      </c>
      <c r="C12" s="80"/>
    </row>
    <row r="13" spans="1:9" x14ac:dyDescent="0.25">
      <c r="A13" s="79" t="s">
        <v>566</v>
      </c>
      <c r="B13" s="152">
        <v>0</v>
      </c>
      <c r="C13" s="80"/>
    </row>
    <row r="14" spans="1:9" x14ac:dyDescent="0.25">
      <c r="A14" s="79" t="s">
        <v>311</v>
      </c>
      <c r="B14" s="152">
        <v>627</v>
      </c>
      <c r="C14" s="80"/>
    </row>
    <row r="15" spans="1:9" x14ac:dyDescent="0.25">
      <c r="A15" s="79" t="s">
        <v>569</v>
      </c>
      <c r="B15" s="152" t="s">
        <v>539</v>
      </c>
      <c r="C15" s="80"/>
    </row>
    <row r="16" spans="1:9" x14ac:dyDescent="0.25">
      <c r="A16" s="79" t="s">
        <v>313</v>
      </c>
      <c r="B16" s="152" t="s">
        <v>446</v>
      </c>
      <c r="C16" s="80"/>
    </row>
    <row r="17" spans="1:3" x14ac:dyDescent="0.25">
      <c r="A17" s="79" t="s">
        <v>639</v>
      </c>
      <c r="B17" s="152"/>
      <c r="C17" s="80"/>
    </row>
    <row r="18" spans="1:3" x14ac:dyDescent="0.25">
      <c r="A18" s="79" t="s">
        <v>315</v>
      </c>
      <c r="B18" s="154">
        <v>45135</v>
      </c>
      <c r="C18" s="80"/>
    </row>
    <row r="19" spans="1:3" x14ac:dyDescent="0.25">
      <c r="A19" s="79" t="s">
        <v>316</v>
      </c>
      <c r="B19" s="154">
        <v>45135</v>
      </c>
      <c r="C19" s="80"/>
    </row>
    <row r="20" spans="1:3" x14ac:dyDescent="0.25">
      <c r="A20" s="79" t="s">
        <v>317</v>
      </c>
      <c r="B20" s="152" t="s">
        <v>530</v>
      </c>
      <c r="C20" s="80"/>
    </row>
    <row r="21" spans="1:3" x14ac:dyDescent="0.25">
      <c r="A21" s="79" t="s">
        <v>318</v>
      </c>
      <c r="B21" s="152" t="s">
        <v>327</v>
      </c>
      <c r="C21" s="80"/>
    </row>
    <row r="23" spans="1:3" x14ac:dyDescent="0.25">
      <c r="B23" s="96" t="str">
        <f>HYPERLINK("#'Factor List'!A1","Back to Factor List")</f>
        <v>Back to Factor List</v>
      </c>
    </row>
    <row r="24" spans="1:3" x14ac:dyDescent="0.25">
      <c r="B24" s="96" t="str">
        <f>HYPERLINK("#'Assumptions'!A1","Assumptions")</f>
        <v>Assumptions</v>
      </c>
    </row>
  </sheetData>
  <sheetProtection algorithmName="SHA-512" hashValue="cNu2aZz4+OnGsthpsOEXH8vvGUXjNk9r/H9JQ9aqDFoSZZINtL6aIMEF08wFKZCP3JPnEq5WIZe91Y8jWpTuPw==" saltValue="g+odjX0f963oo/Uuk/XrZw==" spinCount="100000" sheet="1" objects="1" scenarios="1"/>
  <conditionalFormatting sqref="A6:A21">
    <cfRule type="expression" dxfId="81" priority="11" stopIfTrue="1">
      <formula>MOD(ROW(),2)=0</formula>
    </cfRule>
    <cfRule type="expression" dxfId="80" priority="12" stopIfTrue="1">
      <formula>MOD(ROW(),2)&lt;&gt;0</formula>
    </cfRule>
  </conditionalFormatting>
  <conditionalFormatting sqref="B6:C21">
    <cfRule type="expression" dxfId="79" priority="1" stopIfTrue="1">
      <formula>MOD(ROW(),2)=0</formula>
    </cfRule>
    <cfRule type="expression" dxfId="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10"/>
  <dimension ref="A1:I68"/>
  <sheetViews>
    <sheetView showGridLines="0" zoomScale="85" zoomScaleNormal="85" workbookViewId="0">
      <selection activeCell="F17" sqref="F17"/>
    </sheetView>
  </sheetViews>
  <sheetFormatPr defaultColWidth="10" defaultRowHeight="13.2" x14ac:dyDescent="0.25"/>
  <cols>
    <col min="1" max="1" width="31.77734375" style="27" customWidth="1"/>
    <col min="2" max="2" width="27.44140625" style="27" customWidth="1"/>
    <col min="3" max="3" width="10.21875" style="27" customWidth="1"/>
    <col min="4" max="4" width="10" style="27" customWidth="1"/>
    <col min="5" max="5" width="28.21875" style="27" customWidth="1"/>
    <col min="6" max="6" width="29.4414062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Added pension - x-701A</v>
      </c>
      <c r="B3" s="43"/>
      <c r="C3" s="43"/>
      <c r="D3" s="43"/>
      <c r="E3" s="43"/>
      <c r="F3" s="43"/>
      <c r="G3" s="43"/>
      <c r="H3" s="43"/>
      <c r="I3" s="43"/>
    </row>
    <row r="4" spans="1:9" x14ac:dyDescent="0.25">
      <c r="A4" s="45"/>
    </row>
    <row r="6" spans="1:9" x14ac:dyDescent="0.25">
      <c r="A6" s="77" t="s">
        <v>558</v>
      </c>
      <c r="B6" s="152" t="s">
        <v>559</v>
      </c>
      <c r="E6" s="77" t="s">
        <v>558</v>
      </c>
      <c r="F6" s="152" t="s">
        <v>559</v>
      </c>
    </row>
    <row r="7" spans="1:9" x14ac:dyDescent="0.25">
      <c r="A7" s="79" t="s">
        <v>305</v>
      </c>
      <c r="B7" s="152" t="s">
        <v>319</v>
      </c>
      <c r="E7" s="79" t="s">
        <v>305</v>
      </c>
      <c r="F7" s="152" t="s">
        <v>319</v>
      </c>
    </row>
    <row r="8" spans="1:9" x14ac:dyDescent="0.25">
      <c r="A8" s="79" t="s">
        <v>306</v>
      </c>
      <c r="B8" s="152">
        <v>2015</v>
      </c>
      <c r="E8" s="79" t="s">
        <v>306</v>
      </c>
      <c r="F8" s="152">
        <v>2015</v>
      </c>
    </row>
    <row r="9" spans="1:9" x14ac:dyDescent="0.25">
      <c r="A9" s="79" t="s">
        <v>307</v>
      </c>
      <c r="B9" s="152" t="s">
        <v>540</v>
      </c>
      <c r="E9" s="79" t="s">
        <v>307</v>
      </c>
      <c r="F9" s="152" t="s">
        <v>540</v>
      </c>
    </row>
    <row r="10" spans="1:9" x14ac:dyDescent="0.25">
      <c r="A10" s="79" t="s">
        <v>233</v>
      </c>
      <c r="B10" s="152" t="s">
        <v>541</v>
      </c>
      <c r="E10" s="79" t="s">
        <v>233</v>
      </c>
      <c r="F10" s="152" t="s">
        <v>541</v>
      </c>
    </row>
    <row r="11" spans="1:9" x14ac:dyDescent="0.25">
      <c r="A11" s="79" t="s">
        <v>308</v>
      </c>
      <c r="B11" s="152" t="s">
        <v>404</v>
      </c>
      <c r="E11" s="79" t="s">
        <v>308</v>
      </c>
      <c r="F11" s="152" t="s">
        <v>404</v>
      </c>
    </row>
    <row r="12" spans="1:9" x14ac:dyDescent="0.25">
      <c r="A12" s="79" t="s">
        <v>309</v>
      </c>
      <c r="B12" s="152" t="s">
        <v>542</v>
      </c>
      <c r="E12" s="79" t="s">
        <v>309</v>
      </c>
      <c r="F12" s="152" t="s">
        <v>542</v>
      </c>
    </row>
    <row r="13" spans="1:9" x14ac:dyDescent="0.25">
      <c r="A13" s="79" t="s">
        <v>566</v>
      </c>
      <c r="B13" s="152">
        <v>0</v>
      </c>
      <c r="E13" s="79" t="s">
        <v>566</v>
      </c>
      <c r="F13" s="152">
        <v>0</v>
      </c>
    </row>
    <row r="14" spans="1:9" x14ac:dyDescent="0.25">
      <c r="A14" s="79" t="s">
        <v>311</v>
      </c>
      <c r="B14" s="152" t="s">
        <v>543</v>
      </c>
      <c r="E14" s="79" t="s">
        <v>311</v>
      </c>
      <c r="F14" s="152" t="s">
        <v>545</v>
      </c>
    </row>
    <row r="15" spans="1:9" x14ac:dyDescent="0.25">
      <c r="A15" s="79" t="s">
        <v>569</v>
      </c>
      <c r="B15" s="152" t="s">
        <v>544</v>
      </c>
      <c r="E15" s="79" t="s">
        <v>569</v>
      </c>
      <c r="F15" s="152" t="s">
        <v>546</v>
      </c>
    </row>
    <row r="16" spans="1:9" x14ac:dyDescent="0.25">
      <c r="A16" s="79" t="s">
        <v>313</v>
      </c>
      <c r="B16" s="152" t="s">
        <v>465</v>
      </c>
      <c r="E16" s="79" t="s">
        <v>313</v>
      </c>
      <c r="F16" s="152" t="s">
        <v>465</v>
      </c>
    </row>
    <row r="17" spans="1:6" x14ac:dyDescent="0.25">
      <c r="A17" s="79" t="s">
        <v>639</v>
      </c>
      <c r="B17" s="152"/>
      <c r="E17" s="79" t="s">
        <v>639</v>
      </c>
      <c r="F17" s="152"/>
    </row>
    <row r="18" spans="1:6" x14ac:dyDescent="0.25">
      <c r="A18" s="79" t="s">
        <v>315</v>
      </c>
      <c r="B18" s="154">
        <v>45196</v>
      </c>
      <c r="E18" s="79" t="s">
        <v>315</v>
      </c>
      <c r="F18" s="154">
        <v>45196</v>
      </c>
    </row>
    <row r="19" spans="1:6" ht="26.4" x14ac:dyDescent="0.25">
      <c r="A19" s="79" t="s">
        <v>316</v>
      </c>
      <c r="B19" s="154">
        <v>45197</v>
      </c>
      <c r="E19" s="79" t="s">
        <v>316</v>
      </c>
      <c r="F19" s="154">
        <v>45197</v>
      </c>
    </row>
    <row r="20" spans="1:6" x14ac:dyDescent="0.25">
      <c r="A20" s="79" t="s">
        <v>317</v>
      </c>
      <c r="B20" s="152" t="s">
        <v>326</v>
      </c>
      <c r="E20" s="79" t="s">
        <v>317</v>
      </c>
      <c r="F20" s="152" t="s">
        <v>326</v>
      </c>
    </row>
    <row r="21" spans="1:6" x14ac:dyDescent="0.25">
      <c r="A21" s="79" t="s">
        <v>318</v>
      </c>
      <c r="B21" s="152" t="s">
        <v>327</v>
      </c>
      <c r="E21" s="79" t="s">
        <v>318</v>
      </c>
      <c r="F21" s="152" t="s">
        <v>327</v>
      </c>
    </row>
    <row r="22" spans="1:6" x14ac:dyDescent="0.25">
      <c r="A22" s="96"/>
      <c r="B22" s="96"/>
    </row>
    <row r="23" spans="1:6" x14ac:dyDescent="0.25">
      <c r="A23" s="96"/>
      <c r="B23" s="96" t="str">
        <f>HYPERLINK("#'Factor List'!A1","Back to Factor List")</f>
        <v>Back to Factor List</v>
      </c>
    </row>
    <row r="24" spans="1:6" x14ac:dyDescent="0.25">
      <c r="A24" s="96"/>
      <c r="B24" s="96" t="str">
        <f>HYPERLINK("#'Assumptions'!A1","Assumptions")</f>
        <v>Assumptions</v>
      </c>
    </row>
    <row r="26" spans="1:6" x14ac:dyDescent="0.25">
      <c r="A26" s="82" t="s">
        <v>640</v>
      </c>
      <c r="B26" s="82" t="s">
        <v>694</v>
      </c>
      <c r="E26" s="82" t="s">
        <v>678</v>
      </c>
      <c r="F26" s="82" t="s">
        <v>679</v>
      </c>
    </row>
    <row r="27" spans="1:6" x14ac:dyDescent="0.25">
      <c r="A27" s="83">
        <v>18</v>
      </c>
      <c r="B27" s="84">
        <v>5.59</v>
      </c>
      <c r="E27" s="83" t="s">
        <v>695</v>
      </c>
      <c r="F27" s="85">
        <v>1.02</v>
      </c>
    </row>
    <row r="28" spans="1:6" x14ac:dyDescent="0.25">
      <c r="A28" s="83">
        <v>19</v>
      </c>
      <c r="B28" s="84">
        <v>5.81</v>
      </c>
    </row>
    <row r="29" spans="1:6" x14ac:dyDescent="0.25">
      <c r="A29" s="83">
        <v>20</v>
      </c>
      <c r="B29" s="84">
        <v>6.01</v>
      </c>
    </row>
    <row r="30" spans="1:6" x14ac:dyDescent="0.25">
      <c r="A30" s="83">
        <v>21</v>
      </c>
      <c r="B30" s="84">
        <v>6.23</v>
      </c>
    </row>
    <row r="31" spans="1:6" x14ac:dyDescent="0.25">
      <c r="A31" s="83">
        <v>22</v>
      </c>
      <c r="B31" s="84">
        <v>6.44</v>
      </c>
    </row>
    <row r="32" spans="1:6" x14ac:dyDescent="0.25">
      <c r="A32" s="83">
        <v>23</v>
      </c>
      <c r="B32" s="84">
        <v>6.67</v>
      </c>
    </row>
    <row r="33" spans="1:2" x14ac:dyDescent="0.25">
      <c r="A33" s="83">
        <v>24</v>
      </c>
      <c r="B33" s="84">
        <v>6.9</v>
      </c>
    </row>
    <row r="34" spans="1:2" x14ac:dyDescent="0.25">
      <c r="A34" s="83">
        <v>25</v>
      </c>
      <c r="B34" s="84">
        <v>7.15</v>
      </c>
    </row>
    <row r="35" spans="1:2" x14ac:dyDescent="0.25">
      <c r="A35" s="83">
        <v>26</v>
      </c>
      <c r="B35" s="84">
        <v>7.4</v>
      </c>
    </row>
    <row r="36" spans="1:2" x14ac:dyDescent="0.25">
      <c r="A36" s="83">
        <v>27</v>
      </c>
      <c r="B36" s="84">
        <v>7.66</v>
      </c>
    </row>
    <row r="37" spans="1:2" x14ac:dyDescent="0.25">
      <c r="A37" s="83">
        <v>28</v>
      </c>
      <c r="B37" s="84">
        <v>7.92</v>
      </c>
    </row>
    <row r="38" spans="1:2" x14ac:dyDescent="0.25">
      <c r="A38" s="83">
        <v>29</v>
      </c>
      <c r="B38" s="84">
        <v>8.1999999999999993</v>
      </c>
    </row>
    <row r="39" spans="1:2" x14ac:dyDescent="0.25">
      <c r="A39" s="83">
        <v>30</v>
      </c>
      <c r="B39" s="84">
        <v>8.48</v>
      </c>
    </row>
    <row r="40" spans="1:2" x14ac:dyDescent="0.25">
      <c r="A40" s="83">
        <v>31</v>
      </c>
      <c r="B40" s="84">
        <v>8.7799999999999994</v>
      </c>
    </row>
    <row r="41" spans="1:2" x14ac:dyDescent="0.25">
      <c r="A41" s="83">
        <v>32</v>
      </c>
      <c r="B41" s="84">
        <v>9.08</v>
      </c>
    </row>
    <row r="42" spans="1:2" x14ac:dyDescent="0.25">
      <c r="A42" s="83">
        <v>33</v>
      </c>
      <c r="B42" s="84">
        <v>9.4</v>
      </c>
    </row>
    <row r="43" spans="1:2" x14ac:dyDescent="0.25">
      <c r="A43" s="83">
        <v>34</v>
      </c>
      <c r="B43" s="84">
        <v>9.7200000000000006</v>
      </c>
    </row>
    <row r="44" spans="1:2" x14ac:dyDescent="0.25">
      <c r="A44" s="83">
        <v>35</v>
      </c>
      <c r="B44" s="84">
        <v>10.06</v>
      </c>
    </row>
    <row r="45" spans="1:2" x14ac:dyDescent="0.25">
      <c r="A45" s="83">
        <v>36</v>
      </c>
      <c r="B45" s="84">
        <v>10.4</v>
      </c>
    </row>
    <row r="46" spans="1:2" x14ac:dyDescent="0.25">
      <c r="A46" s="83">
        <v>37</v>
      </c>
      <c r="B46" s="84">
        <v>10.76</v>
      </c>
    </row>
    <row r="47" spans="1:2" x14ac:dyDescent="0.25">
      <c r="A47" s="83">
        <v>38</v>
      </c>
      <c r="B47" s="84">
        <v>11.13</v>
      </c>
    </row>
    <row r="48" spans="1:2" x14ac:dyDescent="0.25">
      <c r="A48" s="83">
        <v>39</v>
      </c>
      <c r="B48" s="84">
        <v>11.51</v>
      </c>
    </row>
    <row r="49" spans="1:2" x14ac:dyDescent="0.25">
      <c r="A49" s="83">
        <v>40</v>
      </c>
      <c r="B49" s="84">
        <v>11.9</v>
      </c>
    </row>
    <row r="50" spans="1:2" x14ac:dyDescent="0.25">
      <c r="A50" s="83">
        <v>41</v>
      </c>
      <c r="B50" s="84">
        <v>12.31</v>
      </c>
    </row>
    <row r="51" spans="1:2" x14ac:dyDescent="0.25">
      <c r="A51" s="83">
        <v>42</v>
      </c>
      <c r="B51" s="84">
        <v>12.73</v>
      </c>
    </row>
    <row r="52" spans="1:2" x14ac:dyDescent="0.25">
      <c r="A52" s="83">
        <v>43</v>
      </c>
      <c r="B52" s="84">
        <v>13.15</v>
      </c>
    </row>
    <row r="53" spans="1:2" x14ac:dyDescent="0.25">
      <c r="A53" s="83">
        <v>44</v>
      </c>
      <c r="B53" s="84">
        <v>13.6</v>
      </c>
    </row>
    <row r="54" spans="1:2" x14ac:dyDescent="0.25">
      <c r="A54" s="83">
        <v>45</v>
      </c>
      <c r="B54" s="84">
        <v>14.05</v>
      </c>
    </row>
    <row r="55" spans="1:2" x14ac:dyDescent="0.25">
      <c r="A55" s="83">
        <v>46</v>
      </c>
      <c r="B55" s="84">
        <v>14.52</v>
      </c>
    </row>
    <row r="56" spans="1:2" x14ac:dyDescent="0.25">
      <c r="A56" s="83">
        <v>47</v>
      </c>
      <c r="B56" s="84">
        <v>15.01</v>
      </c>
    </row>
    <row r="57" spans="1:2" x14ac:dyDescent="0.25">
      <c r="A57" s="83">
        <v>48</v>
      </c>
      <c r="B57" s="84">
        <v>15.51</v>
      </c>
    </row>
    <row r="58" spans="1:2" x14ac:dyDescent="0.25">
      <c r="A58" s="83">
        <v>49</v>
      </c>
      <c r="B58" s="84">
        <v>16.02</v>
      </c>
    </row>
    <row r="59" spans="1:2" x14ac:dyDescent="0.25">
      <c r="A59" s="83">
        <v>50</v>
      </c>
      <c r="B59" s="84">
        <v>16.559999999999999</v>
      </c>
    </row>
    <row r="60" spans="1:2" x14ac:dyDescent="0.25">
      <c r="A60" s="83">
        <v>51</v>
      </c>
      <c r="B60" s="84">
        <v>17.100000000000001</v>
      </c>
    </row>
    <row r="61" spans="1:2" x14ac:dyDescent="0.25">
      <c r="A61" s="83">
        <v>52</v>
      </c>
      <c r="B61" s="84">
        <v>17.670000000000002</v>
      </c>
    </row>
    <row r="62" spans="1:2" x14ac:dyDescent="0.25">
      <c r="A62" s="83">
        <v>53</v>
      </c>
      <c r="B62" s="84">
        <v>18.260000000000002</v>
      </c>
    </row>
    <row r="63" spans="1:2" x14ac:dyDescent="0.25">
      <c r="A63" s="83">
        <v>54</v>
      </c>
      <c r="B63" s="84">
        <v>18.86</v>
      </c>
    </row>
    <row r="64" spans="1:2" x14ac:dyDescent="0.25">
      <c r="A64" s="83">
        <v>55</v>
      </c>
      <c r="B64" s="84">
        <v>19.489999999999998</v>
      </c>
    </row>
    <row r="65" spans="1:2" x14ac:dyDescent="0.25">
      <c r="A65" s="83">
        <v>56</v>
      </c>
      <c r="B65" s="84">
        <v>20.149999999999999</v>
      </c>
    </row>
    <row r="66" spans="1:2" x14ac:dyDescent="0.25">
      <c r="A66" s="83">
        <v>57</v>
      </c>
      <c r="B66" s="84">
        <v>20.85</v>
      </c>
    </row>
    <row r="67" spans="1:2" x14ac:dyDescent="0.25">
      <c r="A67" s="83">
        <v>58</v>
      </c>
      <c r="B67" s="84">
        <v>21.57</v>
      </c>
    </row>
    <row r="68" spans="1:2" x14ac:dyDescent="0.25">
      <c r="A68" s="83">
        <v>59</v>
      </c>
      <c r="B68" s="84">
        <v>22.34</v>
      </c>
    </row>
  </sheetData>
  <sheetProtection algorithmName="SHA-512" hashValue="qAb3DVeVDyHxzlXadPC3++dmI1AohdU7/zB67H5raT0dpWFeB0AOG7/EZV0mTNwfXfXD6x8Vm5uMCFwOUyjO+A==" saltValue="dh6p09RJDL0UbpI0gizVMg==" spinCount="100000" sheet="1" objects="1" scenarios="1"/>
  <conditionalFormatting sqref="A6:A21">
    <cfRule type="expression" dxfId="77" priority="25" stopIfTrue="1">
      <formula>MOD(ROW(),2)=0</formula>
    </cfRule>
    <cfRule type="expression" dxfId="76" priority="26" stopIfTrue="1">
      <formula>MOD(ROW(),2)&lt;&gt;0</formula>
    </cfRule>
  </conditionalFormatting>
  <conditionalFormatting sqref="A26:A68">
    <cfRule type="expression" dxfId="75" priority="29" stopIfTrue="1">
      <formula>MOD(ROW(),2)=0</formula>
    </cfRule>
    <cfRule type="expression" dxfId="74" priority="30" stopIfTrue="1">
      <formula>MOD(ROW(),2)&lt;&gt;0</formula>
    </cfRule>
  </conditionalFormatting>
  <conditionalFormatting sqref="B6:B21">
    <cfRule type="expression" dxfId="73" priority="35" stopIfTrue="1">
      <formula>MOD(ROW(),2)=0</formula>
    </cfRule>
    <cfRule type="expression" dxfId="72" priority="36" stopIfTrue="1">
      <formula>MOD(ROW(),2)&lt;&gt;0</formula>
    </cfRule>
  </conditionalFormatting>
  <conditionalFormatting sqref="B17:B21">
    <cfRule type="expression" dxfId="71" priority="15" stopIfTrue="1">
      <formula>MOD(ROW(),2)=0</formula>
    </cfRule>
    <cfRule type="expression" dxfId="70" priority="16" stopIfTrue="1">
      <formula>MOD(ROW(),2)&lt;&gt;0</formula>
    </cfRule>
  </conditionalFormatting>
  <conditionalFormatting sqref="B26:B68">
    <cfRule type="expression" dxfId="69" priority="31" stopIfTrue="1">
      <formula>MOD(ROW(),2)=0</formula>
    </cfRule>
    <cfRule type="expression" dxfId="68" priority="32" stopIfTrue="1">
      <formula>MOD(ROW(),2)&lt;&gt;0</formula>
    </cfRule>
  </conditionalFormatting>
  <conditionalFormatting sqref="E6:E21">
    <cfRule type="expression" dxfId="67" priority="7" stopIfTrue="1">
      <formula>MOD(ROW(),2)=0</formula>
    </cfRule>
    <cfRule type="expression" dxfId="66" priority="8" stopIfTrue="1">
      <formula>MOD(ROW(),2)&lt;&gt;0</formula>
    </cfRule>
  </conditionalFormatting>
  <conditionalFormatting sqref="E26:E27">
    <cfRule type="expression" dxfId="65" priority="1" stopIfTrue="1">
      <formula>MOD(ROW(),2)=0</formula>
    </cfRule>
    <cfRule type="expression" dxfId="64" priority="2" stopIfTrue="1">
      <formula>MOD(ROW(),2)&lt;&gt;0</formula>
    </cfRule>
  </conditionalFormatting>
  <conditionalFormatting sqref="F6:F21">
    <cfRule type="expression" dxfId="63" priority="13" stopIfTrue="1">
      <formula>MOD(ROW(),2)=0</formula>
    </cfRule>
    <cfRule type="expression" dxfId="62" priority="14" stopIfTrue="1">
      <formula>MOD(ROW(),2)&lt;&gt;0</formula>
    </cfRule>
  </conditionalFormatting>
  <conditionalFormatting sqref="F17:F21">
    <cfRule type="expression" dxfId="61" priority="5" stopIfTrue="1">
      <formula>MOD(ROW(),2)=0</formula>
    </cfRule>
    <cfRule type="expression" dxfId="60" priority="6" stopIfTrue="1">
      <formula>MOD(ROW(),2)&lt;&gt;0</formula>
    </cfRule>
  </conditionalFormatting>
  <conditionalFormatting sqref="F26:F27">
    <cfRule type="expression" dxfId="59" priority="3" stopIfTrue="1">
      <formula>MOD(ROW(),2)=0</formula>
    </cfRule>
    <cfRule type="expression" dxfId="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1"/>
  <dimension ref="A1:I67"/>
  <sheetViews>
    <sheetView showGridLines="0" zoomScale="85" zoomScaleNormal="85" workbookViewId="0">
      <selection activeCell="A4" sqref="A4"/>
    </sheetView>
  </sheetViews>
  <sheetFormatPr defaultColWidth="10" defaultRowHeight="13.2" x14ac:dyDescent="0.25"/>
  <cols>
    <col min="1" max="1" width="31.77734375" style="27" customWidth="1"/>
    <col min="2" max="2" width="27.44140625" style="27" customWidth="1"/>
    <col min="3" max="3" width="10.2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TABLE_FACTOR_TYPE_1&amp;" - x-"&amp;TABLE_SERIES_NUMBER_1</f>
        <v>Added pension - x-702</v>
      </c>
      <c r="B3" s="43"/>
      <c r="C3" s="43"/>
      <c r="D3" s="43"/>
      <c r="E3" s="43"/>
      <c r="F3" s="43"/>
      <c r="G3" s="43"/>
      <c r="H3" s="43"/>
      <c r="I3" s="43"/>
    </row>
    <row r="4" spans="1:9" x14ac:dyDescent="0.25">
      <c r="A4" s="45"/>
    </row>
    <row r="6" spans="1:9" x14ac:dyDescent="0.25">
      <c r="A6" s="77" t="s">
        <v>558</v>
      </c>
      <c r="B6" s="152" t="s">
        <v>559</v>
      </c>
    </row>
    <row r="7" spans="1:9" x14ac:dyDescent="0.25">
      <c r="A7" s="79" t="s">
        <v>305</v>
      </c>
      <c r="B7" s="152" t="s">
        <v>319</v>
      </c>
    </row>
    <row r="8" spans="1:9" x14ac:dyDescent="0.25">
      <c r="A8" s="79" t="s">
        <v>306</v>
      </c>
      <c r="B8" s="152">
        <v>2015</v>
      </c>
    </row>
    <row r="9" spans="1:9" x14ac:dyDescent="0.25">
      <c r="A9" s="79" t="s">
        <v>307</v>
      </c>
      <c r="B9" s="152" t="s">
        <v>540</v>
      </c>
    </row>
    <row r="10" spans="1:9" x14ac:dyDescent="0.25">
      <c r="A10" s="79" t="s">
        <v>233</v>
      </c>
      <c r="B10" s="152" t="s">
        <v>547</v>
      </c>
    </row>
    <row r="11" spans="1:9" x14ac:dyDescent="0.25">
      <c r="A11" s="79" t="s">
        <v>308</v>
      </c>
      <c r="B11" s="152" t="s">
        <v>404</v>
      </c>
    </row>
    <row r="12" spans="1:9" x14ac:dyDescent="0.25">
      <c r="A12" s="79" t="s">
        <v>309</v>
      </c>
      <c r="B12" s="152" t="s">
        <v>548</v>
      </c>
    </row>
    <row r="13" spans="1:9" x14ac:dyDescent="0.25">
      <c r="A13" s="79" t="s">
        <v>566</v>
      </c>
      <c r="B13" s="152">
        <v>0</v>
      </c>
    </row>
    <row r="14" spans="1:9" x14ac:dyDescent="0.25">
      <c r="A14" s="79" t="s">
        <v>311</v>
      </c>
      <c r="B14" s="152">
        <v>702</v>
      </c>
    </row>
    <row r="15" spans="1:9" x14ac:dyDescent="0.25">
      <c r="A15" s="79" t="s">
        <v>569</v>
      </c>
      <c r="B15" s="152" t="s">
        <v>549</v>
      </c>
    </row>
    <row r="16" spans="1:9" x14ac:dyDescent="0.25">
      <c r="A16" s="79" t="s">
        <v>313</v>
      </c>
      <c r="B16" s="152" t="s">
        <v>468</v>
      </c>
    </row>
    <row r="17" spans="1:2" x14ac:dyDescent="0.25">
      <c r="A17" s="79" t="s">
        <v>639</v>
      </c>
      <c r="B17" s="152"/>
    </row>
    <row r="18" spans="1:2" x14ac:dyDescent="0.25">
      <c r="A18" s="79" t="s">
        <v>315</v>
      </c>
      <c r="B18" s="154">
        <v>45196</v>
      </c>
    </row>
    <row r="19" spans="1:2" x14ac:dyDescent="0.25">
      <c r="A19" s="79" t="s">
        <v>316</v>
      </c>
      <c r="B19" s="154">
        <v>45197</v>
      </c>
    </row>
    <row r="20" spans="1:2" x14ac:dyDescent="0.25">
      <c r="A20" s="79" t="s">
        <v>317</v>
      </c>
      <c r="B20" s="152" t="s">
        <v>326</v>
      </c>
    </row>
    <row r="21" spans="1:2" x14ac:dyDescent="0.25">
      <c r="A21" s="79" t="s">
        <v>318</v>
      </c>
      <c r="B21" s="152" t="s">
        <v>327</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82" t="s">
        <v>548</v>
      </c>
      <c r="B26" s="82" t="s">
        <v>696</v>
      </c>
    </row>
    <row r="27" spans="1:2" x14ac:dyDescent="0.25">
      <c r="A27" s="83">
        <v>0</v>
      </c>
      <c r="B27" s="84">
        <v>1</v>
      </c>
    </row>
    <row r="28" spans="1:2" x14ac:dyDescent="0.25">
      <c r="A28" s="83">
        <v>1</v>
      </c>
      <c r="B28" s="84">
        <v>1.02</v>
      </c>
    </row>
    <row r="29" spans="1:2" x14ac:dyDescent="0.25">
      <c r="A29" s="83">
        <v>2</v>
      </c>
      <c r="B29" s="84">
        <v>1.04</v>
      </c>
    </row>
    <row r="30" spans="1:2" x14ac:dyDescent="0.25">
      <c r="A30" s="83">
        <v>3</v>
      </c>
      <c r="B30" s="84">
        <v>1.06</v>
      </c>
    </row>
    <row r="31" spans="1:2" x14ac:dyDescent="0.25">
      <c r="A31" s="83">
        <v>4</v>
      </c>
      <c r="B31" s="84">
        <v>1.08</v>
      </c>
    </row>
    <row r="32" spans="1:2" x14ac:dyDescent="0.25">
      <c r="A32" s="83">
        <v>5</v>
      </c>
      <c r="B32" s="84">
        <v>1.1000000000000001</v>
      </c>
    </row>
    <row r="33" spans="1:2" x14ac:dyDescent="0.25">
      <c r="A33" s="83">
        <v>6</v>
      </c>
      <c r="B33" s="84">
        <v>1.1299999999999999</v>
      </c>
    </row>
    <row r="34" spans="1:2" x14ac:dyDescent="0.25">
      <c r="A34" s="83">
        <v>7</v>
      </c>
      <c r="B34" s="84">
        <v>1.1499999999999999</v>
      </c>
    </row>
    <row r="35" spans="1:2" x14ac:dyDescent="0.25">
      <c r="A35" s="83">
        <v>8</v>
      </c>
      <c r="B35" s="84">
        <v>1.17</v>
      </c>
    </row>
    <row r="36" spans="1:2" x14ac:dyDescent="0.25">
      <c r="A36" s="83">
        <v>9</v>
      </c>
      <c r="B36" s="84">
        <v>1.2</v>
      </c>
    </row>
    <row r="37" spans="1:2" x14ac:dyDescent="0.25">
      <c r="A37" s="83">
        <v>10</v>
      </c>
      <c r="B37" s="84">
        <v>1.22</v>
      </c>
    </row>
    <row r="38" spans="1:2" x14ac:dyDescent="0.25">
      <c r="A38" s="83">
        <v>11</v>
      </c>
      <c r="B38" s="84">
        <v>1.24</v>
      </c>
    </row>
    <row r="39" spans="1:2" x14ac:dyDescent="0.25">
      <c r="A39" s="83">
        <v>12</v>
      </c>
      <c r="B39" s="84">
        <v>1.27</v>
      </c>
    </row>
    <row r="40" spans="1:2" x14ac:dyDescent="0.25">
      <c r="A40" s="83">
        <v>13</v>
      </c>
      <c r="B40" s="84">
        <v>1.29</v>
      </c>
    </row>
    <row r="41" spans="1:2" x14ac:dyDescent="0.25">
      <c r="A41" s="83">
        <v>14</v>
      </c>
      <c r="B41" s="84">
        <v>1.32</v>
      </c>
    </row>
    <row r="42" spans="1:2" x14ac:dyDescent="0.25">
      <c r="A42" s="83">
        <v>15</v>
      </c>
      <c r="B42" s="84">
        <v>1.35</v>
      </c>
    </row>
    <row r="43" spans="1:2" x14ac:dyDescent="0.25">
      <c r="A43" s="83">
        <v>16</v>
      </c>
      <c r="B43" s="84">
        <v>1.37</v>
      </c>
    </row>
    <row r="44" spans="1:2" x14ac:dyDescent="0.25">
      <c r="A44" s="83">
        <v>17</v>
      </c>
      <c r="B44" s="84">
        <v>1.4</v>
      </c>
    </row>
    <row r="45" spans="1:2" x14ac:dyDescent="0.25">
      <c r="A45" s="83">
        <v>18</v>
      </c>
      <c r="B45" s="84">
        <v>1.43</v>
      </c>
    </row>
    <row r="46" spans="1:2" x14ac:dyDescent="0.25">
      <c r="A46" s="83">
        <v>19</v>
      </c>
      <c r="B46" s="84">
        <v>1.46</v>
      </c>
    </row>
    <row r="47" spans="1:2" x14ac:dyDescent="0.25">
      <c r="A47" s="83">
        <v>20</v>
      </c>
      <c r="B47" s="84">
        <v>1.49</v>
      </c>
    </row>
    <row r="48" spans="1:2" x14ac:dyDescent="0.25">
      <c r="A48" s="83">
        <v>21</v>
      </c>
      <c r="B48" s="84">
        <v>1.52</v>
      </c>
    </row>
    <row r="49" spans="1:2" x14ac:dyDescent="0.25">
      <c r="A49" s="83">
        <v>22</v>
      </c>
      <c r="B49" s="84">
        <v>1.55</v>
      </c>
    </row>
    <row r="50" spans="1:2" x14ac:dyDescent="0.25">
      <c r="A50" s="83">
        <v>23</v>
      </c>
      <c r="B50" s="84">
        <v>1.58</v>
      </c>
    </row>
    <row r="51" spans="1:2" x14ac:dyDescent="0.25">
      <c r="A51" s="83">
        <v>24</v>
      </c>
      <c r="B51" s="84">
        <v>1.61</v>
      </c>
    </row>
    <row r="52" spans="1:2" x14ac:dyDescent="0.25">
      <c r="A52" s="83">
        <v>25</v>
      </c>
      <c r="B52" s="84">
        <v>1.64</v>
      </c>
    </row>
    <row r="53" spans="1:2" x14ac:dyDescent="0.25">
      <c r="A53" s="83">
        <v>26</v>
      </c>
      <c r="B53" s="84">
        <v>1.67</v>
      </c>
    </row>
    <row r="54" spans="1:2" x14ac:dyDescent="0.25">
      <c r="A54" s="83">
        <v>27</v>
      </c>
      <c r="B54" s="84">
        <v>1.71</v>
      </c>
    </row>
    <row r="55" spans="1:2" x14ac:dyDescent="0.25">
      <c r="A55" s="83">
        <v>28</v>
      </c>
      <c r="B55" s="84">
        <v>1.74</v>
      </c>
    </row>
    <row r="56" spans="1:2" x14ac:dyDescent="0.25">
      <c r="A56" s="83">
        <v>29</v>
      </c>
      <c r="B56" s="84">
        <v>1.78</v>
      </c>
    </row>
    <row r="57" spans="1:2" x14ac:dyDescent="0.25">
      <c r="A57" s="83">
        <v>30</v>
      </c>
      <c r="B57" s="84">
        <v>1.81</v>
      </c>
    </row>
    <row r="58" spans="1:2" x14ac:dyDescent="0.25">
      <c r="A58" s="83">
        <v>31</v>
      </c>
      <c r="B58" s="84">
        <v>1.85</v>
      </c>
    </row>
    <row r="59" spans="1:2" x14ac:dyDescent="0.25">
      <c r="A59" s="83">
        <v>32</v>
      </c>
      <c r="B59" s="84">
        <v>1.88</v>
      </c>
    </row>
    <row r="60" spans="1:2" x14ac:dyDescent="0.25">
      <c r="A60" s="83">
        <v>33</v>
      </c>
      <c r="B60" s="84">
        <v>1.92</v>
      </c>
    </row>
    <row r="61" spans="1:2" x14ac:dyDescent="0.25">
      <c r="A61" s="83">
        <v>34</v>
      </c>
      <c r="B61" s="84">
        <v>1.96</v>
      </c>
    </row>
    <row r="62" spans="1:2" x14ac:dyDescent="0.25">
      <c r="A62" s="83">
        <v>35</v>
      </c>
      <c r="B62" s="84">
        <v>2</v>
      </c>
    </row>
    <row r="63" spans="1:2" x14ac:dyDescent="0.25">
      <c r="A63" s="83">
        <v>36</v>
      </c>
      <c r="B63" s="84">
        <v>2.04</v>
      </c>
    </row>
    <row r="64" spans="1:2" x14ac:dyDescent="0.25">
      <c r="A64" s="83">
        <v>37</v>
      </c>
      <c r="B64" s="84">
        <v>2.08</v>
      </c>
    </row>
    <row r="65" spans="1:2" x14ac:dyDescent="0.25">
      <c r="A65" s="83">
        <v>38</v>
      </c>
      <c r="B65" s="84">
        <v>2.12</v>
      </c>
    </row>
    <row r="66" spans="1:2" x14ac:dyDescent="0.25">
      <c r="A66" s="83">
        <v>39</v>
      </c>
      <c r="B66" s="84">
        <v>2.16</v>
      </c>
    </row>
    <row r="67" spans="1:2" x14ac:dyDescent="0.25">
      <c r="A67" s="83">
        <v>40</v>
      </c>
      <c r="B67" s="84">
        <v>2.21</v>
      </c>
    </row>
  </sheetData>
  <sheetProtection algorithmName="SHA-512" hashValue="CZ04TQkAvYQJMJc3tp85iOW/4/cPacbqtp6MLWNcIXP45FjMfsgfFMH5rYF+KuSSC4kq5D5elihJEIb0r5lehw==" saltValue="nASAC4is0QCTLu92rU9e+g==" spinCount="100000" sheet="1" objects="1" scenarios="1"/>
  <conditionalFormatting sqref="A6:A21">
    <cfRule type="expression" dxfId="57" priority="5" stopIfTrue="1">
      <formula>MOD(ROW(),2)=0</formula>
    </cfRule>
    <cfRule type="expression" dxfId="56" priority="6" stopIfTrue="1">
      <formula>MOD(ROW(),2)&lt;&gt;0</formula>
    </cfRule>
  </conditionalFormatting>
  <conditionalFormatting sqref="A26:A67">
    <cfRule type="expression" dxfId="55" priority="9" stopIfTrue="1">
      <formula>MOD(ROW(),2)=0</formula>
    </cfRule>
    <cfRule type="expression" dxfId="54" priority="10" stopIfTrue="1">
      <formula>MOD(ROW(),2)&lt;&gt;0</formula>
    </cfRule>
  </conditionalFormatting>
  <conditionalFormatting sqref="B6:B21">
    <cfRule type="expression" dxfId="53" priority="15" stopIfTrue="1">
      <formula>MOD(ROW(),2)=0</formula>
    </cfRule>
    <cfRule type="expression" dxfId="52" priority="16" stopIfTrue="1">
      <formula>MOD(ROW(),2)&lt;&gt;0</formula>
    </cfRule>
  </conditionalFormatting>
  <conditionalFormatting sqref="B17:B21">
    <cfRule type="expression" dxfId="51" priority="1" stopIfTrue="1">
      <formula>MOD(ROW(),2)=0</formula>
    </cfRule>
    <cfRule type="expression" dxfId="50" priority="2" stopIfTrue="1">
      <formula>MOD(ROW(),2)&lt;&gt;0</formula>
    </cfRule>
  </conditionalFormatting>
  <conditionalFormatting sqref="B26:B67">
    <cfRule type="expression" dxfId="49" priority="11" stopIfTrue="1">
      <formula>MOD(ROW(),2)=0</formula>
    </cfRule>
    <cfRule type="expression" dxfId="48"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95E8-2702-422C-8B0E-C1CCA3576008}">
  <sheetPr codeName="Sheet114"/>
  <dimension ref="A1:K36"/>
  <sheetViews>
    <sheetView showGridLines="0" zoomScale="84" zoomScaleNormal="84" workbookViewId="0">
      <selection activeCell="B23" sqref="B23"/>
    </sheetView>
  </sheetViews>
  <sheetFormatPr defaultColWidth="10" defaultRowHeight="13.2" x14ac:dyDescent="0.25"/>
  <cols>
    <col min="1" max="1" width="31.5546875" style="27" customWidth="1"/>
    <col min="2" max="2" width="24.5546875" style="27" customWidth="1"/>
    <col min="3" max="3" width="24.77734375" style="27" customWidth="1"/>
    <col min="4" max="5" width="10" style="27" customWidth="1"/>
    <col min="6" max="6" width="24.5546875" style="27" customWidth="1"/>
    <col min="7" max="7" width="27.21875" style="27" customWidth="1"/>
    <col min="8" max="9" width="10" style="27"/>
    <col min="10" max="10" width="26.21875" style="27" customWidth="1"/>
    <col min="11" max="11" width="26.44140625" style="27" customWidth="1"/>
    <col min="12" max="16384" width="10" style="27"/>
  </cols>
  <sheetData>
    <row r="1" spans="1:11" ht="21" x14ac:dyDescent="0.4">
      <c r="A1" s="40" t="s">
        <v>227</v>
      </c>
      <c r="B1" s="41"/>
      <c r="C1" s="41"/>
      <c r="D1" s="41"/>
      <c r="E1" s="41"/>
      <c r="F1" s="41"/>
      <c r="G1" s="41"/>
      <c r="H1" s="41"/>
      <c r="I1" s="41"/>
      <c r="J1" s="41"/>
      <c r="K1" s="41"/>
    </row>
    <row r="2" spans="1:11" ht="15.6" x14ac:dyDescent="0.3">
      <c r="A2" s="42" t="str">
        <f>IF(t="&gt; Enter workbook title here","Enter workbook title in Cover sheet",t)</f>
        <v>Fire Wales - Consolidated Factor Spreadsheet</v>
      </c>
      <c r="B2" s="43"/>
      <c r="C2" s="43"/>
      <c r="D2" s="43"/>
      <c r="E2" s="43"/>
      <c r="F2" s="43"/>
      <c r="G2" s="43"/>
      <c r="H2" s="43"/>
      <c r="I2" s="43"/>
      <c r="J2" s="43"/>
      <c r="K2" s="43"/>
    </row>
    <row r="3" spans="1:11" ht="15.6" x14ac:dyDescent="0.3">
      <c r="A3" s="44" t="str">
        <f>TABLE_FACTOR_TYPE_1&amp;" - x-"&amp;TABLE_SERIES_NUMBER_1</f>
        <v>Conversion Factors - x-802</v>
      </c>
      <c r="B3" s="43"/>
      <c r="C3" s="43"/>
      <c r="D3" s="43"/>
      <c r="E3" s="43"/>
      <c r="F3" s="43"/>
      <c r="G3" s="43"/>
      <c r="H3" s="43"/>
      <c r="I3" s="43"/>
      <c r="J3" s="43"/>
      <c r="K3" s="43"/>
    </row>
    <row r="4" spans="1:11" x14ac:dyDescent="0.25">
      <c r="A4" s="45"/>
    </row>
    <row r="6" spans="1:11" x14ac:dyDescent="0.25">
      <c r="A6" s="77" t="s">
        <v>558</v>
      </c>
      <c r="B6" s="152" t="s">
        <v>559</v>
      </c>
      <c r="C6" s="152"/>
      <c r="F6" s="77" t="s">
        <v>558</v>
      </c>
      <c r="G6" s="152" t="s">
        <v>559</v>
      </c>
      <c r="J6" s="77" t="s">
        <v>558</v>
      </c>
      <c r="K6" s="152" t="s">
        <v>559</v>
      </c>
    </row>
    <row r="7" spans="1:11" x14ac:dyDescent="0.25">
      <c r="A7" s="79" t="s">
        <v>305</v>
      </c>
      <c r="B7" s="152" t="s">
        <v>319</v>
      </c>
      <c r="C7" s="152"/>
      <c r="F7" s="79" t="s">
        <v>305</v>
      </c>
      <c r="G7" s="152" t="s">
        <v>319</v>
      </c>
      <c r="J7" s="79" t="s">
        <v>305</v>
      </c>
      <c r="K7" s="152" t="s">
        <v>319</v>
      </c>
    </row>
    <row r="8" spans="1:11" x14ac:dyDescent="0.25">
      <c r="A8" s="79" t="s">
        <v>306</v>
      </c>
      <c r="B8" s="152">
        <v>2007</v>
      </c>
      <c r="C8" s="152"/>
      <c r="F8" s="79" t="s">
        <v>306</v>
      </c>
      <c r="G8" s="152">
        <v>2007</v>
      </c>
      <c r="J8" s="79" t="s">
        <v>306</v>
      </c>
      <c r="K8" s="152">
        <v>2007</v>
      </c>
    </row>
    <row r="9" spans="1:11" x14ac:dyDescent="0.25">
      <c r="A9" s="79" t="s">
        <v>307</v>
      </c>
      <c r="B9" s="152" t="s">
        <v>550</v>
      </c>
      <c r="C9" s="152"/>
      <c r="F9" s="79" t="s">
        <v>307</v>
      </c>
      <c r="G9" s="152" t="s">
        <v>550</v>
      </c>
      <c r="J9" s="79" t="s">
        <v>307</v>
      </c>
      <c r="K9" s="152" t="s">
        <v>550</v>
      </c>
    </row>
    <row r="10" spans="1:11" x14ac:dyDescent="0.25">
      <c r="A10" s="79" t="s">
        <v>233</v>
      </c>
      <c r="B10" s="152" t="s">
        <v>551</v>
      </c>
      <c r="C10" s="152"/>
      <c r="F10" s="79" t="s">
        <v>233</v>
      </c>
      <c r="G10" s="152" t="s">
        <v>554</v>
      </c>
      <c r="J10" s="79" t="s">
        <v>233</v>
      </c>
      <c r="K10" s="152" t="s">
        <v>556</v>
      </c>
    </row>
    <row r="11" spans="1:11" x14ac:dyDescent="0.25">
      <c r="A11" s="79" t="s">
        <v>308</v>
      </c>
      <c r="B11" s="152" t="s">
        <v>404</v>
      </c>
      <c r="C11" s="152"/>
      <c r="F11" s="79" t="s">
        <v>308</v>
      </c>
      <c r="G11" s="152" t="s">
        <v>404</v>
      </c>
      <c r="J11" s="79" t="s">
        <v>308</v>
      </c>
      <c r="K11" s="152" t="s">
        <v>404</v>
      </c>
    </row>
    <row r="12" spans="1:11" x14ac:dyDescent="0.25">
      <c r="A12" s="79" t="s">
        <v>309</v>
      </c>
      <c r="B12" s="152" t="s">
        <v>528</v>
      </c>
      <c r="C12" s="152"/>
      <c r="F12" s="79" t="s">
        <v>309</v>
      </c>
      <c r="G12" s="152" t="s">
        <v>528</v>
      </c>
      <c r="J12" s="79" t="s">
        <v>309</v>
      </c>
      <c r="K12" s="152" t="s">
        <v>528</v>
      </c>
    </row>
    <row r="13" spans="1:11" x14ac:dyDescent="0.25">
      <c r="A13" s="79" t="s">
        <v>566</v>
      </c>
      <c r="B13" s="152">
        <v>0</v>
      </c>
      <c r="C13" s="152"/>
      <c r="F13" s="79" t="s">
        <v>566</v>
      </c>
      <c r="G13" s="152">
        <v>0</v>
      </c>
      <c r="J13" s="79" t="s">
        <v>566</v>
      </c>
      <c r="K13" s="152">
        <v>0</v>
      </c>
    </row>
    <row r="14" spans="1:11" x14ac:dyDescent="0.25">
      <c r="A14" s="79" t="s">
        <v>311</v>
      </c>
      <c r="B14" s="152">
        <v>802</v>
      </c>
      <c r="C14" s="152"/>
      <c r="F14" s="79" t="s">
        <v>311</v>
      </c>
      <c r="G14" s="152">
        <v>802</v>
      </c>
      <c r="J14" s="79" t="s">
        <v>311</v>
      </c>
      <c r="K14" s="152">
        <v>802</v>
      </c>
    </row>
    <row r="15" spans="1:11" x14ac:dyDescent="0.25">
      <c r="A15" s="79" t="s">
        <v>569</v>
      </c>
      <c r="B15" s="152" t="s">
        <v>552</v>
      </c>
      <c r="C15" s="152"/>
      <c r="F15" s="79" t="s">
        <v>569</v>
      </c>
      <c r="G15" s="152" t="s">
        <v>555</v>
      </c>
      <c r="J15" s="79" t="s">
        <v>569</v>
      </c>
      <c r="K15" s="152" t="s">
        <v>557</v>
      </c>
    </row>
    <row r="16" spans="1:11" ht="26.4" x14ac:dyDescent="0.25">
      <c r="A16" s="79" t="s">
        <v>313</v>
      </c>
      <c r="B16" s="152" t="s">
        <v>440</v>
      </c>
      <c r="C16" s="152"/>
      <c r="F16" s="79" t="s">
        <v>313</v>
      </c>
      <c r="G16" s="152" t="s">
        <v>446</v>
      </c>
      <c r="J16" s="79" t="s">
        <v>313</v>
      </c>
      <c r="K16" s="152" t="s">
        <v>457</v>
      </c>
    </row>
    <row r="17" spans="1:11" ht="65.7" customHeight="1" x14ac:dyDescent="0.25">
      <c r="A17" s="79" t="s">
        <v>639</v>
      </c>
      <c r="B17" s="152"/>
      <c r="C17" s="152"/>
      <c r="F17" s="79" t="s">
        <v>639</v>
      </c>
      <c r="G17" s="152"/>
      <c r="J17" s="79" t="s">
        <v>639</v>
      </c>
      <c r="K17" s="152"/>
    </row>
    <row r="18" spans="1:11" ht="26.4" x14ac:dyDescent="0.25">
      <c r="A18" s="79" t="s">
        <v>315</v>
      </c>
      <c r="B18" s="154"/>
      <c r="C18" s="152"/>
      <c r="F18" s="79" t="s">
        <v>315</v>
      </c>
      <c r="G18" s="154"/>
      <c r="J18" s="79" t="s">
        <v>315</v>
      </c>
      <c r="K18" s="154"/>
    </row>
    <row r="19" spans="1:11" ht="26.4" x14ac:dyDescent="0.25">
      <c r="A19" s="79" t="s">
        <v>316</v>
      </c>
      <c r="B19" s="154"/>
      <c r="C19" s="152"/>
      <c r="F19" s="79" t="s">
        <v>316</v>
      </c>
      <c r="G19" s="154"/>
      <c r="J19" s="79" t="s">
        <v>316</v>
      </c>
      <c r="K19" s="154"/>
    </row>
    <row r="20" spans="1:11" x14ac:dyDescent="0.25">
      <c r="A20" s="79" t="s">
        <v>317</v>
      </c>
      <c r="B20" s="152" t="s">
        <v>553</v>
      </c>
      <c r="C20" s="152"/>
      <c r="F20" s="79" t="s">
        <v>317</v>
      </c>
      <c r="G20" s="152" t="s">
        <v>553</v>
      </c>
      <c r="J20" s="79" t="s">
        <v>317</v>
      </c>
      <c r="K20" s="152" t="s">
        <v>553</v>
      </c>
    </row>
    <row r="21" spans="1:11" x14ac:dyDescent="0.25">
      <c r="A21" s="79" t="s">
        <v>318</v>
      </c>
      <c r="B21" s="152"/>
      <c r="C21" s="152"/>
      <c r="F21" s="79" t="s">
        <v>318</v>
      </c>
      <c r="G21" s="152"/>
      <c r="J21" s="79" t="s">
        <v>318</v>
      </c>
      <c r="K21" s="152"/>
    </row>
    <row r="23" spans="1:11" x14ac:dyDescent="0.25">
      <c r="B23" s="96" t="str">
        <f>HYPERLINK("#'Factor List'!A1","Back to Factor List")</f>
        <v>Back to Factor List</v>
      </c>
      <c r="C23" s="96"/>
      <c r="G23" s="96" t="str">
        <f>HYPERLINK("#'Factor List'!A1","Back to Factor List")</f>
        <v>Back to Factor List</v>
      </c>
      <c r="K23" s="96" t="str">
        <f>HYPERLINK("#'Factor List'!A1","Back to Factor List")</f>
        <v>Back to Factor List</v>
      </c>
    </row>
    <row r="24" spans="1:11" x14ac:dyDescent="0.25">
      <c r="B24" s="96" t="s">
        <v>240</v>
      </c>
      <c r="C24" s="96"/>
      <c r="G24" s="96" t="s">
        <v>240</v>
      </c>
      <c r="K24" s="96" t="s">
        <v>240</v>
      </c>
    </row>
    <row r="25" spans="1:11" x14ac:dyDescent="0.25">
      <c r="B25" s="96"/>
      <c r="C25" s="96"/>
      <c r="G25" s="96"/>
      <c r="K25" s="96"/>
    </row>
    <row r="26" spans="1:11" ht="26.4" x14ac:dyDescent="0.25">
      <c r="A26" s="82" t="s">
        <v>323</v>
      </c>
      <c r="B26" s="82" t="s">
        <v>697</v>
      </c>
      <c r="C26" s="82" t="s">
        <v>698</v>
      </c>
      <c r="F26" s="82" t="s">
        <v>323</v>
      </c>
      <c r="G26" s="82" t="s">
        <v>550</v>
      </c>
      <c r="J26" s="82" t="s">
        <v>323</v>
      </c>
      <c r="K26" s="82" t="s">
        <v>697</v>
      </c>
    </row>
    <row r="27" spans="1:11" x14ac:dyDescent="0.25">
      <c r="A27" s="107" t="s">
        <v>699</v>
      </c>
      <c r="B27" s="85"/>
      <c r="C27" s="85"/>
      <c r="F27" s="107" t="s">
        <v>700</v>
      </c>
      <c r="G27" s="85"/>
      <c r="J27" s="107" t="s">
        <v>699</v>
      </c>
      <c r="K27" s="85"/>
    </row>
    <row r="28" spans="1:11" x14ac:dyDescent="0.25">
      <c r="A28" s="83">
        <v>56</v>
      </c>
      <c r="B28" s="85"/>
      <c r="C28" s="85"/>
      <c r="F28" s="107">
        <v>36</v>
      </c>
      <c r="G28" s="85"/>
      <c r="J28" s="83">
        <v>56</v>
      </c>
      <c r="K28" s="85"/>
    </row>
    <row r="29" spans="1:11" x14ac:dyDescent="0.25">
      <c r="A29" s="83">
        <v>57</v>
      </c>
      <c r="B29" s="85"/>
      <c r="C29" s="85"/>
      <c r="F29" s="107">
        <v>37</v>
      </c>
      <c r="G29" s="85"/>
      <c r="J29" s="83">
        <v>57</v>
      </c>
      <c r="K29" s="85"/>
    </row>
    <row r="30" spans="1:11" x14ac:dyDescent="0.25">
      <c r="A30" s="83">
        <v>58</v>
      </c>
      <c r="B30" s="85"/>
      <c r="C30" s="85"/>
      <c r="F30" s="107">
        <v>38</v>
      </c>
      <c r="G30" s="85"/>
      <c r="J30" s="83">
        <v>58</v>
      </c>
      <c r="K30" s="85"/>
    </row>
    <row r="31" spans="1:11" x14ac:dyDescent="0.25">
      <c r="A31" s="83">
        <v>59</v>
      </c>
      <c r="B31" s="85"/>
      <c r="C31" s="85"/>
      <c r="F31" s="107">
        <v>39</v>
      </c>
      <c r="G31" s="85"/>
      <c r="J31" s="83">
        <v>59</v>
      </c>
      <c r="K31" s="85"/>
    </row>
    <row r="32" spans="1:11" x14ac:dyDescent="0.25">
      <c r="F32" s="107" t="s">
        <v>701</v>
      </c>
      <c r="G32" s="85"/>
    </row>
    <row r="33" spans="6:7" x14ac:dyDescent="0.25">
      <c r="F33" s="107">
        <v>56</v>
      </c>
      <c r="G33" s="85"/>
    </row>
    <row r="34" spans="6:7" x14ac:dyDescent="0.25">
      <c r="F34" s="107">
        <v>57</v>
      </c>
      <c r="G34" s="85"/>
    </row>
    <row r="35" spans="6:7" x14ac:dyDescent="0.25">
      <c r="F35" s="107">
        <v>58</v>
      </c>
      <c r="G35" s="85"/>
    </row>
    <row r="36" spans="6:7" x14ac:dyDescent="0.25">
      <c r="F36" s="107">
        <v>59</v>
      </c>
      <c r="G36" s="85"/>
    </row>
  </sheetData>
  <sheetProtection algorithmName="SHA-512" hashValue="rg2PBpmzJD2yFkKoCIxUzwhwH79yJWu50rGUGzWX4pzsTeNCfKHoKVrrXrTnG9bPmwB7ok9q4fhRNJS7IQpkSA==" saltValue="UqeFhpDpPy+Ki7KJoCjQtQ==" spinCount="100000" sheet="1" objects="1" scenarios="1"/>
  <conditionalFormatting sqref="A6:A21">
    <cfRule type="expression" dxfId="47" priority="58" stopIfTrue="1">
      <formula>MOD(ROW(),2)&lt;&gt;0</formula>
    </cfRule>
    <cfRule type="expression" dxfId="46" priority="57" stopIfTrue="1">
      <formula>MOD(ROW(),2)=0</formula>
    </cfRule>
  </conditionalFormatting>
  <conditionalFormatting sqref="A26:A31">
    <cfRule type="expression" dxfId="45" priority="68" stopIfTrue="1">
      <formula>MOD(ROW(),2)&lt;&gt;0</formula>
    </cfRule>
    <cfRule type="expression" dxfId="44" priority="67" stopIfTrue="1">
      <formula>MOD(ROW(),2)=0</formula>
    </cfRule>
  </conditionalFormatting>
  <conditionalFormatting sqref="B6:C21">
    <cfRule type="expression" dxfId="43" priority="74" stopIfTrue="1">
      <formula>MOD(ROW(),2)&lt;&gt;0</formula>
    </cfRule>
    <cfRule type="expression" dxfId="42" priority="73" stopIfTrue="1">
      <formula>MOD(ROW(),2)=0</formula>
    </cfRule>
  </conditionalFormatting>
  <conditionalFormatting sqref="B12:C12">
    <cfRule type="expression" dxfId="41" priority="56" stopIfTrue="1">
      <formula>MOD(ROW(),2)&lt;&gt;0</formula>
    </cfRule>
    <cfRule type="expression" dxfId="40" priority="55" stopIfTrue="1">
      <formula>MOD(ROW(),2)=0</formula>
    </cfRule>
  </conditionalFormatting>
  <conditionalFormatting sqref="B17:C20">
    <cfRule type="expression" dxfId="39" priority="60" stopIfTrue="1">
      <formula>MOD(ROW(),2)&lt;&gt;0</formula>
    </cfRule>
    <cfRule type="expression" dxfId="38" priority="59" stopIfTrue="1">
      <formula>MOD(ROW(),2)=0</formula>
    </cfRule>
  </conditionalFormatting>
  <conditionalFormatting sqref="B26:C31">
    <cfRule type="expression" dxfId="37" priority="70" stopIfTrue="1">
      <formula>MOD(ROW(),2)&lt;&gt;0</formula>
    </cfRule>
    <cfRule type="expression" dxfId="36" priority="69" stopIfTrue="1">
      <formula>MOD(ROW(),2)=0</formula>
    </cfRule>
  </conditionalFormatting>
  <conditionalFormatting sqref="F6:F21">
    <cfRule type="expression" dxfId="35" priority="37" stopIfTrue="1">
      <formula>MOD(ROW(),2)=0</formula>
    </cfRule>
    <cfRule type="expression" dxfId="34" priority="38" stopIfTrue="1">
      <formula>MOD(ROW(),2)&lt;&gt;0</formula>
    </cfRule>
  </conditionalFormatting>
  <conditionalFormatting sqref="F26:F36">
    <cfRule type="expression" dxfId="33" priority="47" stopIfTrue="1">
      <formula>MOD(ROW(),2)=0</formula>
    </cfRule>
    <cfRule type="expression" dxfId="32" priority="48" stopIfTrue="1">
      <formula>MOD(ROW(),2)&lt;&gt;0</formula>
    </cfRule>
  </conditionalFormatting>
  <conditionalFormatting sqref="G6">
    <cfRule type="expression" dxfId="31" priority="54" stopIfTrue="1">
      <formula>MOD(ROW(),2)&lt;&gt;0</formula>
    </cfRule>
    <cfRule type="expression" dxfId="30" priority="53" stopIfTrue="1">
      <formula>MOD(ROW(),2)=0</formula>
    </cfRule>
  </conditionalFormatting>
  <conditionalFormatting sqref="G6:G7">
    <cfRule type="expression" dxfId="29" priority="3" stopIfTrue="1">
      <formula>MOD(ROW(),2)=0</formula>
    </cfRule>
    <cfRule type="expression" dxfId="28" priority="4" stopIfTrue="1">
      <formula>MOD(ROW(),2)&lt;&gt;0</formula>
    </cfRule>
  </conditionalFormatting>
  <conditionalFormatting sqref="G8:G21">
    <cfRule type="expression" dxfId="27" priority="13" stopIfTrue="1">
      <formula>MOD(ROW(),2)=0</formula>
    </cfRule>
    <cfRule type="expression" dxfId="26" priority="14" stopIfTrue="1">
      <formula>MOD(ROW(),2)&lt;&gt;0</formula>
    </cfRule>
  </conditionalFormatting>
  <conditionalFormatting sqref="G9:G16">
    <cfRule type="expression" dxfId="25" priority="35" stopIfTrue="1">
      <formula>MOD(ROW(),2)=0</formula>
    </cfRule>
    <cfRule type="expression" dxfId="24" priority="36" stopIfTrue="1">
      <formula>MOD(ROW(),2)&lt;&gt;0</formula>
    </cfRule>
  </conditionalFormatting>
  <conditionalFormatting sqref="G17">
    <cfRule type="expression" dxfId="23" priority="9" stopIfTrue="1">
      <formula>MOD(ROW(),2)=0</formula>
    </cfRule>
    <cfRule type="expression" dxfId="22" priority="10" stopIfTrue="1">
      <formula>MOD(ROW(),2)&lt;&gt;0</formula>
    </cfRule>
  </conditionalFormatting>
  <conditionalFormatting sqref="G18:G21">
    <cfRule type="expression" dxfId="21" priority="40" stopIfTrue="1">
      <formula>MOD(ROW(),2)&lt;&gt;0</formula>
    </cfRule>
    <cfRule type="expression" dxfId="20" priority="39" stopIfTrue="1">
      <formula>MOD(ROW(),2)=0</formula>
    </cfRule>
  </conditionalFormatting>
  <conditionalFormatting sqref="G26:G36">
    <cfRule type="expression" dxfId="19" priority="49" stopIfTrue="1">
      <formula>MOD(ROW(),2)=0</formula>
    </cfRule>
    <cfRule type="expression" dxfId="18" priority="50" stopIfTrue="1">
      <formula>MOD(ROW(),2)&lt;&gt;0</formula>
    </cfRule>
  </conditionalFormatting>
  <conditionalFormatting sqref="J6:J21">
    <cfRule type="expression" dxfId="17" priority="17" stopIfTrue="1">
      <formula>MOD(ROW(),2)=0</formula>
    </cfRule>
    <cfRule type="expression" dxfId="16" priority="18" stopIfTrue="1">
      <formula>MOD(ROW(),2)&lt;&gt;0</formula>
    </cfRule>
  </conditionalFormatting>
  <conditionalFormatting sqref="J26:J31">
    <cfRule type="expression" dxfId="15" priority="27" stopIfTrue="1">
      <formula>MOD(ROW(),2)=0</formula>
    </cfRule>
    <cfRule type="expression" dxfId="14" priority="28" stopIfTrue="1">
      <formula>MOD(ROW(),2)&lt;&gt;0</formula>
    </cfRule>
  </conditionalFormatting>
  <conditionalFormatting sqref="K6">
    <cfRule type="expression" dxfId="13" priority="34" stopIfTrue="1">
      <formula>MOD(ROW(),2)&lt;&gt;0</formula>
    </cfRule>
    <cfRule type="expression" dxfId="12" priority="33" stopIfTrue="1">
      <formula>MOD(ROW(),2)=0</formula>
    </cfRule>
  </conditionalFormatting>
  <conditionalFormatting sqref="K6:K7">
    <cfRule type="expression" dxfId="11" priority="2" stopIfTrue="1">
      <formula>MOD(ROW(),2)&lt;&gt;0</formula>
    </cfRule>
    <cfRule type="expression" dxfId="10" priority="1" stopIfTrue="1">
      <formula>MOD(ROW(),2)=0</formula>
    </cfRule>
  </conditionalFormatting>
  <conditionalFormatting sqref="K8:K21">
    <cfRule type="expression" dxfId="9" priority="12" stopIfTrue="1">
      <formula>MOD(ROW(),2)&lt;&gt;0</formula>
    </cfRule>
    <cfRule type="expression" dxfId="8" priority="11" stopIfTrue="1">
      <formula>MOD(ROW(),2)=0</formula>
    </cfRule>
  </conditionalFormatting>
  <conditionalFormatting sqref="K9:K16">
    <cfRule type="expression" dxfId="7" priority="15" stopIfTrue="1">
      <formula>MOD(ROW(),2)=0</formula>
    </cfRule>
    <cfRule type="expression" dxfId="6" priority="16" stopIfTrue="1">
      <formula>MOD(ROW(),2)&lt;&gt;0</formula>
    </cfRule>
  </conditionalFormatting>
  <conditionalFormatting sqref="K17">
    <cfRule type="expression" dxfId="5" priority="5" stopIfTrue="1">
      <formula>MOD(ROW(),2)=0</formula>
    </cfRule>
    <cfRule type="expression" dxfId="4" priority="6" stopIfTrue="1">
      <formula>MOD(ROW(),2)&lt;&gt;0</formula>
    </cfRule>
  </conditionalFormatting>
  <conditionalFormatting sqref="K18:K21">
    <cfRule type="expression" dxfId="3" priority="20" stopIfTrue="1">
      <formula>MOD(ROW(),2)&lt;&gt;0</formula>
    </cfRule>
    <cfRule type="expression" dxfId="2" priority="19" stopIfTrue="1">
      <formula>MOD(ROW(),2)=0</formula>
    </cfRule>
  </conditionalFormatting>
  <conditionalFormatting sqref="K26:K31">
    <cfRule type="expression" dxfId="1" priority="29" stopIfTrue="1">
      <formula>MOD(ROW(),2)=0</formula>
    </cfRule>
    <cfRule type="expression" dxfId="0" priority="30" stopIfTrue="1">
      <formula>MOD(ROW(),2)&lt;&gt;0</formula>
    </cfRule>
  </conditionalFormatting>
  <hyperlinks>
    <hyperlink ref="B24" location="Assumptions!A1" display="Assumptions" xr:uid="{E2E70EB0-7135-4389-92A6-879803C4E230}"/>
    <hyperlink ref="G24" location="Assumptions!A1" display="Assumptions" xr:uid="{2FD72C89-6960-4E79-ACAB-74115E8A3E09}"/>
    <hyperlink ref="K24" location="Assumptions!A1" display="Assumptions" xr:uid="{352FF1C6-42F1-42DC-99B2-567E10D40066}"/>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GADWRKGRPACTUA-1580777631-136373</_dlc_DocId>
    <_dlc_DocIdUrl xmlns="f69fd3ce-e1df-49de-b78d-1d800e75d0a3">
      <Url>https://tris42.sharepoint.com/sites/gad_wrkgrp_actuarial/_layouts/15/DocIdRedir.aspx?ID=GADWRKGRPACTUA-1580777631-136373</Url>
      <Description>GADWRKGRPACTUA-1580777631-136373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45E0FF-0546-4C66-8E38-9E7E81928517}">
  <ds:schemaRefs>
    <ds:schemaRef ds:uri="http://schemas.microsoft.com/sharepoint/v3/contenttype/forms"/>
  </ds:schemaRefs>
</ds:datastoreItem>
</file>

<file path=customXml/itemProps2.xml><?xml version="1.0" encoding="utf-8"?>
<ds:datastoreItem xmlns:ds="http://schemas.openxmlformats.org/officeDocument/2006/customXml" ds:itemID="{D0FF8F49-051A-48CD-AD2E-8F1A5F49C0E2}">
  <ds:schemaRefs>
    <ds:schemaRef ds:uri="http://schemas.microsoft.com/office/2006/metadata/properties"/>
    <ds:schemaRef ds:uri="http://purl.org/dc/dcmitype/"/>
    <ds:schemaRef ds:uri="62c7038d-3aec-4dd4-8afa-8b92667eb25d"/>
    <ds:schemaRef ds:uri="http://www.w3.org/XML/1998/namespace"/>
    <ds:schemaRef ds:uri="http://purl.org/dc/elements/1.1/"/>
    <ds:schemaRef ds:uri="f69fd3ce-e1df-49de-b78d-1d800e75d0a3"/>
    <ds:schemaRef ds:uri="http://schemas.microsoft.com/office/infopath/2007/PartnerControls"/>
    <ds:schemaRef ds:uri="http://schemas.microsoft.com/office/2006/documentManagement/type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CECFF15-DB34-416A-BD10-29BB8A26441D}">
  <ds:schemaRefs>
    <ds:schemaRef ds:uri="http://schemas.microsoft.com/sharepoint/events"/>
  </ds:schemaRefs>
</ds:datastoreItem>
</file>

<file path=customXml/itemProps4.xml><?xml version="1.0" encoding="utf-8"?>
<ds:datastoreItem xmlns:ds="http://schemas.openxmlformats.org/officeDocument/2006/customXml" ds:itemID="{0E59B5A9-9B91-4AA3-AAE6-573B6A8E3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94</vt:i4>
      </vt:variant>
      <vt:variant>
        <vt:lpstr>Named Ranges</vt:lpstr>
      </vt:variant>
      <vt:variant>
        <vt:i4>1634</vt:i4>
      </vt:variant>
    </vt:vector>
  </HeadingPairs>
  <TitlesOfParts>
    <vt:vector size="1728" baseType="lpstr">
      <vt:lpstr>AnnGenHiddenLists</vt: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t</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'x-701'!TABLE_AGE_DEF_2</vt:lpstr>
      <vt:lpstr>'x-802'!TABLE_AGE_DEF_2</vt:lpstr>
      <vt:lpstr>'x-802'!TABLE_AGE_DEF_3</vt:lpstr>
      <vt:lpstr>'x-624'!TABLE_AREA</vt:lpstr>
      <vt:lpstr>'x-626'!TABLE_AREA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'x-701'!TABLE_AREA_2</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'x-701'!TABLE_ASSUMPTION_SET_2</vt:lpstr>
      <vt:lpstr>'x-802'!TABLE_ASSUMPTION_SET_2</vt:lpstr>
      <vt:lpstr>'x-802'!TABLE_ASSUMPTION_SET_3</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'x-701'!TABLE_CLIENT_2</vt:lpstr>
      <vt:lpstr>'x-802'!TABLE_CLIENT_2</vt:lpstr>
      <vt:lpstr>'x-802'!TABLE_CLIENT_3</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'x-701'!TABLE_DATE_IMPLEMENTED_2</vt:lpstr>
      <vt:lpstr>'x-802'!TABLE_DATE_IMPLEMENTED_2</vt:lpstr>
      <vt:lpstr>'x-802'!TABLE_DATE_IMPLEMENTED_3</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'x-701'!TABLE_DATE_ISSUED_2</vt:lpstr>
      <vt:lpstr>'x-802'!TABLE_DATE_ISSUED_2</vt:lpstr>
      <vt:lpstr>'x-802'!TABLE_DATE_ISSUED_3</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'x-701'!TABLE_DESCRIPTION_2</vt:lpstr>
      <vt:lpstr>'x-802'!TABLE_DESCRIPTION_2</vt:lpstr>
      <vt:lpstr>'x-802'!TABLE_DESCRIPTION_3</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'x-701'!TABLE_FACTOR_STATUS_2</vt:lpstr>
      <vt:lpstr>'x-802'!TABLE_FACTOR_STATUS_2</vt:lpstr>
      <vt:lpstr>'x-802'!TABLE_FACTOR_STATUS_3</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'x-701'!TABLE_FACTOR_TYPE_2</vt:lpstr>
      <vt:lpstr>'x-802'!TABLE_FACTOR_TYPE_2</vt:lpstr>
      <vt:lpstr>'x-802'!TABLE_FACTOR_TYPE_3</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'x-701'!TABLE_GENDER_2</vt:lpstr>
      <vt:lpstr>'x-802'!TABLE_GENDER_2</vt:lpstr>
      <vt:lpstr>'x-802'!TABLE_GENDER_3</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'x-701'!TABLE_INFO_2</vt:lpstr>
      <vt:lpstr>'x-802'!TABLE_INFO_2</vt:lpstr>
      <vt:lpstr>'x-802'!TABLE_INFO_3</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'x-701'!TABLE_REFERENCE_2</vt:lpstr>
      <vt:lpstr>'x-802'!TABLE_REFERENCE_2</vt:lpstr>
      <vt:lpstr>'x-802'!TABLE_REFERENCE_3</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'x-701'!TABLE_REFERENCE_GUIDANCE_2</vt:lpstr>
      <vt:lpstr>'x-802'!TABLE_REFERENCE_GUIDANCE_2</vt:lpstr>
      <vt:lpstr>'x-802'!TABLE_REFERENCE_GUIDANCE_3</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'x-701'!TABLE_RELATED_2</vt:lpstr>
      <vt:lpstr>'x-802'!TABLE_RELATED_2</vt:lpstr>
      <vt:lpstr>'x-802'!TABLE_RELATED_3</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'x-701'!TABLE_SECTION_2</vt:lpstr>
      <vt:lpstr>'x-802'!TABLE_SECTION_2</vt:lpstr>
      <vt:lpstr>'x-802'!TABLE_SECTION_3</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'x-701'!TABLE_SECTION_NUMBER_2</vt:lpstr>
      <vt:lpstr>'x-802'!TABLE_SECTION_NUMBER_2</vt:lpstr>
      <vt:lpstr>'x-802'!TABLE_SECTION_NUMBER_3</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'x-701'!TABLE_SERIES_NUMBER_2</vt:lpstr>
      <vt:lpstr>'x-802'!TABLE_SERIES_NUMBER_2</vt:lpstr>
      <vt:lpstr>'x-802'!TABLE_SERIES_NUMBER_3</vt:lpstr>
      <vt:lpstr>title</vt:lpstr>
      <vt:lpstr>title_new</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W Consolidated Factors 2025-02.xlsm</dc:title>
  <dc:subject/>
  <dc:creator>Brian Allan</dc:creator>
  <cp:keywords/>
  <dc:description/>
  <cp:lastModifiedBy>Colley, Peter - GAD</cp:lastModifiedBy>
  <cp:revision/>
  <dcterms:created xsi:type="dcterms:W3CDTF">2007-01-30T12:07:56Z</dcterms:created>
  <dcterms:modified xsi:type="dcterms:W3CDTF">2026-03-17T12:06:29Z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36de98e6-9a59-42f0-9cb4-98197ce66463</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DocumentTypeHTField0">
    <vt:lpwstr>Other|150be646-4ed5-450e-b2aa-5a7d8e5fc7d1</vt:lpwstr>
  </property>
  <property fmtid="{D5CDD505-2E9C-101B-9397-08002B2CF9AE}" pid="16" name="HMT_CategoryHTField0">
    <vt:lpwstr/>
  </property>
  <property fmtid="{D5CDD505-2E9C-101B-9397-08002B2CF9AE}" pid="17" name="b9c42a306c8b47fcbaf8a41a71352f3a">
    <vt:lpwstr/>
  </property>
  <property fmtid="{D5CDD505-2E9C-101B-9397-08002B2CF9AE}" pid="18" name="HMT_GroupHTField0">
    <vt:lpwstr/>
  </property>
  <property fmtid="{D5CDD505-2E9C-101B-9397-08002B2CF9AE}" pid="19" name="TaxCatchAll">
    <vt:lpwstr>1;#Other|150be646-4ed5-450e-b2aa-5a7d8e5fc7d1</vt:lpwstr>
  </property>
</Properties>
</file>